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765" yWindow="-195" windowWidth="15315" windowHeight="10215" firstSheet="1" activeTab="8"/>
  </bookViews>
  <sheets>
    <sheet name="Диаграмма1" sheetId="8" state="hidden" r:id="rId1"/>
    <sheet name="КИРОВСКИЙ" sheetId="1" r:id="rId2"/>
    <sheet name="КРАСНОГЛ" sheetId="2" r:id="rId3"/>
    <sheet name="ПРОМЫШЛ" sheetId="3" r:id="rId4"/>
    <sheet name="цены" sheetId="4" state="hidden" r:id="rId5"/>
    <sheet name="сводный" sheetId="5" state="hidden" r:id="rId6"/>
    <sheet name="6-7кат красногл р-н" sheetId="6" state="hidden" r:id="rId7"/>
    <sheet name="6-7кат.кир.р-н" sheetId="7" state="hidden" r:id="rId8"/>
    <sheet name="ОКТЯБР" sheetId="9" r:id="rId9"/>
  </sheets>
  <definedNames>
    <definedName name="_xlnm._FilterDatabase" localSheetId="6" hidden="1">'6-7кат красногл р-н'!$A$5:$DL$177</definedName>
    <definedName name="_xlnm._FilterDatabase" localSheetId="7" hidden="1">'6-7кат.кир.р-н'!$A$6:$DH$224</definedName>
    <definedName name="_xlnm._FilterDatabase" localSheetId="1" hidden="1">КИРОВСКИЙ!$A$6:$FM$383</definedName>
    <definedName name="_xlnm._FilterDatabase" localSheetId="2" hidden="1">КРАСНОГЛ!$A$6:$EN$263</definedName>
    <definedName name="_xlnm._FilterDatabase" localSheetId="8" hidden="1">ОКТЯБР!$A$6:$DP$19</definedName>
    <definedName name="_xlnm._FilterDatabase" localSheetId="3" hidden="1">ПРОМЫШЛ!$A$6:$DM$6</definedName>
    <definedName name="_xlnm.Print_Titles" localSheetId="6">'6-7кат красногл р-н'!$A:$D,'6-7кат красногл р-н'!$2:$5</definedName>
    <definedName name="_xlnm.Print_Titles" localSheetId="7">'6-7кат.кир.р-н'!$A:$E,'6-7кат.кир.р-н'!$3:$6</definedName>
    <definedName name="_xlnm.Print_Titles" localSheetId="1">КИРОВСКИЙ!$A:$O,КИРОВСКИЙ!$3:$6</definedName>
    <definedName name="_xlnm.Print_Titles" localSheetId="2">КРАСНОГЛ!$A:$O,КРАСНОГЛ!$3:$6</definedName>
    <definedName name="_xlnm.Print_Titles" localSheetId="3">ПРОМЫШЛ!$A:$E,ПРОМЫШЛ!$3:$6</definedName>
  </definedNames>
  <calcPr calcId="125725"/>
</workbook>
</file>

<file path=xl/calcChain.xml><?xml version="1.0" encoding="utf-8"?>
<calcChain xmlns="http://schemas.openxmlformats.org/spreadsheetml/2006/main">
  <c r="J262" i="2"/>
  <c r="M11" i="3"/>
  <c r="N11"/>
  <c r="O11"/>
  <c r="P11"/>
  <c r="Q11"/>
  <c r="R11"/>
  <c r="S11"/>
  <c r="T11"/>
  <c r="U11"/>
  <c r="V11"/>
  <c r="W11"/>
  <c r="BR10"/>
  <c r="AH10"/>
  <c r="AE10"/>
  <c r="L10" l="1"/>
  <c r="BR9"/>
  <c r="AB9"/>
  <c r="DQ382" i="1"/>
  <c r="AR381"/>
  <c r="EC380"/>
  <c r="DQ380" s="1"/>
  <c r="AR380"/>
  <c r="AR379"/>
  <c r="AR378"/>
  <c r="DB377"/>
  <c r="DQ377"/>
  <c r="DQ376"/>
  <c r="EC375"/>
  <c r="EZ374"/>
  <c r="EC373"/>
  <c r="DQ372"/>
  <c r="BL372"/>
  <c r="BL371"/>
  <c r="BR371"/>
  <c r="AZ371"/>
  <c r="DQ369"/>
  <c r="DB369"/>
  <c r="CP369"/>
  <c r="AR369"/>
  <c r="AR368"/>
  <c r="DQ367"/>
  <c r="DB367"/>
  <c r="S366"/>
  <c r="AR365"/>
  <c r="AR364"/>
  <c r="DQ363"/>
  <c r="AR362"/>
  <c r="EC361"/>
  <c r="BR361"/>
  <c r="BR360"/>
  <c r="AR359"/>
  <c r="BR358"/>
  <c r="DB358"/>
  <c r="EC357"/>
  <c r="DQ357" s="1"/>
  <c r="AZ356"/>
  <c r="BR356"/>
  <c r="AR355"/>
  <c r="EC355"/>
  <c r="DB355"/>
  <c r="DB354"/>
  <c r="DQ354"/>
  <c r="AR354"/>
  <c r="EC351"/>
  <c r="DQ350"/>
  <c r="DQ349"/>
  <c r="EC348"/>
  <c r="EC347"/>
  <c r="DQ347" s="1"/>
  <c r="DQ346"/>
  <c r="S344"/>
  <c r="EC344"/>
  <c r="DQ344" s="1"/>
  <c r="DQ343"/>
  <c r="DQ342"/>
  <c r="DQ341"/>
  <c r="DQ340"/>
  <c r="DQ339"/>
  <c r="DQ337"/>
  <c r="DQ336"/>
  <c r="DQ333"/>
  <c r="DQ331"/>
  <c r="AR329"/>
  <c r="EC326"/>
  <c r="DQ326" s="1"/>
  <c r="DQ325"/>
  <c r="AZ322"/>
  <c r="BR322"/>
  <c r="BL322"/>
  <c r="DQ319"/>
  <c r="DQ318"/>
  <c r="DQ317"/>
  <c r="BL315"/>
  <c r="DQ314"/>
  <c r="DQ313"/>
  <c r="DQ310"/>
  <c r="DQ309"/>
  <c r="DB309"/>
  <c r="L9" i="3" l="1"/>
  <c r="DQ308" i="1"/>
  <c r="AR308"/>
  <c r="CP308"/>
  <c r="DQ307"/>
  <c r="DQ306"/>
  <c r="EC304"/>
  <c r="DQ304" s="1"/>
  <c r="EC303"/>
  <c r="DQ302"/>
  <c r="DQ301"/>
  <c r="DQ300"/>
  <c r="DQ299"/>
  <c r="DQ298"/>
  <c r="DQ297"/>
  <c r="DQ296"/>
  <c r="DQ295"/>
  <c r="DQ294"/>
  <c r="DQ293"/>
  <c r="AR292"/>
  <c r="EC291"/>
  <c r="DB289"/>
  <c r="CP289"/>
  <c r="BL288"/>
  <c r="EC288"/>
  <c r="EC287"/>
  <c r="AR286" l="1"/>
  <c r="S286"/>
  <c r="DQ285"/>
  <c r="DQ283"/>
  <c r="EC280"/>
  <c r="EC279"/>
  <c r="AR277"/>
  <c r="EC276"/>
  <c r="DQ276" s="1"/>
  <c r="DQ275"/>
  <c r="DB275"/>
  <c r="DQ273"/>
  <c r="DQ270"/>
  <c r="DQ269"/>
  <c r="DQ267"/>
  <c r="DE220" i="2"/>
  <c r="AJ220"/>
  <c r="EC266" i="1"/>
  <c r="AR266"/>
  <c r="AR263"/>
  <c r="EC263"/>
  <c r="DQ262"/>
  <c r="S262"/>
  <c r="CJ260"/>
  <c r="S260"/>
  <c r="DQ259"/>
  <c r="S259"/>
  <c r="EJ257"/>
  <c r="DB257"/>
  <c r="EC257"/>
  <c r="AZ257"/>
  <c r="S256"/>
  <c r="AZ256"/>
  <c r="EC255"/>
  <c r="DQ254"/>
  <c r="S253"/>
  <c r="AR253"/>
  <c r="AR251"/>
  <c r="DQ250"/>
  <c r="AR249"/>
  <c r="DQ248"/>
  <c r="BL248"/>
  <c r="BL246"/>
  <c r="EC244"/>
  <c r="DB243"/>
  <c r="EC243"/>
  <c r="DQ243" s="1"/>
  <c r="DQ241"/>
  <c r="DQ240"/>
  <c r="DQ239"/>
  <c r="DQ238"/>
  <c r="DQ237"/>
  <c r="DQ236"/>
  <c r="DQ235"/>
  <c r="BL234"/>
  <c r="DQ232"/>
  <c r="DQ233"/>
  <c r="DB230"/>
  <c r="EJ230"/>
  <c r="CP230"/>
  <c r="BL230"/>
  <c r="DQ229"/>
  <c r="BL229"/>
  <c r="DQ228"/>
  <c r="EC226"/>
  <c r="DB226"/>
  <c r="AA225"/>
  <c r="BR225"/>
  <c r="AZ225"/>
  <c r="AR224"/>
  <c r="AP224"/>
  <c r="DB221"/>
  <c r="AR221"/>
  <c r="EZ218"/>
  <c r="CD218"/>
  <c r="EC218"/>
  <c r="BR217"/>
  <c r="S216"/>
  <c r="DW215"/>
  <c r="DQ215" s="1"/>
  <c r="DQ213"/>
  <c r="DQ214"/>
  <c r="AR213"/>
  <c r="DQ212"/>
  <c r="DQ211"/>
  <c r="BL210"/>
  <c r="DQ206"/>
  <c r="DQ207"/>
  <c r="DQ209"/>
  <c r="EZ202"/>
  <c r="AR202" l="1"/>
  <c r="BR201"/>
  <c r="EC201"/>
  <c r="DQ201" s="1"/>
  <c r="BF201"/>
  <c r="DB200"/>
  <c r="BF200"/>
  <c r="AZ200"/>
  <c r="S199"/>
  <c r="AR199"/>
  <c r="AI198"/>
  <c r="DB197"/>
  <c r="AI197"/>
  <c r="AA196"/>
  <c r="DQ194" l="1"/>
  <c r="DQ191"/>
  <c r="DQ190"/>
  <c r="DQ189"/>
  <c r="DQ192"/>
  <c r="DW186"/>
  <c r="EC186"/>
  <c r="BL185"/>
  <c r="AZ185"/>
  <c r="DQ184"/>
  <c r="AR183"/>
  <c r="AR182"/>
  <c r="EC178"/>
  <c r="EC177"/>
  <c r="AZ176"/>
  <c r="EC176"/>
  <c r="DQ175"/>
  <c r="S175"/>
  <c r="BL173"/>
  <c r="DQ172"/>
  <c r="EC170"/>
  <c r="DQ170" s="1"/>
  <c r="EC169"/>
  <c r="DQ169" s="1"/>
  <c r="CP168"/>
  <c r="CP167"/>
  <c r="EC167"/>
  <c r="DQ167" s="1"/>
  <c r="DQ166"/>
  <c r="EC164"/>
  <c r="AR163"/>
  <c r="S161"/>
  <c r="EC159"/>
  <c r="BR158"/>
  <c r="AZ158"/>
  <c r="EC157"/>
  <c r="DQ157" s="1"/>
  <c r="EC155"/>
  <c r="DQ155" s="1"/>
  <c r="CJ155"/>
  <c r="AR155"/>
  <c r="S154"/>
  <c r="DQ153"/>
  <c r="DQ152"/>
  <c r="AZ152"/>
  <c r="DQ151"/>
  <c r="DQ150"/>
  <c r="DQ149"/>
  <c r="AI149"/>
  <c r="AZ149"/>
  <c r="O149" l="1"/>
  <c r="S148"/>
  <c r="CP148"/>
  <c r="DQ147"/>
  <c r="DQ146"/>
  <c r="DQ145"/>
  <c r="DQ144"/>
  <c r="DQ143"/>
  <c r="DQ142"/>
  <c r="DQ141"/>
  <c r="DQ139"/>
  <c r="AR137"/>
  <c r="AR136"/>
  <c r="AR135"/>
  <c r="DQ134"/>
  <c r="S133"/>
  <c r="DQ131"/>
  <c r="DQ129"/>
  <c r="AR127"/>
  <c r="AR126"/>
  <c r="DQ124"/>
  <c r="DQ123"/>
  <c r="AZ123"/>
  <c r="DW122"/>
  <c r="DQ122" s="1"/>
  <c r="AR121"/>
  <c r="CJ120"/>
  <c r="EC120"/>
  <c r="AR118"/>
  <c r="EC116"/>
  <c r="DQ115"/>
  <c r="DQ114"/>
  <c r="AR114"/>
  <c r="AR112"/>
  <c r="AR111"/>
  <c r="BL109"/>
  <c r="CJ109"/>
  <c r="DW109"/>
  <c r="EC109"/>
  <c r="DQ107"/>
  <c r="DB107"/>
  <c r="S106"/>
  <c r="DQ105"/>
  <c r="DW104"/>
  <c r="AR104"/>
  <c r="AR103"/>
  <c r="AR102"/>
  <c r="AR99"/>
  <c r="DQ98"/>
  <c r="AR97"/>
  <c r="EC96"/>
  <c r="AR95"/>
  <c r="AR94"/>
  <c r="DQ93"/>
  <c r="DQ92"/>
  <c r="EC91"/>
  <c r="DB90"/>
  <c r="DQ89"/>
  <c r="DQ88"/>
  <c r="AR88"/>
  <c r="AR87"/>
  <c r="BL87"/>
  <c r="EC86"/>
  <c r="DQ86" s="1"/>
  <c r="EC85"/>
  <c r="EC84"/>
  <c r="AZ84"/>
  <c r="EC83"/>
  <c r="AQ124" i="2"/>
  <c r="AJ180"/>
  <c r="AR80" i="1"/>
  <c r="AR79"/>
  <c r="EC77"/>
  <c r="AR76"/>
  <c r="EC76"/>
  <c r="EC74"/>
  <c r="DQ73"/>
  <c r="DQ72"/>
  <c r="S71"/>
  <c r="CP71"/>
  <c r="CV71"/>
  <c r="BR71"/>
  <c r="AZ71"/>
  <c r="EC71"/>
  <c r="DQ71" s="1"/>
  <c r="AR70"/>
  <c r="S69"/>
  <c r="BL70"/>
  <c r="AZ70"/>
  <c r="BR68"/>
  <c r="AZ68"/>
  <c r="AR68"/>
  <c r="DQ67"/>
  <c r="AR66"/>
  <c r="DQ65"/>
  <c r="EC62"/>
  <c r="DQ62" s="1"/>
  <c r="DQ61"/>
  <c r="DQ60"/>
  <c r="DQ59"/>
  <c r="DQ58"/>
  <c r="DQ57"/>
  <c r="DQ56"/>
  <c r="DQ55"/>
  <c r="DQ54"/>
  <c r="DQ53"/>
  <c r="DQ52"/>
  <c r="DQ51"/>
  <c r="DQ50"/>
  <c r="DQ49"/>
  <c r="DQ48"/>
  <c r="DQ46"/>
  <c r="DQ42"/>
  <c r="DQ41"/>
  <c r="DQ39"/>
  <c r="DH37"/>
  <c r="DQ36"/>
  <c r="DQ35"/>
  <c r="DQ34"/>
  <c r="DQ33"/>
  <c r="DQ32"/>
  <c r="DQ31"/>
  <c r="EC30"/>
  <c r="DQ29"/>
  <c r="EC28"/>
  <c r="DQ27"/>
  <c r="DQ26"/>
  <c r="AR25"/>
  <c r="AZ23"/>
  <c r="EC20"/>
  <c r="DQ17"/>
  <c r="DQ16"/>
  <c r="DQ15"/>
  <c r="DQ14"/>
  <c r="EC13"/>
  <c r="EC12"/>
  <c r="DQ11"/>
  <c r="BF10"/>
  <c r="AZ10"/>
  <c r="AY9"/>
  <c r="AZ9" s="1"/>
  <c r="DQ8"/>
  <c r="AR8"/>
  <c r="S312"/>
  <c r="DQ312"/>
  <c r="BL312"/>
  <c r="AZ312" l="1"/>
  <c r="BF312"/>
  <c r="AR223"/>
  <c r="BL223"/>
  <c r="DQ156"/>
  <c r="DQ272"/>
  <c r="CP272"/>
  <c r="AZ272"/>
  <c r="AI272"/>
  <c r="AR40"/>
  <c r="EC40"/>
  <c r="BL264"/>
  <c r="CD50" i="2" l="1"/>
  <c r="AW30"/>
  <c r="DT205" i="1"/>
  <c r="M205" s="1"/>
  <c r="DB205"/>
  <c r="CP205"/>
  <c r="AP9" i="9"/>
  <c r="J10" i="3" l="1"/>
  <c r="J9"/>
  <c r="BT13" i="9" l="1"/>
  <c r="DQ44" i="1"/>
  <c r="CV48" i="2" l="1"/>
  <c r="CV156"/>
  <c r="CV44"/>
  <c r="DB144"/>
  <c r="CV119"/>
  <c r="CV9"/>
  <c r="CV10"/>
  <c r="CV11"/>
  <c r="CV12"/>
  <c r="CV13"/>
  <c r="CV14"/>
  <c r="CV15"/>
  <c r="CV16"/>
  <c r="CV17"/>
  <c r="CV18"/>
  <c r="CV19"/>
  <c r="CV20"/>
  <c r="CV21"/>
  <c r="CV22"/>
  <c r="CV23"/>
  <c r="CV24"/>
  <c r="CV25"/>
  <c r="CV26"/>
  <c r="CV27"/>
  <c r="CV28"/>
  <c r="CV29"/>
  <c r="CV30"/>
  <c r="CV31"/>
  <c r="CV32"/>
  <c r="CV33"/>
  <c r="CV34"/>
  <c r="CV35"/>
  <c r="CV36"/>
  <c r="CV37"/>
  <c r="CV38"/>
  <c r="CV39"/>
  <c r="CV40"/>
  <c r="CV41"/>
  <c r="CV42"/>
  <c r="CV43"/>
  <c r="CV45"/>
  <c r="CV46"/>
  <c r="CV47"/>
  <c r="CV49"/>
  <c r="CV50"/>
  <c r="CV51"/>
  <c r="CV52"/>
  <c r="CV53"/>
  <c r="CV54"/>
  <c r="CV55"/>
  <c r="CV56"/>
  <c r="CV57"/>
  <c r="CV58"/>
  <c r="CV59"/>
  <c r="CV60"/>
  <c r="CV61"/>
  <c r="CV62"/>
  <c r="CV63"/>
  <c r="CV64"/>
  <c r="CV65"/>
  <c r="CV66"/>
  <c r="CV67"/>
  <c r="CV68"/>
  <c r="CV70"/>
  <c r="CV71"/>
  <c r="CV72"/>
  <c r="CV73"/>
  <c r="CV74"/>
  <c r="CV75"/>
  <c r="CV76"/>
  <c r="CV77"/>
  <c r="CV78"/>
  <c r="CV79"/>
  <c r="CV80"/>
  <c r="CV81"/>
  <c r="CV82"/>
  <c r="CV83"/>
  <c r="CV84"/>
  <c r="CV85"/>
  <c r="CV86"/>
  <c r="CV87"/>
  <c r="CV88"/>
  <c r="CV89"/>
  <c r="CV90"/>
  <c r="CV91"/>
  <c r="CV92"/>
  <c r="CV93"/>
  <c r="CV94"/>
  <c r="CV95"/>
  <c r="CV96"/>
  <c r="CV97"/>
  <c r="CV98"/>
  <c r="CV99"/>
  <c r="CV100"/>
  <c r="CV101"/>
  <c r="CV102"/>
  <c r="CV103"/>
  <c r="CV104"/>
  <c r="CV105"/>
  <c r="CV106"/>
  <c r="CV107"/>
  <c r="CV108"/>
  <c r="CV109"/>
  <c r="CV110"/>
  <c r="CV111"/>
  <c r="CV112"/>
  <c r="CV113"/>
  <c r="CV114"/>
  <c r="CV115"/>
  <c r="CV116"/>
  <c r="CV117"/>
  <c r="CV118"/>
  <c r="CV120"/>
  <c r="CV121"/>
  <c r="CV122"/>
  <c r="CV123"/>
  <c r="CV124"/>
  <c r="CV125"/>
  <c r="CV126"/>
  <c r="CV127"/>
  <c r="CV128"/>
  <c r="CV129"/>
  <c r="CV130"/>
  <c r="CV131"/>
  <c r="CV132"/>
  <c r="CV133"/>
  <c r="CV134"/>
  <c r="CV135"/>
  <c r="CV136"/>
  <c r="CV137"/>
  <c r="CV138"/>
  <c r="CV139"/>
  <c r="CV140"/>
  <c r="CV141"/>
  <c r="CV142"/>
  <c r="CV143"/>
  <c r="CV144"/>
  <c r="CV145"/>
  <c r="CV146"/>
  <c r="CV147"/>
  <c r="CV148"/>
  <c r="CV149"/>
  <c r="CV150"/>
  <c r="CV151"/>
  <c r="CV152"/>
  <c r="CV153"/>
  <c r="CV154"/>
  <c r="CV155"/>
  <c r="CV157"/>
  <c r="CV158"/>
  <c r="CV159"/>
  <c r="CV160"/>
  <c r="CV161"/>
  <c r="CV162"/>
  <c r="CV163"/>
  <c r="CV164"/>
  <c r="CV165"/>
  <c r="CV166"/>
  <c r="CV167"/>
  <c r="CV168"/>
  <c r="CV169"/>
  <c r="CV170"/>
  <c r="CV171"/>
  <c r="CV172"/>
  <c r="CV173"/>
  <c r="CV174"/>
  <c r="CV175"/>
  <c r="CV176"/>
  <c r="CV177"/>
  <c r="CV178"/>
  <c r="CV179"/>
  <c r="CV180"/>
  <c r="CV181"/>
  <c r="CV182"/>
  <c r="CV183"/>
  <c r="CV184"/>
  <c r="CV185"/>
  <c r="CV186"/>
  <c r="CV187"/>
  <c r="CV188"/>
  <c r="CV189"/>
  <c r="CV190"/>
  <c r="CV191"/>
  <c r="CV192"/>
  <c r="CV193"/>
  <c r="CV194"/>
  <c r="CV195"/>
  <c r="CV196"/>
  <c r="CV197"/>
  <c r="CV198"/>
  <c r="CV199"/>
  <c r="CV200"/>
  <c r="CV201"/>
  <c r="CV202"/>
  <c r="CV203"/>
  <c r="CV204"/>
  <c r="CV205"/>
  <c r="CV206"/>
  <c r="CV207"/>
  <c r="CV208"/>
  <c r="CV209"/>
  <c r="CV210"/>
  <c r="CV211"/>
  <c r="CV212"/>
  <c r="CV213"/>
  <c r="CV214"/>
  <c r="CV215"/>
  <c r="CV216"/>
  <c r="CV217"/>
  <c r="CV218"/>
  <c r="CV219"/>
  <c r="CV220"/>
  <c r="CV221"/>
  <c r="CV222"/>
  <c r="CV223"/>
  <c r="CV224"/>
  <c r="CV225"/>
  <c r="CV226"/>
  <c r="CV227"/>
  <c r="CV228"/>
  <c r="CV229"/>
  <c r="CV230"/>
  <c r="CV231"/>
  <c r="CV232"/>
  <c r="CV233"/>
  <c r="CV234"/>
  <c r="CV235"/>
  <c r="CV236"/>
  <c r="CV237"/>
  <c r="CV238"/>
  <c r="CV239"/>
  <c r="CV240"/>
  <c r="CV241"/>
  <c r="CV242"/>
  <c r="CV243"/>
  <c r="CV244"/>
  <c r="CV245"/>
  <c r="CV246"/>
  <c r="CV247"/>
  <c r="CV248"/>
  <c r="CV249"/>
  <c r="CV250"/>
  <c r="CV251"/>
  <c r="CV252"/>
  <c r="CV253"/>
  <c r="CV254"/>
  <c r="CV255"/>
  <c r="CV256"/>
  <c r="CV257"/>
  <c r="CV258"/>
  <c r="CV259"/>
  <c r="CV260"/>
  <c r="CV261"/>
  <c r="CV8"/>
  <c r="EN69"/>
  <c r="CV69" s="1"/>
  <c r="BG9" i="3" l="1"/>
  <c r="BU10"/>
  <c r="DT185" i="1"/>
  <c r="M185" s="1"/>
  <c r="DT256"/>
  <c r="BO231"/>
  <c r="BC256"/>
  <c r="BB256"/>
  <c r="BC132"/>
  <c r="BB132"/>
  <c r="EV322"/>
  <c r="DT312"/>
  <c r="M312" s="1"/>
  <c r="DT309"/>
  <c r="M309" s="1"/>
  <c r="DQ9"/>
  <c r="DQ10"/>
  <c r="DQ12"/>
  <c r="DQ13"/>
  <c r="DQ18"/>
  <c r="DQ19"/>
  <c r="DQ20"/>
  <c r="DQ21"/>
  <c r="DQ22"/>
  <c r="DQ23"/>
  <c r="DQ24"/>
  <c r="DQ25"/>
  <c r="DQ28"/>
  <c r="DQ30"/>
  <c r="DQ37"/>
  <c r="DQ38"/>
  <c r="DQ40"/>
  <c r="DQ43"/>
  <c r="DQ45"/>
  <c r="DQ47"/>
  <c r="DQ63"/>
  <c r="DQ64"/>
  <c r="DQ66"/>
  <c r="DQ68"/>
  <c r="O68" s="1"/>
  <c r="DQ69"/>
  <c r="O69" s="1"/>
  <c r="DQ70"/>
  <c r="O70" s="1"/>
  <c r="O71"/>
  <c r="DQ74"/>
  <c r="DQ75"/>
  <c r="DQ76"/>
  <c r="DQ77"/>
  <c r="O77" s="1"/>
  <c r="DQ78"/>
  <c r="O78" s="1"/>
  <c r="DQ79"/>
  <c r="O79" s="1"/>
  <c r="DQ80"/>
  <c r="DQ81"/>
  <c r="DQ82"/>
  <c r="DQ83"/>
  <c r="DQ84"/>
  <c r="DQ85"/>
  <c r="DQ87"/>
  <c r="DQ90"/>
  <c r="DQ91"/>
  <c r="DQ94"/>
  <c r="DQ95"/>
  <c r="DQ96"/>
  <c r="DQ97"/>
  <c r="DQ99"/>
  <c r="DQ100"/>
  <c r="DQ101"/>
  <c r="DQ102"/>
  <c r="DQ103"/>
  <c r="DQ104"/>
  <c r="DQ106"/>
  <c r="DQ108"/>
  <c r="DQ109"/>
  <c r="DQ110"/>
  <c r="DQ111"/>
  <c r="DQ112"/>
  <c r="DQ113"/>
  <c r="DQ116"/>
  <c r="DQ117"/>
  <c r="DQ118"/>
  <c r="DQ119"/>
  <c r="DQ120"/>
  <c r="DQ121"/>
  <c r="DQ125"/>
  <c r="DQ126"/>
  <c r="DQ127"/>
  <c r="DQ128"/>
  <c r="DQ130"/>
  <c r="DQ132"/>
  <c r="DQ133"/>
  <c r="DQ135"/>
  <c r="DQ136"/>
  <c r="DQ137"/>
  <c r="DQ138"/>
  <c r="DQ140"/>
  <c r="DQ148"/>
  <c r="DQ154"/>
  <c r="DQ158"/>
  <c r="DQ159"/>
  <c r="DQ160"/>
  <c r="DQ161"/>
  <c r="DQ162"/>
  <c r="DQ163"/>
  <c r="DQ164"/>
  <c r="DQ165"/>
  <c r="DQ168"/>
  <c r="DQ171"/>
  <c r="DQ173"/>
  <c r="DQ174"/>
  <c r="DQ176"/>
  <c r="DQ177"/>
  <c r="DQ178"/>
  <c r="DQ179"/>
  <c r="DQ180"/>
  <c r="DQ181"/>
  <c r="DQ182"/>
  <c r="DQ183"/>
  <c r="DQ185"/>
  <c r="DQ186"/>
  <c r="DQ187"/>
  <c r="DQ188"/>
  <c r="DQ193"/>
  <c r="DQ195"/>
  <c r="DQ196"/>
  <c r="DQ197"/>
  <c r="DQ198"/>
  <c r="DQ199"/>
  <c r="DQ200"/>
  <c r="DQ202"/>
  <c r="DQ203"/>
  <c r="DQ204"/>
  <c r="DQ205"/>
  <c r="DQ208"/>
  <c r="DQ210"/>
  <c r="DQ216"/>
  <c r="DQ217"/>
  <c r="DQ218"/>
  <c r="DQ219"/>
  <c r="DQ220"/>
  <c r="DQ221"/>
  <c r="DQ222"/>
  <c r="DQ223"/>
  <c r="DQ224"/>
  <c r="DQ225"/>
  <c r="DQ226"/>
  <c r="DQ227"/>
  <c r="DQ230"/>
  <c r="DQ231"/>
  <c r="DQ234"/>
  <c r="DQ242"/>
  <c r="DQ244"/>
  <c r="DQ245"/>
  <c r="DQ246"/>
  <c r="DQ247"/>
  <c r="DQ249"/>
  <c r="DQ251"/>
  <c r="DQ252"/>
  <c r="DQ253"/>
  <c r="DQ255"/>
  <c r="DQ256"/>
  <c r="DQ257"/>
  <c r="DQ258"/>
  <c r="DQ260"/>
  <c r="DQ261"/>
  <c r="DQ263"/>
  <c r="DQ264"/>
  <c r="DQ265"/>
  <c r="DQ266"/>
  <c r="DQ268"/>
  <c r="DQ271"/>
  <c r="DQ274"/>
  <c r="DQ277"/>
  <c r="DQ278"/>
  <c r="DQ279"/>
  <c r="DQ280"/>
  <c r="DQ281"/>
  <c r="DQ282"/>
  <c r="DQ284"/>
  <c r="DQ286"/>
  <c r="DQ287"/>
  <c r="DQ288"/>
  <c r="DQ289"/>
  <c r="DQ290"/>
  <c r="DQ291"/>
  <c r="DQ292"/>
  <c r="DQ303"/>
  <c r="DQ305"/>
  <c r="DQ311"/>
  <c r="DQ315"/>
  <c r="DQ316"/>
  <c r="DQ320"/>
  <c r="DQ321"/>
  <c r="DQ322"/>
  <c r="DQ323"/>
  <c r="DQ324"/>
  <c r="DQ327"/>
  <c r="DQ328"/>
  <c r="DQ329"/>
  <c r="DQ330"/>
  <c r="DQ332"/>
  <c r="DQ334"/>
  <c r="DQ335"/>
  <c r="DQ338"/>
  <c r="DQ345"/>
  <c r="DQ348"/>
  <c r="DQ351"/>
  <c r="DQ352"/>
  <c r="DQ353"/>
  <c r="DQ355"/>
  <c r="DQ356"/>
  <c r="DQ358"/>
  <c r="DQ359"/>
  <c r="DQ360"/>
  <c r="DQ361"/>
  <c r="DQ362"/>
  <c r="DQ364"/>
  <c r="DQ365"/>
  <c r="DQ366"/>
  <c r="DQ368"/>
  <c r="DQ370"/>
  <c r="DQ371"/>
  <c r="DQ373"/>
  <c r="DQ374"/>
  <c r="DQ375"/>
  <c r="DQ378"/>
  <c r="DQ379"/>
  <c r="DQ381"/>
  <c r="DT9"/>
  <c r="M9" s="1"/>
  <c r="DT10"/>
  <c r="DT11"/>
  <c r="M11" s="1"/>
  <c r="DT12"/>
  <c r="M12" s="1"/>
  <c r="DT13"/>
  <c r="M13" s="1"/>
  <c r="DT14"/>
  <c r="M14" s="1"/>
  <c r="DT15"/>
  <c r="M15" s="1"/>
  <c r="DT16"/>
  <c r="M16" s="1"/>
  <c r="DT17"/>
  <c r="M17" s="1"/>
  <c r="DT18"/>
  <c r="M18" s="1"/>
  <c r="DT19"/>
  <c r="M19" s="1"/>
  <c r="DT20"/>
  <c r="M20" s="1"/>
  <c r="DT21"/>
  <c r="M21" s="1"/>
  <c r="DT22"/>
  <c r="M22" s="1"/>
  <c r="DT23"/>
  <c r="M23" s="1"/>
  <c r="DT24"/>
  <c r="M24" s="1"/>
  <c r="DT25"/>
  <c r="M25" s="1"/>
  <c r="DT26"/>
  <c r="M26" s="1"/>
  <c r="DT27"/>
  <c r="M27" s="1"/>
  <c r="DT28"/>
  <c r="M28" s="1"/>
  <c r="DT29"/>
  <c r="M29" s="1"/>
  <c r="DT30"/>
  <c r="M30" s="1"/>
  <c r="DT31"/>
  <c r="M31" s="1"/>
  <c r="DT32"/>
  <c r="M32" s="1"/>
  <c r="DT33"/>
  <c r="M33" s="1"/>
  <c r="DT34"/>
  <c r="M34" s="1"/>
  <c r="DT35"/>
  <c r="M35" s="1"/>
  <c r="DT36"/>
  <c r="M36" s="1"/>
  <c r="DT37"/>
  <c r="M37" s="1"/>
  <c r="DT38"/>
  <c r="M38" s="1"/>
  <c r="DT39"/>
  <c r="M39" s="1"/>
  <c r="DT40"/>
  <c r="M40" s="1"/>
  <c r="DT41"/>
  <c r="M41" s="1"/>
  <c r="DT42"/>
  <c r="M42" s="1"/>
  <c r="DT43"/>
  <c r="M43" s="1"/>
  <c r="DT44"/>
  <c r="M44" s="1"/>
  <c r="DT45"/>
  <c r="M45" s="1"/>
  <c r="DT46"/>
  <c r="M46" s="1"/>
  <c r="DT47"/>
  <c r="M47" s="1"/>
  <c r="DT48"/>
  <c r="M48" s="1"/>
  <c r="DT49"/>
  <c r="M49" s="1"/>
  <c r="DT50"/>
  <c r="M50" s="1"/>
  <c r="DT51"/>
  <c r="M51" s="1"/>
  <c r="DT52"/>
  <c r="M52" s="1"/>
  <c r="DT53"/>
  <c r="M53" s="1"/>
  <c r="DT54"/>
  <c r="M54" s="1"/>
  <c r="DT55"/>
  <c r="M55" s="1"/>
  <c r="DT56"/>
  <c r="M56" s="1"/>
  <c r="DT57"/>
  <c r="M57" s="1"/>
  <c r="DT58"/>
  <c r="M58" s="1"/>
  <c r="DT59"/>
  <c r="M59" s="1"/>
  <c r="DT60"/>
  <c r="M60" s="1"/>
  <c r="DT61"/>
  <c r="M61" s="1"/>
  <c r="DT62"/>
  <c r="M62" s="1"/>
  <c r="DT63"/>
  <c r="M63" s="1"/>
  <c r="DT64"/>
  <c r="M64" s="1"/>
  <c r="DT65"/>
  <c r="M65" s="1"/>
  <c r="DT66"/>
  <c r="M66" s="1"/>
  <c r="DT67"/>
  <c r="M67" s="1"/>
  <c r="DT68"/>
  <c r="M68" s="1"/>
  <c r="DT69"/>
  <c r="M69" s="1"/>
  <c r="DT70"/>
  <c r="M70" s="1"/>
  <c r="DT71"/>
  <c r="M71" s="1"/>
  <c r="DT72"/>
  <c r="M72" s="1"/>
  <c r="DT73"/>
  <c r="M73" s="1"/>
  <c r="DT74"/>
  <c r="M74" s="1"/>
  <c r="DT75"/>
  <c r="M75" s="1"/>
  <c r="DT76"/>
  <c r="M76" s="1"/>
  <c r="DT77"/>
  <c r="M77" s="1"/>
  <c r="DT78"/>
  <c r="M78" s="1"/>
  <c r="DT79"/>
  <c r="M79" s="1"/>
  <c r="DT80"/>
  <c r="M80" s="1"/>
  <c r="DT81"/>
  <c r="M81" s="1"/>
  <c r="DT82"/>
  <c r="M82" s="1"/>
  <c r="DT83"/>
  <c r="M83" s="1"/>
  <c r="DT84"/>
  <c r="M84" s="1"/>
  <c r="DT85"/>
  <c r="M85" s="1"/>
  <c r="DT86"/>
  <c r="M86" s="1"/>
  <c r="DT87"/>
  <c r="M87" s="1"/>
  <c r="DT88"/>
  <c r="M88" s="1"/>
  <c r="DT89"/>
  <c r="M89" s="1"/>
  <c r="DT90"/>
  <c r="M90" s="1"/>
  <c r="DT91"/>
  <c r="M91" s="1"/>
  <c r="DT92"/>
  <c r="M92" s="1"/>
  <c r="DT93"/>
  <c r="M93" s="1"/>
  <c r="DT94"/>
  <c r="M94" s="1"/>
  <c r="DT95"/>
  <c r="M95" s="1"/>
  <c r="DT96"/>
  <c r="M96" s="1"/>
  <c r="DT97"/>
  <c r="M97" s="1"/>
  <c r="DT98"/>
  <c r="M98" s="1"/>
  <c r="DT99"/>
  <c r="M99" s="1"/>
  <c r="DT100"/>
  <c r="M100" s="1"/>
  <c r="DT101"/>
  <c r="M101" s="1"/>
  <c r="DT102"/>
  <c r="M102" s="1"/>
  <c r="DT103"/>
  <c r="M103" s="1"/>
  <c r="DT104"/>
  <c r="M104" s="1"/>
  <c r="DT105"/>
  <c r="M105" s="1"/>
  <c r="DT106"/>
  <c r="M106" s="1"/>
  <c r="DT107"/>
  <c r="M107" s="1"/>
  <c r="DT108"/>
  <c r="M108" s="1"/>
  <c r="DT109"/>
  <c r="M109" s="1"/>
  <c r="DT110"/>
  <c r="M110" s="1"/>
  <c r="DT111"/>
  <c r="M111" s="1"/>
  <c r="DT112"/>
  <c r="M112" s="1"/>
  <c r="DT113"/>
  <c r="M113" s="1"/>
  <c r="DT114"/>
  <c r="M114" s="1"/>
  <c r="DT115"/>
  <c r="M115" s="1"/>
  <c r="DT116"/>
  <c r="M116" s="1"/>
  <c r="DT117"/>
  <c r="M117" s="1"/>
  <c r="DT118"/>
  <c r="M118" s="1"/>
  <c r="DT119"/>
  <c r="M119" s="1"/>
  <c r="DT120"/>
  <c r="M120" s="1"/>
  <c r="DT121"/>
  <c r="M121" s="1"/>
  <c r="DT122"/>
  <c r="M122" s="1"/>
  <c r="DT123"/>
  <c r="M123" s="1"/>
  <c r="DT124"/>
  <c r="M124" s="1"/>
  <c r="DT125"/>
  <c r="M125" s="1"/>
  <c r="DT126"/>
  <c r="M126" s="1"/>
  <c r="DT127"/>
  <c r="M127" s="1"/>
  <c r="DT128"/>
  <c r="M128" s="1"/>
  <c r="DT129"/>
  <c r="M129" s="1"/>
  <c r="DT130"/>
  <c r="M130" s="1"/>
  <c r="DT131"/>
  <c r="M131" s="1"/>
  <c r="DT133"/>
  <c r="M133" s="1"/>
  <c r="DT134"/>
  <c r="M134" s="1"/>
  <c r="DT135"/>
  <c r="M135" s="1"/>
  <c r="DT136"/>
  <c r="M136" s="1"/>
  <c r="DT137"/>
  <c r="M137" s="1"/>
  <c r="DT138"/>
  <c r="M138" s="1"/>
  <c r="DT139"/>
  <c r="M139" s="1"/>
  <c r="DT140"/>
  <c r="M140" s="1"/>
  <c r="DT141"/>
  <c r="M141" s="1"/>
  <c r="DT142"/>
  <c r="M142" s="1"/>
  <c r="DT143"/>
  <c r="M143" s="1"/>
  <c r="DT144"/>
  <c r="M144" s="1"/>
  <c r="DT145"/>
  <c r="M145" s="1"/>
  <c r="DT146"/>
  <c r="M146" s="1"/>
  <c r="DT147"/>
  <c r="M147" s="1"/>
  <c r="DT148"/>
  <c r="M148" s="1"/>
  <c r="DT149"/>
  <c r="M149" s="1"/>
  <c r="DT150"/>
  <c r="M150" s="1"/>
  <c r="DT151"/>
  <c r="M151" s="1"/>
  <c r="DT152"/>
  <c r="M152" s="1"/>
  <c r="DT153"/>
  <c r="M153" s="1"/>
  <c r="DT154"/>
  <c r="M154" s="1"/>
  <c r="DT155"/>
  <c r="M155" s="1"/>
  <c r="DT156"/>
  <c r="M156" s="1"/>
  <c r="DT157"/>
  <c r="M157" s="1"/>
  <c r="DT158"/>
  <c r="M158" s="1"/>
  <c r="DT159"/>
  <c r="M159" s="1"/>
  <c r="DT160"/>
  <c r="DT161"/>
  <c r="M161" s="1"/>
  <c r="DT162"/>
  <c r="M162" s="1"/>
  <c r="DT163"/>
  <c r="M163" s="1"/>
  <c r="DT164"/>
  <c r="M164" s="1"/>
  <c r="DT165"/>
  <c r="M165" s="1"/>
  <c r="DT166"/>
  <c r="M166" s="1"/>
  <c r="DT167"/>
  <c r="M167" s="1"/>
  <c r="DT168"/>
  <c r="M168" s="1"/>
  <c r="DT169"/>
  <c r="M169" s="1"/>
  <c r="DT170"/>
  <c r="M170" s="1"/>
  <c r="DT171"/>
  <c r="M171" s="1"/>
  <c r="DT172"/>
  <c r="M172" s="1"/>
  <c r="DT173"/>
  <c r="M173" s="1"/>
  <c r="DT174"/>
  <c r="M174" s="1"/>
  <c r="DT175"/>
  <c r="M175" s="1"/>
  <c r="DT176"/>
  <c r="M176" s="1"/>
  <c r="DT177"/>
  <c r="M177" s="1"/>
  <c r="DT178"/>
  <c r="M178" s="1"/>
  <c r="DT179"/>
  <c r="M179" s="1"/>
  <c r="DT180"/>
  <c r="M180" s="1"/>
  <c r="DT181"/>
  <c r="M181" s="1"/>
  <c r="DT182"/>
  <c r="M182" s="1"/>
  <c r="DT183"/>
  <c r="M183" s="1"/>
  <c r="DT184"/>
  <c r="M184" s="1"/>
  <c r="DT186"/>
  <c r="M186" s="1"/>
  <c r="DT187"/>
  <c r="M187" s="1"/>
  <c r="DT188"/>
  <c r="M188" s="1"/>
  <c r="DT189"/>
  <c r="M189" s="1"/>
  <c r="DT190"/>
  <c r="M190" s="1"/>
  <c r="DT191"/>
  <c r="M191" s="1"/>
  <c r="DT192"/>
  <c r="M192" s="1"/>
  <c r="DT193"/>
  <c r="M193" s="1"/>
  <c r="DT194"/>
  <c r="M194" s="1"/>
  <c r="DT195"/>
  <c r="M195" s="1"/>
  <c r="DT196"/>
  <c r="M196" s="1"/>
  <c r="DT197"/>
  <c r="M197" s="1"/>
  <c r="DT198"/>
  <c r="M198" s="1"/>
  <c r="DT199"/>
  <c r="M199" s="1"/>
  <c r="DT200"/>
  <c r="M200" s="1"/>
  <c r="DT201"/>
  <c r="DT202"/>
  <c r="M202" s="1"/>
  <c r="DT203"/>
  <c r="M203" s="1"/>
  <c r="DT204"/>
  <c r="M204" s="1"/>
  <c r="DT206"/>
  <c r="M206" s="1"/>
  <c r="DT207"/>
  <c r="M207" s="1"/>
  <c r="DT208"/>
  <c r="M208" s="1"/>
  <c r="DT209"/>
  <c r="M209" s="1"/>
  <c r="DT210"/>
  <c r="M210" s="1"/>
  <c r="DT211"/>
  <c r="M211" s="1"/>
  <c r="DT212"/>
  <c r="M212" s="1"/>
  <c r="DT213"/>
  <c r="M213" s="1"/>
  <c r="DT214"/>
  <c r="M214" s="1"/>
  <c r="DT215"/>
  <c r="M215" s="1"/>
  <c r="DT216"/>
  <c r="M216" s="1"/>
  <c r="DT217"/>
  <c r="M217" s="1"/>
  <c r="DT218"/>
  <c r="M218" s="1"/>
  <c r="DT219"/>
  <c r="M219" s="1"/>
  <c r="DT220"/>
  <c r="M220" s="1"/>
  <c r="DT221"/>
  <c r="M221" s="1"/>
  <c r="DT222"/>
  <c r="M222" s="1"/>
  <c r="DT223"/>
  <c r="M223" s="1"/>
  <c r="DT224"/>
  <c r="M224" s="1"/>
  <c r="DT225"/>
  <c r="M225" s="1"/>
  <c r="DT226"/>
  <c r="M226" s="1"/>
  <c r="DT227"/>
  <c r="M227" s="1"/>
  <c r="DT228"/>
  <c r="M228" s="1"/>
  <c r="DT229"/>
  <c r="M229" s="1"/>
  <c r="DT230"/>
  <c r="M230" s="1"/>
  <c r="DT231"/>
  <c r="M231" s="1"/>
  <c r="DT232"/>
  <c r="M232" s="1"/>
  <c r="DT233"/>
  <c r="M233" s="1"/>
  <c r="DT234"/>
  <c r="M234" s="1"/>
  <c r="DT235"/>
  <c r="M235" s="1"/>
  <c r="DT236"/>
  <c r="M236" s="1"/>
  <c r="DT237"/>
  <c r="M237" s="1"/>
  <c r="DT238"/>
  <c r="M238" s="1"/>
  <c r="DT239"/>
  <c r="M239" s="1"/>
  <c r="DT240"/>
  <c r="M240" s="1"/>
  <c r="DT241"/>
  <c r="M241" s="1"/>
  <c r="DT242"/>
  <c r="M242" s="1"/>
  <c r="DT243"/>
  <c r="M243" s="1"/>
  <c r="DT244"/>
  <c r="M244" s="1"/>
  <c r="DT245"/>
  <c r="M245" s="1"/>
  <c r="DT246"/>
  <c r="M246" s="1"/>
  <c r="DT247"/>
  <c r="M247" s="1"/>
  <c r="DT248"/>
  <c r="M248" s="1"/>
  <c r="DT249"/>
  <c r="M249" s="1"/>
  <c r="DT250"/>
  <c r="M250" s="1"/>
  <c r="DT251"/>
  <c r="M251" s="1"/>
  <c r="DT252"/>
  <c r="M252" s="1"/>
  <c r="DT253"/>
  <c r="M253" s="1"/>
  <c r="DT254"/>
  <c r="M254" s="1"/>
  <c r="DT255"/>
  <c r="M255" s="1"/>
  <c r="DT257"/>
  <c r="M257" s="1"/>
  <c r="DT258"/>
  <c r="M258" s="1"/>
  <c r="DT259"/>
  <c r="M259" s="1"/>
  <c r="DT260"/>
  <c r="M260" s="1"/>
  <c r="DT261"/>
  <c r="M261" s="1"/>
  <c r="DT262"/>
  <c r="M262" s="1"/>
  <c r="DT263"/>
  <c r="M263" s="1"/>
  <c r="DT264"/>
  <c r="M264" s="1"/>
  <c r="DT265"/>
  <c r="M265" s="1"/>
  <c r="DT266"/>
  <c r="M266" s="1"/>
  <c r="DT267"/>
  <c r="M267" s="1"/>
  <c r="DT268"/>
  <c r="M268" s="1"/>
  <c r="DT269"/>
  <c r="M269" s="1"/>
  <c r="DT270"/>
  <c r="M270" s="1"/>
  <c r="DT271"/>
  <c r="M271" s="1"/>
  <c r="DT272"/>
  <c r="M272" s="1"/>
  <c r="DT273"/>
  <c r="M273" s="1"/>
  <c r="DT274"/>
  <c r="M274" s="1"/>
  <c r="DT275"/>
  <c r="M275" s="1"/>
  <c r="DT276"/>
  <c r="M276" s="1"/>
  <c r="DT277"/>
  <c r="M277" s="1"/>
  <c r="DT278"/>
  <c r="M278" s="1"/>
  <c r="DT279"/>
  <c r="M279" s="1"/>
  <c r="DT280"/>
  <c r="M280" s="1"/>
  <c r="DT281"/>
  <c r="M281" s="1"/>
  <c r="DT282"/>
  <c r="M282" s="1"/>
  <c r="DT283"/>
  <c r="M283" s="1"/>
  <c r="DT284"/>
  <c r="M284" s="1"/>
  <c r="DT285"/>
  <c r="M285" s="1"/>
  <c r="DT286"/>
  <c r="M286" s="1"/>
  <c r="DT287"/>
  <c r="M287" s="1"/>
  <c r="DT288"/>
  <c r="M288" s="1"/>
  <c r="DT289"/>
  <c r="M289" s="1"/>
  <c r="DT290"/>
  <c r="M290" s="1"/>
  <c r="DT291"/>
  <c r="M291" s="1"/>
  <c r="DT292"/>
  <c r="M292" s="1"/>
  <c r="DT293"/>
  <c r="M293" s="1"/>
  <c r="DT294"/>
  <c r="M294" s="1"/>
  <c r="DT295"/>
  <c r="M295" s="1"/>
  <c r="DT296"/>
  <c r="M296" s="1"/>
  <c r="DT297"/>
  <c r="M297" s="1"/>
  <c r="DT298"/>
  <c r="M298" s="1"/>
  <c r="DT299"/>
  <c r="M299" s="1"/>
  <c r="DT300"/>
  <c r="M300" s="1"/>
  <c r="DT301"/>
  <c r="M301" s="1"/>
  <c r="DT302"/>
  <c r="M302" s="1"/>
  <c r="DT303"/>
  <c r="M303" s="1"/>
  <c r="DT304"/>
  <c r="M304" s="1"/>
  <c r="DT305"/>
  <c r="M305" s="1"/>
  <c r="DT306"/>
  <c r="M306" s="1"/>
  <c r="DT307"/>
  <c r="M307" s="1"/>
  <c r="DT308"/>
  <c r="M308" s="1"/>
  <c r="DT310"/>
  <c r="M310" s="1"/>
  <c r="DT311"/>
  <c r="M311" s="1"/>
  <c r="DT313"/>
  <c r="M313" s="1"/>
  <c r="DT314"/>
  <c r="M314" s="1"/>
  <c r="DT315"/>
  <c r="M315" s="1"/>
  <c r="DT316"/>
  <c r="M316" s="1"/>
  <c r="DT317"/>
  <c r="M317" s="1"/>
  <c r="DT318"/>
  <c r="M318" s="1"/>
  <c r="DT319"/>
  <c r="M319" s="1"/>
  <c r="DT320"/>
  <c r="M320" s="1"/>
  <c r="DT321"/>
  <c r="M321" s="1"/>
  <c r="DT322"/>
  <c r="M322" s="1"/>
  <c r="DT323"/>
  <c r="M323" s="1"/>
  <c r="DT324"/>
  <c r="M324" s="1"/>
  <c r="DT325"/>
  <c r="M325" s="1"/>
  <c r="DT326"/>
  <c r="M326" s="1"/>
  <c r="DT327"/>
  <c r="M327" s="1"/>
  <c r="DT328"/>
  <c r="M328" s="1"/>
  <c r="DT329"/>
  <c r="M329" s="1"/>
  <c r="DT330"/>
  <c r="M330" s="1"/>
  <c r="DT331"/>
  <c r="M331" s="1"/>
  <c r="DT332"/>
  <c r="M332" s="1"/>
  <c r="DT333"/>
  <c r="M333" s="1"/>
  <c r="DT334"/>
  <c r="M334" s="1"/>
  <c r="DT335"/>
  <c r="M335" s="1"/>
  <c r="DT336"/>
  <c r="M336" s="1"/>
  <c r="DT337"/>
  <c r="M337" s="1"/>
  <c r="DT338"/>
  <c r="M338" s="1"/>
  <c r="DT339"/>
  <c r="M339" s="1"/>
  <c r="DT340"/>
  <c r="M340" s="1"/>
  <c r="DT341"/>
  <c r="M341" s="1"/>
  <c r="DT342"/>
  <c r="M342" s="1"/>
  <c r="DT343"/>
  <c r="M343" s="1"/>
  <c r="DT344"/>
  <c r="M344" s="1"/>
  <c r="DT345"/>
  <c r="M345" s="1"/>
  <c r="DT346"/>
  <c r="M346" s="1"/>
  <c r="DT347"/>
  <c r="M347" s="1"/>
  <c r="DT348"/>
  <c r="M348" s="1"/>
  <c r="DT349"/>
  <c r="M349" s="1"/>
  <c r="DT350"/>
  <c r="M350" s="1"/>
  <c r="DT351"/>
  <c r="M351" s="1"/>
  <c r="DT352"/>
  <c r="M352" s="1"/>
  <c r="DT353"/>
  <c r="M353" s="1"/>
  <c r="DT354"/>
  <c r="M354" s="1"/>
  <c r="DT355"/>
  <c r="M355" s="1"/>
  <c r="DT356"/>
  <c r="M356" s="1"/>
  <c r="DT357"/>
  <c r="M357" s="1"/>
  <c r="DT358"/>
  <c r="M358" s="1"/>
  <c r="DT359"/>
  <c r="M359" s="1"/>
  <c r="DT360"/>
  <c r="M360" s="1"/>
  <c r="DT361"/>
  <c r="M361" s="1"/>
  <c r="DT362"/>
  <c r="M362" s="1"/>
  <c r="DT363"/>
  <c r="M363" s="1"/>
  <c r="DT364"/>
  <c r="M364" s="1"/>
  <c r="DT365"/>
  <c r="M365" s="1"/>
  <c r="DT366"/>
  <c r="M366" s="1"/>
  <c r="DT367"/>
  <c r="M367" s="1"/>
  <c r="DT368"/>
  <c r="M368" s="1"/>
  <c r="DT369"/>
  <c r="M369" s="1"/>
  <c r="DT370"/>
  <c r="M370" s="1"/>
  <c r="DT371"/>
  <c r="M371" s="1"/>
  <c r="DT372"/>
  <c r="M372" s="1"/>
  <c r="DT373"/>
  <c r="M373" s="1"/>
  <c r="DT374"/>
  <c r="M374" s="1"/>
  <c r="DT375"/>
  <c r="M375" s="1"/>
  <c r="DT376"/>
  <c r="M376" s="1"/>
  <c r="DT377"/>
  <c r="M377" s="1"/>
  <c r="DT378"/>
  <c r="M378" s="1"/>
  <c r="DT379"/>
  <c r="M379" s="1"/>
  <c r="DT380"/>
  <c r="M380" s="1"/>
  <c r="DT381"/>
  <c r="M381" s="1"/>
  <c r="DT382"/>
  <c r="M382" s="1"/>
  <c r="DT8"/>
  <c r="M8" s="1"/>
  <c r="FL132"/>
  <c r="DT132" s="1"/>
  <c r="M132" s="1"/>
  <c r="BI10"/>
  <c r="BH10"/>
  <c r="W201"/>
  <c r="W160"/>
  <c r="AQ243" i="2"/>
  <c r="S243"/>
  <c r="CS69"/>
  <c r="S69"/>
  <c r="AZ139"/>
  <c r="CS137"/>
  <c r="CS136"/>
  <c r="CS133"/>
  <c r="CS130"/>
  <c r="AJ91"/>
  <c r="CS87"/>
  <c r="CS38"/>
  <c r="DT35"/>
  <c r="DL35"/>
  <c r="AJ35"/>
  <c r="S35"/>
  <c r="CS34"/>
  <c r="CS33"/>
  <c r="DT24"/>
  <c r="CS24" s="1"/>
  <c r="S24"/>
  <c r="CS23"/>
  <c r="AZ22"/>
  <c r="S22"/>
  <c r="AW17"/>
  <c r="AJ17"/>
  <c r="E40" i="5"/>
  <c r="M201" i="1" l="1"/>
  <c r="M160"/>
  <c r="M10"/>
  <c r="M256"/>
  <c r="AJ256" i="2"/>
  <c r="AJ257"/>
  <c r="AJ258"/>
  <c r="AJ259"/>
  <c r="AJ260"/>
  <c r="AJ261"/>
  <c r="AJ255"/>
  <c r="CS253"/>
  <c r="CS252"/>
  <c r="CS251"/>
  <c r="CS250"/>
  <c r="CS249"/>
  <c r="CS248"/>
  <c r="CS247"/>
  <c r="CS246"/>
  <c r="CS245"/>
  <c r="CS244"/>
  <c r="CS239"/>
  <c r="AW239"/>
  <c r="CS237"/>
  <c r="CS236"/>
  <c r="AJ235"/>
  <c r="CY228"/>
  <c r="CS226"/>
  <c r="AJ224"/>
  <c r="CY224"/>
  <c r="AJ223"/>
  <c r="CY222"/>
  <c r="CY221"/>
  <c r="AJ221"/>
  <c r="CD219"/>
  <c r="EB219"/>
  <c r="CY218"/>
  <c r="CS218" s="1"/>
  <c r="AJ217"/>
  <c r="CY215"/>
  <c r="CS215" s="1"/>
  <c r="CS212"/>
  <c r="CS211"/>
  <c r="CS210"/>
  <c r="AQ207"/>
  <c r="AW207"/>
  <c r="AZ207"/>
  <c r="AZ206"/>
  <c r="DT206"/>
  <c r="DE206"/>
  <c r="AW206"/>
  <c r="AE204"/>
  <c r="AW203"/>
  <c r="S203"/>
  <c r="S202"/>
  <c r="S200"/>
  <c r="AW200"/>
  <c r="AZ200"/>
  <c r="CD199"/>
  <c r="DE199"/>
  <c r="AQ199"/>
  <c r="AQ198"/>
  <c r="AW198"/>
  <c r="DT197"/>
  <c r="DL197"/>
  <c r="S197"/>
  <c r="AW196"/>
  <c r="AE196"/>
  <c r="S196"/>
  <c r="CY195"/>
  <c r="AW193"/>
  <c r="CP193"/>
  <c r="S193"/>
  <c r="AJ192"/>
  <c r="AJ191"/>
  <c r="AJ190"/>
  <c r="AJ189"/>
  <c r="AJ186"/>
  <c r="CD185"/>
  <c r="S185"/>
  <c r="AW184"/>
  <c r="CD184"/>
  <c r="AJ184"/>
  <c r="S184"/>
  <c r="CS206" l="1"/>
  <c r="CS197"/>
  <c r="AZ183"/>
  <c r="S183"/>
  <c r="S182"/>
  <c r="CS181"/>
  <c r="AQ181"/>
  <c r="AW179" l="1"/>
  <c r="BR177"/>
  <c r="AW177"/>
  <c r="AQ177"/>
  <c r="CS158"/>
  <c r="CS159"/>
  <c r="AJ176"/>
  <c r="AW175"/>
  <c r="AZ175"/>
  <c r="S174"/>
  <c r="BR173"/>
  <c r="CS173"/>
  <c r="CS172"/>
  <c r="CS171"/>
  <c r="CS170"/>
  <c r="CY37"/>
  <c r="CD166"/>
  <c r="AJ165"/>
  <c r="AJ164"/>
  <c r="CD163"/>
  <c r="AJ161"/>
  <c r="CD162"/>
  <c r="CS162"/>
  <c r="DE161"/>
  <c r="O162" l="1"/>
  <c r="CS160"/>
  <c r="AJ160"/>
  <c r="CS157"/>
  <c r="AW156"/>
  <c r="CS155"/>
  <c r="CS154"/>
  <c r="AJ126"/>
  <c r="CS125"/>
  <c r="AJ125"/>
  <c r="CS124"/>
  <c r="CS84"/>
  <c r="CS83"/>
  <c r="CS82"/>
  <c r="CS81"/>
  <c r="CS80"/>
  <c r="AJ79"/>
  <c r="CS78"/>
  <c r="CS77"/>
  <c r="AQ76"/>
  <c r="AZ76"/>
  <c r="CS75"/>
  <c r="CS74"/>
  <c r="CS73"/>
  <c r="CS72"/>
  <c r="AJ72"/>
  <c r="AJ71" l="1"/>
  <c r="S71"/>
  <c r="CS70"/>
  <c r="CS68"/>
  <c r="AJ66"/>
  <c r="AW66"/>
  <c r="CS64"/>
  <c r="CS63"/>
  <c r="CD63"/>
  <c r="CS61"/>
  <c r="CS60"/>
  <c r="CS59"/>
  <c r="CS57"/>
  <c r="CS56"/>
  <c r="CS55"/>
  <c r="BR54"/>
  <c r="CS53"/>
  <c r="CS52"/>
  <c r="AQ52" l="1"/>
  <c r="AT52"/>
  <c r="AZ52"/>
  <c r="CD52"/>
  <c r="CS51"/>
  <c r="AW51"/>
  <c r="AE51"/>
  <c r="AJ50"/>
  <c r="CS49"/>
  <c r="AJ45"/>
  <c r="AJ49"/>
  <c r="CS48"/>
  <c r="S48"/>
  <c r="BR47"/>
  <c r="S46"/>
  <c r="CS46"/>
  <c r="AW45" l="1"/>
  <c r="AT45"/>
  <c r="AQ44"/>
  <c r="BR44"/>
  <c r="CD44"/>
  <c r="CS44"/>
  <c r="CD153" l="1"/>
  <c r="AZ153"/>
  <c r="S153"/>
  <c r="DL153"/>
  <c r="CS153" s="1"/>
  <c r="AW152"/>
  <c r="CS150"/>
  <c r="S150"/>
  <c r="AJ149"/>
  <c r="CS148"/>
  <c r="AE148"/>
  <c r="AJ148"/>
  <c r="CS147"/>
  <c r="CS146"/>
  <c r="CS144"/>
  <c r="CS142"/>
  <c r="CS134"/>
  <c r="AJ133"/>
  <c r="AW132"/>
  <c r="AW131"/>
  <c r="AJ130"/>
  <c r="CS129"/>
  <c r="CS128"/>
  <c r="CS122"/>
  <c r="CS121"/>
  <c r="AZ121"/>
  <c r="CD120"/>
  <c r="AW119"/>
  <c r="CS118"/>
  <c r="CS117"/>
  <c r="CS116"/>
  <c r="AW114"/>
  <c r="CS114"/>
  <c r="DE113"/>
  <c r="AJ113"/>
  <c r="AJ111"/>
  <c r="CY110"/>
  <c r="AW110"/>
  <c r="AT110"/>
  <c r="AQ110"/>
  <c r="CS92"/>
  <c r="AJ90"/>
  <c r="BR90"/>
  <c r="AW89" l="1"/>
  <c r="AZ89"/>
  <c r="AQ89"/>
  <c r="AJ89"/>
  <c r="CS88"/>
  <c r="AJ88"/>
  <c r="AW87"/>
  <c r="AJ86"/>
  <c r="S86"/>
  <c r="CS86"/>
  <c r="CS85"/>
  <c r="AJ85"/>
  <c r="AZ85" l="1"/>
  <c r="G74" i="1"/>
  <c r="G56"/>
  <c r="G205" i="2"/>
  <c r="G191" i="1"/>
  <c r="G382" l="1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1"/>
  <c r="G340"/>
  <c r="G339"/>
  <c r="G338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8"/>
  <c r="G207"/>
  <c r="G205"/>
  <c r="G204"/>
  <c r="G203"/>
  <c r="G202"/>
  <c r="G201"/>
  <c r="G200"/>
  <c r="G199"/>
  <c r="G198"/>
  <c r="J198" s="1"/>
  <c r="G197"/>
  <c r="G196"/>
  <c r="G195"/>
  <c r="G194"/>
  <c r="G193"/>
  <c r="G192"/>
  <c r="G190"/>
  <c r="G189"/>
  <c r="G188"/>
  <c r="G187"/>
  <c r="G186"/>
  <c r="G185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1"/>
  <c r="G140"/>
  <c r="G139"/>
  <c r="G138"/>
  <c r="G137"/>
  <c r="G136"/>
  <c r="G135"/>
  <c r="G134"/>
  <c r="G133"/>
  <c r="G132"/>
  <c r="G131"/>
  <c r="G130"/>
  <c r="G129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3"/>
  <c r="G72"/>
  <c r="G71"/>
  <c r="K71" s="1"/>
  <c r="G70"/>
  <c r="K70" s="1"/>
  <c r="G69"/>
  <c r="K69" s="1"/>
  <c r="G68"/>
  <c r="K68" s="1"/>
  <c r="G67"/>
  <c r="G66"/>
  <c r="G65"/>
  <c r="G64"/>
  <c r="G63"/>
  <c r="G62"/>
  <c r="G61"/>
  <c r="G60"/>
  <c r="G54"/>
  <c r="G53"/>
  <c r="G52"/>
  <c r="G51"/>
  <c r="G50"/>
  <c r="G49"/>
  <c r="G48"/>
  <c r="G47"/>
  <c r="G46"/>
  <c r="G45"/>
  <c r="G44"/>
  <c r="G43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383" l="1"/>
  <c r="CD43" i="2"/>
  <c r="AZ41"/>
  <c r="DT41"/>
  <c r="CS41" s="1"/>
  <c r="AT40"/>
  <c r="BR40"/>
  <c r="AQ40"/>
  <c r="AZ40"/>
  <c r="AW40"/>
  <c r="DL39"/>
  <c r="DT39"/>
  <c r="DE39"/>
  <c r="CD37"/>
  <c r="S36"/>
  <c r="DE31"/>
  <c r="CS31" s="1"/>
  <c r="AW31"/>
  <c r="CD28"/>
  <c r="CY27"/>
  <c r="AJ27"/>
  <c r="AJ25"/>
  <c r="AJ19"/>
  <c r="CS18"/>
  <c r="AJ12"/>
  <c r="AJ10"/>
  <c r="CS39" l="1"/>
  <c r="AZ9"/>
  <c r="CS8"/>
  <c r="CS9"/>
  <c r="CS10"/>
  <c r="CS11"/>
  <c r="CS12"/>
  <c r="CS13"/>
  <c r="CS14"/>
  <c r="CS15"/>
  <c r="CS16"/>
  <c r="CS17"/>
  <c r="CS19"/>
  <c r="CS20"/>
  <c r="CS21"/>
  <c r="CS22"/>
  <c r="CS25"/>
  <c r="CS26"/>
  <c r="CS27"/>
  <c r="CS28"/>
  <c r="CS29"/>
  <c r="CS30"/>
  <c r="CS32"/>
  <c r="CS35"/>
  <c r="CS36"/>
  <c r="CS37"/>
  <c r="CS40"/>
  <c r="O40" s="1"/>
  <c r="CS42"/>
  <c r="CS43"/>
  <c r="CS45"/>
  <c r="CS47"/>
  <c r="CS50"/>
  <c r="CS54"/>
  <c r="CS58"/>
  <c r="CS62"/>
  <c r="CS65"/>
  <c r="CS66"/>
  <c r="CS67"/>
  <c r="CS71"/>
  <c r="CS76"/>
  <c r="CS79"/>
  <c r="CS89"/>
  <c r="CS90"/>
  <c r="CS91"/>
  <c r="CS93"/>
  <c r="CS94"/>
  <c r="CS95"/>
  <c r="CS96"/>
  <c r="CS97"/>
  <c r="CS98"/>
  <c r="CS99"/>
  <c r="CS100"/>
  <c r="CS101"/>
  <c r="CS102"/>
  <c r="CS103"/>
  <c r="CS104"/>
  <c r="CS105"/>
  <c r="CS106"/>
  <c r="CS107"/>
  <c r="CS108"/>
  <c r="CS109"/>
  <c r="CS110"/>
  <c r="CS111"/>
  <c r="CS112"/>
  <c r="CS113"/>
  <c r="CS115"/>
  <c r="CS119"/>
  <c r="CS120"/>
  <c r="CS123"/>
  <c r="CS126"/>
  <c r="CS127"/>
  <c r="CS131"/>
  <c r="CS132"/>
  <c r="CS135"/>
  <c r="CS138"/>
  <c r="CS139"/>
  <c r="CS140"/>
  <c r="CS141"/>
  <c r="CS143"/>
  <c r="CS145"/>
  <c r="CS149"/>
  <c r="CS151"/>
  <c r="CS152"/>
  <c r="CS156"/>
  <c r="CS161"/>
  <c r="CS163"/>
  <c r="CS164"/>
  <c r="CS165"/>
  <c r="CS166"/>
  <c r="CS167"/>
  <c r="CS168"/>
  <c r="CS169"/>
  <c r="CS174"/>
  <c r="CS175"/>
  <c r="CS176"/>
  <c r="CS177"/>
  <c r="CS178"/>
  <c r="CS179"/>
  <c r="CS180"/>
  <c r="CS182"/>
  <c r="CS183"/>
  <c r="CS184"/>
  <c r="CS185"/>
  <c r="CS186"/>
  <c r="CS187"/>
  <c r="CS188"/>
  <c r="CS189"/>
  <c r="CS190"/>
  <c r="CS191"/>
  <c r="CS192"/>
  <c r="CS193"/>
  <c r="CS194"/>
  <c r="CS195"/>
  <c r="CS196"/>
  <c r="CS198"/>
  <c r="CS199"/>
  <c r="CS200"/>
  <c r="CS201"/>
  <c r="CS202"/>
  <c r="CS203"/>
  <c r="CS204"/>
  <c r="CS207"/>
  <c r="CS208"/>
  <c r="CS209"/>
  <c r="CS213"/>
  <c r="CS214"/>
  <c r="CS216"/>
  <c r="CS217"/>
  <c r="CS219"/>
  <c r="CS220"/>
  <c r="CS221"/>
  <c r="CS222"/>
  <c r="CS223"/>
  <c r="CS224"/>
  <c r="CS225"/>
  <c r="CS227"/>
  <c r="CS228"/>
  <c r="CS229"/>
  <c r="CS230"/>
  <c r="CS231"/>
  <c r="CS232"/>
  <c r="CS233"/>
  <c r="CS234"/>
  <c r="CS235"/>
  <c r="CS238"/>
  <c r="CS240"/>
  <c r="CS241"/>
  <c r="CS242"/>
  <c r="CS243"/>
  <c r="CS254"/>
  <c r="CS255"/>
  <c r="CS256"/>
  <c r="CS257"/>
  <c r="CS258"/>
  <c r="CS259"/>
  <c r="CS260"/>
  <c r="CS261"/>
  <c r="AD15" i="9"/>
  <c r="BT12"/>
  <c r="Q11"/>
  <c r="BT11"/>
  <c r="AD11"/>
  <c r="BT14"/>
  <c r="AM10"/>
  <c r="BT10"/>
  <c r="AD10"/>
  <c r="BT17"/>
  <c r="Q16"/>
  <c r="CM16"/>
  <c r="BT16" s="1"/>
  <c r="BW18" l="1"/>
  <c r="BW17"/>
  <c r="BW16"/>
  <c r="BW15"/>
  <c r="BW14"/>
  <c r="BW13"/>
  <c r="BW12"/>
  <c r="BW11"/>
  <c r="BW9"/>
  <c r="BW8"/>
  <c r="G261" i="2"/>
  <c r="G260"/>
  <c r="G259"/>
  <c r="G258"/>
  <c r="G257"/>
  <c r="G256"/>
  <c r="G255"/>
  <c r="G253"/>
  <c r="G252"/>
  <c r="G251"/>
  <c r="G250"/>
  <c r="G249"/>
  <c r="G248"/>
  <c r="G247"/>
  <c r="G246"/>
  <c r="G245"/>
  <c r="G244"/>
  <c r="G241"/>
  <c r="G240"/>
  <c r="G239"/>
  <c r="G238"/>
  <c r="G237"/>
  <c r="G235"/>
  <c r="G234"/>
  <c r="G233"/>
  <c r="G232"/>
  <c r="G231"/>
  <c r="G230"/>
  <c r="G229"/>
  <c r="G228"/>
  <c r="G227"/>
  <c r="G226"/>
  <c r="G225"/>
  <c r="G224"/>
  <c r="G223"/>
  <c r="G222"/>
  <c r="G221"/>
  <c r="G220"/>
  <c r="G218"/>
  <c r="G217"/>
  <c r="G216"/>
  <c r="G215"/>
  <c r="G214"/>
  <c r="G213"/>
  <c r="G212"/>
  <c r="G211"/>
  <c r="G210"/>
  <c r="G209"/>
  <c r="G208"/>
  <c r="G195"/>
  <c r="G194"/>
  <c r="G192"/>
  <c r="G191"/>
  <c r="G190"/>
  <c r="G189"/>
  <c r="G188"/>
  <c r="G187"/>
  <c r="G186"/>
  <c r="G172"/>
  <c r="G171"/>
  <c r="G170"/>
  <c r="G169"/>
  <c r="G168"/>
  <c r="G167"/>
  <c r="G164"/>
  <c r="G163"/>
  <c r="G162"/>
  <c r="G161"/>
  <c r="G160"/>
  <c r="G159"/>
  <c r="G158"/>
  <c r="G157"/>
  <c r="G156"/>
  <c r="G155"/>
  <c r="G154"/>
  <c r="G126"/>
  <c r="G125"/>
  <c r="G124"/>
  <c r="G117"/>
  <c r="G116"/>
  <c r="G115"/>
  <c r="G114"/>
  <c r="G113"/>
  <c r="G112"/>
  <c r="G111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34"/>
  <c r="G33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193"/>
  <c r="G127"/>
  <c r="G26" l="1"/>
  <c r="K9" l="1"/>
  <c r="K10"/>
  <c r="K11"/>
  <c r="K12"/>
  <c r="K13"/>
  <c r="K14"/>
  <c r="K15"/>
  <c r="K16"/>
  <c r="K17"/>
  <c r="K18"/>
  <c r="K19"/>
  <c r="K20"/>
  <c r="K21"/>
  <c r="K22"/>
  <c r="K23"/>
  <c r="K24"/>
  <c r="K25"/>
  <c r="K26"/>
  <c r="K33"/>
  <c r="K34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1"/>
  <c r="K112"/>
  <c r="K113"/>
  <c r="K114"/>
  <c r="K115"/>
  <c r="K116"/>
  <c r="K117"/>
  <c r="K124"/>
  <c r="K125"/>
  <c r="K126"/>
  <c r="K154"/>
  <c r="K155"/>
  <c r="K156"/>
  <c r="K157"/>
  <c r="K158"/>
  <c r="K159"/>
  <c r="K160"/>
  <c r="K161"/>
  <c r="K162"/>
  <c r="K163"/>
  <c r="K164"/>
  <c r="K167"/>
  <c r="K168"/>
  <c r="K169"/>
  <c r="K170"/>
  <c r="K171"/>
  <c r="K172"/>
  <c r="K186"/>
  <c r="K187"/>
  <c r="K188"/>
  <c r="K189"/>
  <c r="K190"/>
  <c r="K191"/>
  <c r="K192"/>
  <c r="K194"/>
  <c r="K195"/>
  <c r="K208"/>
  <c r="K209"/>
  <c r="K210"/>
  <c r="K211"/>
  <c r="K212"/>
  <c r="K213"/>
  <c r="K214"/>
  <c r="K215"/>
  <c r="K216"/>
  <c r="K217"/>
  <c r="K218"/>
  <c r="K220"/>
  <c r="K221"/>
  <c r="K222"/>
  <c r="K223"/>
  <c r="K224"/>
  <c r="K225"/>
  <c r="K226"/>
  <c r="K227"/>
  <c r="K228"/>
  <c r="K229"/>
  <c r="K230"/>
  <c r="K231"/>
  <c r="K232"/>
  <c r="K233"/>
  <c r="K234"/>
  <c r="K235"/>
  <c r="K237"/>
  <c r="K238"/>
  <c r="K239"/>
  <c r="K240"/>
  <c r="K241"/>
  <c r="K244"/>
  <c r="K245"/>
  <c r="K246"/>
  <c r="K247"/>
  <c r="K248"/>
  <c r="K249"/>
  <c r="K250"/>
  <c r="K251"/>
  <c r="K252"/>
  <c r="K253"/>
  <c r="K255"/>
  <c r="K256"/>
  <c r="K257"/>
  <c r="K258"/>
  <c r="K259"/>
  <c r="K260"/>
  <c r="K261"/>
  <c r="G254" l="1"/>
  <c r="K254" s="1"/>
  <c r="G243"/>
  <c r="K243" s="1"/>
  <c r="G242"/>
  <c r="K242" s="1"/>
  <c r="G236"/>
  <c r="K236" s="1"/>
  <c r="G219"/>
  <c r="K219" s="1"/>
  <c r="G207"/>
  <c r="K207" s="1"/>
  <c r="G206"/>
  <c r="K206" s="1"/>
  <c r="G204"/>
  <c r="K204" s="1"/>
  <c r="G203"/>
  <c r="K203" s="1"/>
  <c r="G202"/>
  <c r="K202" s="1"/>
  <c r="G201"/>
  <c r="K201" s="1"/>
  <c r="G200"/>
  <c r="K200" s="1"/>
  <c r="G199"/>
  <c r="K199" s="1"/>
  <c r="G198"/>
  <c r="K198" s="1"/>
  <c r="G197"/>
  <c r="K197" s="1"/>
  <c r="G196"/>
  <c r="K196" s="1"/>
  <c r="K193"/>
  <c r="G185"/>
  <c r="K185" s="1"/>
  <c r="G184"/>
  <c r="K184" s="1"/>
  <c r="G183"/>
  <c r="K183" s="1"/>
  <c r="G182"/>
  <c r="K182" s="1"/>
  <c r="G181"/>
  <c r="K181" s="1"/>
  <c r="G180"/>
  <c r="K180" s="1"/>
  <c r="G179"/>
  <c r="K179" s="1"/>
  <c r="G178"/>
  <c r="K178" s="1"/>
  <c r="G177"/>
  <c r="K177" s="1"/>
  <c r="G176"/>
  <c r="K176" s="1"/>
  <c r="G175"/>
  <c r="K175" s="1"/>
  <c r="G174"/>
  <c r="K174" s="1"/>
  <c r="G173"/>
  <c r="K173" s="1"/>
  <c r="G166"/>
  <c r="K166" s="1"/>
  <c r="G165"/>
  <c r="K165" s="1"/>
  <c r="G153"/>
  <c r="K153" s="1"/>
  <c r="G152"/>
  <c r="K152" s="1"/>
  <c r="G151"/>
  <c r="K151" s="1"/>
  <c r="G150"/>
  <c r="K150" s="1"/>
  <c r="G149"/>
  <c r="K149" s="1"/>
  <c r="G148"/>
  <c r="K148" s="1"/>
  <c r="G147"/>
  <c r="K147" s="1"/>
  <c r="G146"/>
  <c r="K146" s="1"/>
  <c r="G145"/>
  <c r="K145" s="1"/>
  <c r="G144"/>
  <c r="K144" s="1"/>
  <c r="G143"/>
  <c r="K143" s="1"/>
  <c r="G142"/>
  <c r="K142" s="1"/>
  <c r="G141"/>
  <c r="K141" s="1"/>
  <c r="G140"/>
  <c r="K140" s="1"/>
  <c r="G139"/>
  <c r="K139" s="1"/>
  <c r="G138"/>
  <c r="K138" s="1"/>
  <c r="G137"/>
  <c r="K137" s="1"/>
  <c r="G136"/>
  <c r="K136" s="1"/>
  <c r="G135"/>
  <c r="K135" s="1"/>
  <c r="G134"/>
  <c r="K134" s="1"/>
  <c r="G133"/>
  <c r="K133" s="1"/>
  <c r="G132"/>
  <c r="K132" s="1"/>
  <c r="G131"/>
  <c r="K131" s="1"/>
  <c r="G130"/>
  <c r="K130" s="1"/>
  <c r="G129"/>
  <c r="K129" s="1"/>
  <c r="G128"/>
  <c r="K128" s="1"/>
  <c r="K127"/>
  <c r="G123"/>
  <c r="K123" s="1"/>
  <c r="G122"/>
  <c r="K122" s="1"/>
  <c r="G121"/>
  <c r="K121" s="1"/>
  <c r="G120"/>
  <c r="K120" s="1"/>
  <c r="G119"/>
  <c r="K119" s="1"/>
  <c r="G118"/>
  <c r="K118" s="1"/>
  <c r="G110"/>
  <c r="K110" s="1"/>
  <c r="G92"/>
  <c r="K92" s="1"/>
  <c r="G91"/>
  <c r="K91" s="1"/>
  <c r="G90"/>
  <c r="K90" s="1"/>
  <c r="G89"/>
  <c r="K89" s="1"/>
  <c r="G88"/>
  <c r="K88" s="1"/>
  <c r="G87"/>
  <c r="K87" s="1"/>
  <c r="G86"/>
  <c r="K86" s="1"/>
  <c r="G85"/>
  <c r="K85" s="1"/>
  <c r="G52"/>
  <c r="K52" s="1"/>
  <c r="G51"/>
  <c r="K51" s="1"/>
  <c r="G50"/>
  <c r="K50" s="1"/>
  <c r="G49"/>
  <c r="K49" s="1"/>
  <c r="G48"/>
  <c r="K48" s="1"/>
  <c r="G47"/>
  <c r="K47" s="1"/>
  <c r="G46"/>
  <c r="K46" s="1"/>
  <c r="G45"/>
  <c r="K45" s="1"/>
  <c r="G44"/>
  <c r="K44" s="1"/>
  <c r="G43"/>
  <c r="K43" s="1"/>
  <c r="G42"/>
  <c r="K42" s="1"/>
  <c r="G41"/>
  <c r="K41" s="1"/>
  <c r="G40"/>
  <c r="K40" s="1"/>
  <c r="G39"/>
  <c r="K39" s="1"/>
  <c r="G38"/>
  <c r="K38" s="1"/>
  <c r="G37"/>
  <c r="K37" s="1"/>
  <c r="G36"/>
  <c r="K36" s="1"/>
  <c r="G35"/>
  <c r="K35" s="1"/>
  <c r="G32"/>
  <c r="K32" s="1"/>
  <c r="G31"/>
  <c r="K31" s="1"/>
  <c r="G30"/>
  <c r="K30" s="1"/>
  <c r="G29"/>
  <c r="K29" s="1"/>
  <c r="G28"/>
  <c r="K28" s="1"/>
  <c r="G27"/>
  <c r="K27" s="1"/>
  <c r="G10" i="3"/>
  <c r="K10" s="1"/>
  <c r="G9"/>
  <c r="K9" s="1"/>
  <c r="L12" i="9"/>
  <c r="L15"/>
  <c r="G18"/>
  <c r="K18" s="1"/>
  <c r="G17"/>
  <c r="K17" s="1"/>
  <c r="G16"/>
  <c r="K16" s="1"/>
  <c r="G15"/>
  <c r="K15" s="1"/>
  <c r="G14"/>
  <c r="K14" s="1"/>
  <c r="G13"/>
  <c r="K13" s="1"/>
  <c r="G12"/>
  <c r="K12" s="1"/>
  <c r="G11"/>
  <c r="K11" s="1"/>
  <c r="G10"/>
  <c r="K10" s="1"/>
  <c r="G9"/>
  <c r="K9" s="1"/>
  <c r="G8"/>
  <c r="K8" s="1"/>
  <c r="G262" i="2" l="1"/>
  <c r="G396" i="5" l="1"/>
  <c r="G388"/>
  <c r="G385"/>
  <c r="G339"/>
  <c r="G336"/>
  <c r="G289"/>
  <c r="G286"/>
  <c r="G239"/>
  <c r="G236"/>
  <c r="G190"/>
  <c r="G187"/>
  <c r="G141"/>
  <c r="G138"/>
  <c r="K19" i="9" l="1"/>
  <c r="G93" i="5"/>
  <c r="G90"/>
  <c r="G44"/>
  <c r="G41"/>
  <c r="DO19" i="9" l="1"/>
  <c r="DN19"/>
  <c r="DM19"/>
  <c r="DL19"/>
  <c r="DK19"/>
  <c r="DJ19"/>
  <c r="DI19"/>
  <c r="DH19"/>
  <c r="DG19"/>
  <c r="DF19"/>
  <c r="DE19"/>
  <c r="DD19"/>
  <c r="DC19"/>
  <c r="DB19"/>
  <c r="DA19"/>
  <c r="CZ19"/>
  <c r="CX19"/>
  <c r="CW19"/>
  <c r="CV19"/>
  <c r="CU19"/>
  <c r="CT19"/>
  <c r="CS19"/>
  <c r="CR19"/>
  <c r="CM19"/>
  <c r="CL19"/>
  <c r="CK19"/>
  <c r="CJ19"/>
  <c r="CI19"/>
  <c r="CH19"/>
  <c r="CG19"/>
  <c r="CF19"/>
  <c r="CE19"/>
  <c r="CD19"/>
  <c r="CC19"/>
  <c r="CB19"/>
  <c r="CA19"/>
  <c r="BZ19"/>
  <c r="BY19"/>
  <c r="BX19"/>
  <c r="BV19" l="1"/>
  <c r="BU19"/>
  <c r="BS19"/>
  <c r="BQ19"/>
  <c r="BP19"/>
  <c r="BO19"/>
  <c r="BN19"/>
  <c r="BM19"/>
  <c r="BL19"/>
  <c r="BK19"/>
  <c r="BJ19"/>
  <c r="BI19"/>
  <c r="BH19"/>
  <c r="BG19"/>
  <c r="BF19"/>
  <c r="BE19"/>
  <c r="BD19"/>
  <c r="BC19"/>
  <c r="BA19" l="1"/>
  <c r="AY19"/>
  <c r="AX19"/>
  <c r="AW19"/>
  <c r="AV19"/>
  <c r="AU19"/>
  <c r="AT19"/>
  <c r="AS19"/>
  <c r="AR19"/>
  <c r="AQ19"/>
  <c r="AL19" l="1"/>
  <c r="AI19"/>
  <c r="AF19"/>
  <c r="AB19"/>
  <c r="AA19"/>
  <c r="X19"/>
  <c r="W19"/>
  <c r="V19"/>
  <c r="U19"/>
  <c r="T19"/>
  <c r="S19"/>
  <c r="R19"/>
  <c r="P19"/>
  <c r="O19"/>
  <c r="M19"/>
  <c r="J19" l="1"/>
  <c r="I19"/>
  <c r="H19"/>
  <c r="BT18"/>
  <c r="Y18"/>
  <c r="Y19" s="1"/>
  <c r="L18" l="1"/>
  <c r="L17" l="1"/>
  <c r="AP16"/>
  <c r="AO16" l="1"/>
  <c r="AM16"/>
  <c r="AJ16"/>
  <c r="AJ19" s="1"/>
  <c r="AG16"/>
  <c r="AG19" s="1"/>
  <c r="AD16"/>
  <c r="L16" l="1"/>
  <c r="Q14"/>
  <c r="Q19" s="1"/>
  <c r="L14" l="1"/>
  <c r="AM13" l="1"/>
  <c r="AM19" s="1"/>
  <c r="CY19"/>
  <c r="L13" l="1"/>
  <c r="L11"/>
  <c r="BW10"/>
  <c r="BB19"/>
  <c r="AP19"/>
  <c r="AO19" s="1"/>
  <c r="L10" l="1"/>
  <c r="BT9" l="1"/>
  <c r="AD9"/>
  <c r="AD19" s="1"/>
  <c r="BW19"/>
  <c r="BT8"/>
  <c r="BT19" l="1"/>
  <c r="L8"/>
  <c r="L9"/>
  <c r="L19" l="1"/>
  <c r="G19"/>
  <c r="H229" i="7"/>
  <c r="DH224"/>
  <c r="DG224"/>
  <c r="DF224"/>
  <c r="DE224"/>
  <c r="DD224"/>
  <c r="DC224"/>
  <c r="DB224"/>
  <c r="DA224"/>
  <c r="CZ224"/>
  <c r="CY224"/>
  <c r="CX224"/>
  <c r="CW224"/>
  <c r="CV224"/>
  <c r="CU224"/>
  <c r="CT224"/>
  <c r="CS224"/>
  <c r="CR224"/>
  <c r="CQ224"/>
  <c r="CP224"/>
  <c r="CO224"/>
  <c r="CN224"/>
  <c r="CM224"/>
  <c r="CL224"/>
  <c r="CK224"/>
  <c r="CJ224"/>
  <c r="CI224"/>
  <c r="CH224"/>
  <c r="CG224"/>
  <c r="CF224"/>
  <c r="CE224"/>
  <c r="CD224"/>
  <c r="CC224"/>
  <c r="CB224"/>
  <c r="CA224"/>
  <c r="BZ224"/>
  <c r="BY224"/>
  <c r="BX224"/>
  <c r="BW224"/>
  <c r="BV224"/>
  <c r="BU224"/>
  <c r="BT224"/>
  <c r="BS224"/>
  <c r="BR224"/>
  <c r="BQ224"/>
  <c r="BP224"/>
  <c r="BO224"/>
  <c r="BN224"/>
  <c r="BM224"/>
  <c r="BL224"/>
  <c r="BK224"/>
  <c r="BJ224"/>
  <c r="BI224"/>
  <c r="BH224"/>
  <c r="BG224"/>
  <c r="BF224"/>
  <c r="BE224"/>
  <c r="BD224"/>
  <c r="BC224"/>
  <c r="BB224"/>
  <c r="BA224"/>
  <c r="AZ224"/>
  <c r="AY224"/>
  <c r="AX224"/>
  <c r="AW224"/>
  <c r="AV224"/>
  <c r="AU224"/>
  <c r="AT224"/>
  <c r="AS224"/>
  <c r="AR224"/>
  <c r="AQ224"/>
  <c r="AP224"/>
  <c r="AO224"/>
  <c r="AN224"/>
  <c r="AM224"/>
  <c r="AL224"/>
  <c r="AK224"/>
  <c r="AI224"/>
  <c r="AH224"/>
  <c r="AG224"/>
  <c r="AF224"/>
  <c r="AE224"/>
  <c r="AD224"/>
  <c r="AC224"/>
  <c r="AB224"/>
  <c r="AA224"/>
  <c r="Z224"/>
  <c r="Y224"/>
  <c r="X224"/>
  <c r="W224"/>
  <c r="V224"/>
  <c r="U224"/>
  <c r="T224"/>
  <c r="S224"/>
  <c r="R224"/>
  <c r="Q224"/>
  <c r="O224"/>
  <c r="N224"/>
  <c r="M224"/>
  <c r="L224"/>
  <c r="K224"/>
  <c r="J224"/>
  <c r="I224"/>
  <c r="H224"/>
  <c r="G224" l="1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DL177" i="6"/>
  <c r="DK177"/>
  <c r="DJ177"/>
  <c r="DI177"/>
  <c r="DH177"/>
  <c r="DG177"/>
  <c r="DF177"/>
  <c r="DE177"/>
  <c r="DD177"/>
  <c r="DC177"/>
  <c r="DB177"/>
  <c r="DA177"/>
  <c r="CZ177"/>
  <c r="CY177"/>
  <c r="CX177"/>
  <c r="CW177"/>
  <c r="CV177"/>
  <c r="CU177"/>
  <c r="CT177"/>
  <c r="CS177"/>
  <c r="CR177"/>
  <c r="CQ177"/>
  <c r="CP177"/>
  <c r="CO177"/>
  <c r="CN177"/>
  <c r="CM177"/>
  <c r="CL177"/>
  <c r="CK177"/>
  <c r="CJ177"/>
  <c r="CI177"/>
  <c r="CH177"/>
  <c r="CG177"/>
  <c r="CF177"/>
  <c r="CE177"/>
  <c r="CD177"/>
  <c r="CC177"/>
  <c r="CB177"/>
  <c r="CA177"/>
  <c r="BZ177"/>
  <c r="BY177"/>
  <c r="BX177"/>
  <c r="BW177"/>
  <c r="BV177"/>
  <c r="BU177"/>
  <c r="BT177"/>
  <c r="BS177"/>
  <c r="BR177"/>
  <c r="BQ177"/>
  <c r="BP177"/>
  <c r="BO177"/>
  <c r="BN177"/>
  <c r="BM177"/>
  <c r="BL177"/>
  <c r="BK177"/>
  <c r="BJ177"/>
  <c r="BI177"/>
  <c r="BH177"/>
  <c r="BG177"/>
  <c r="BF177"/>
  <c r="BE177"/>
  <c r="BD177"/>
  <c r="BC177"/>
  <c r="BB177"/>
  <c r="BA177"/>
  <c r="AZ177"/>
  <c r="AY177"/>
  <c r="AX177"/>
  <c r="AW177"/>
  <c r="AV177"/>
  <c r="AU177"/>
  <c r="AT177"/>
  <c r="AS177"/>
  <c r="AR177"/>
  <c r="AQ177"/>
  <c r="AP177"/>
  <c r="AO177"/>
  <c r="AN177"/>
  <c r="AM177"/>
  <c r="AL177"/>
  <c r="AK177"/>
  <c r="AJ177"/>
  <c r="AI177"/>
  <c r="AH177"/>
  <c r="AG177"/>
  <c r="AF177"/>
  <c r="AE177"/>
  <c r="AD177"/>
  <c r="AC177"/>
  <c r="AB177"/>
  <c r="AA177"/>
  <c r="Z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 l="1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488" i="5"/>
  <c r="F488"/>
  <c r="E488"/>
  <c r="D488"/>
  <c r="C488"/>
  <c r="G487"/>
  <c r="F487"/>
  <c r="E487"/>
  <c r="D487"/>
  <c r="C487"/>
  <c r="G486"/>
  <c r="C486" l="1"/>
  <c r="G485"/>
  <c r="F485"/>
  <c r="E485"/>
  <c r="D485"/>
  <c r="C485"/>
  <c r="G484"/>
  <c r="F484"/>
  <c r="E484"/>
  <c r="D484"/>
  <c r="C484"/>
  <c r="G483"/>
  <c r="G481" l="1"/>
  <c r="E481"/>
  <c r="C481"/>
  <c r="G480"/>
  <c r="F480"/>
  <c r="E480"/>
  <c r="D480"/>
  <c r="C480"/>
  <c r="G479"/>
  <c r="F479"/>
  <c r="E479"/>
  <c r="D479"/>
  <c r="C479"/>
  <c r="G478"/>
  <c r="F478"/>
  <c r="E478"/>
  <c r="D478"/>
  <c r="C478"/>
  <c r="G477"/>
  <c r="F477"/>
  <c r="E477"/>
  <c r="D477"/>
  <c r="C477"/>
  <c r="G476"/>
  <c r="F476"/>
  <c r="E476"/>
  <c r="D476"/>
  <c r="C476"/>
  <c r="G475"/>
  <c r="F475"/>
  <c r="E475"/>
  <c r="D475"/>
  <c r="C475"/>
  <c r="G474"/>
  <c r="F474"/>
  <c r="E474"/>
  <c r="D474"/>
  <c r="C474" l="1"/>
  <c r="G473"/>
  <c r="F473"/>
  <c r="E473"/>
  <c r="D473"/>
  <c r="C473"/>
  <c r="G472"/>
  <c r="F472"/>
  <c r="E472"/>
  <c r="D472"/>
  <c r="C472"/>
  <c r="G471"/>
  <c r="F471"/>
  <c r="E471"/>
  <c r="D471"/>
  <c r="C471"/>
  <c r="G470"/>
  <c r="F470"/>
  <c r="E470"/>
  <c r="D470"/>
  <c r="C470"/>
  <c r="G469"/>
  <c r="F469"/>
  <c r="E469"/>
  <c r="D469"/>
  <c r="C469"/>
  <c r="G468"/>
  <c r="F468"/>
  <c r="E468"/>
  <c r="D468"/>
  <c r="C468"/>
  <c r="G467"/>
  <c r="F467"/>
  <c r="E467"/>
  <c r="D467"/>
  <c r="C467"/>
  <c r="G466"/>
  <c r="F466"/>
  <c r="E466"/>
  <c r="D466"/>
  <c r="C466"/>
  <c r="G465"/>
  <c r="F465"/>
  <c r="E465"/>
  <c r="D465"/>
  <c r="C465"/>
  <c r="G464"/>
  <c r="F464"/>
  <c r="E464"/>
  <c r="D464"/>
  <c r="C464"/>
  <c r="G463"/>
  <c r="F463"/>
  <c r="E463"/>
  <c r="D463"/>
  <c r="C463"/>
  <c r="G462"/>
  <c r="E462"/>
  <c r="C462"/>
  <c r="G461"/>
  <c r="F461"/>
  <c r="E461"/>
  <c r="D461"/>
  <c r="C461"/>
  <c r="G460"/>
  <c r="F460"/>
  <c r="E460"/>
  <c r="D460"/>
  <c r="C460"/>
  <c r="G459"/>
  <c r="F459"/>
  <c r="E459"/>
  <c r="D459"/>
  <c r="C459"/>
  <c r="G458"/>
  <c r="F458"/>
  <c r="E458"/>
  <c r="D458"/>
  <c r="C458"/>
  <c r="G457"/>
  <c r="F457"/>
  <c r="E457"/>
  <c r="D457"/>
  <c r="C457"/>
  <c r="G456"/>
  <c r="F456"/>
  <c r="E456"/>
  <c r="D456"/>
  <c r="C456"/>
  <c r="G455"/>
  <c r="F455"/>
  <c r="E455"/>
  <c r="D455"/>
  <c r="C455"/>
  <c r="G454"/>
  <c r="F454"/>
  <c r="E454"/>
  <c r="D454"/>
  <c r="C454"/>
  <c r="G453"/>
  <c r="F453"/>
  <c r="E453"/>
  <c r="D453"/>
  <c r="C453"/>
  <c r="G452"/>
  <c r="F452"/>
  <c r="E452"/>
  <c r="D452"/>
  <c r="C452"/>
  <c r="G451"/>
  <c r="F451"/>
  <c r="E451"/>
  <c r="D451"/>
  <c r="C451"/>
  <c r="G450"/>
  <c r="F450"/>
  <c r="E450"/>
  <c r="D450"/>
  <c r="C450"/>
  <c r="G449"/>
  <c r="F449"/>
  <c r="E449"/>
  <c r="D449"/>
  <c r="C449"/>
  <c r="G448"/>
  <c r="F448"/>
  <c r="E448"/>
  <c r="D448"/>
  <c r="C448"/>
  <c r="G447"/>
  <c r="F447"/>
  <c r="E447"/>
  <c r="D447"/>
  <c r="C447"/>
  <c r="G437"/>
  <c r="F437"/>
  <c r="E437"/>
  <c r="D437"/>
  <c r="C437"/>
  <c r="G436"/>
  <c r="F436"/>
  <c r="E436"/>
  <c r="D436"/>
  <c r="C436"/>
  <c r="G435" l="1"/>
  <c r="F435"/>
  <c r="C435"/>
  <c r="G434"/>
  <c r="F434"/>
  <c r="E434"/>
  <c r="D434"/>
  <c r="C434"/>
  <c r="G433"/>
  <c r="F433"/>
  <c r="E433"/>
  <c r="D433"/>
  <c r="C433"/>
  <c r="G432"/>
  <c r="G430" l="1"/>
  <c r="E430"/>
  <c r="C430"/>
  <c r="G429"/>
  <c r="F429"/>
  <c r="E429"/>
  <c r="D429"/>
  <c r="C429"/>
  <c r="G428"/>
  <c r="F428"/>
  <c r="E428"/>
  <c r="D428"/>
  <c r="C428"/>
  <c r="G427"/>
  <c r="F427"/>
  <c r="E427"/>
  <c r="D427"/>
  <c r="C427"/>
  <c r="G426"/>
  <c r="F426"/>
  <c r="E426"/>
  <c r="D426"/>
  <c r="C426"/>
  <c r="G425"/>
  <c r="F425"/>
  <c r="E425"/>
  <c r="D425"/>
  <c r="C425"/>
  <c r="G424"/>
  <c r="F424"/>
  <c r="E424"/>
  <c r="D424"/>
  <c r="C424"/>
  <c r="G423"/>
  <c r="F423"/>
  <c r="E423"/>
  <c r="D423"/>
  <c r="C423"/>
  <c r="G422"/>
  <c r="F422"/>
  <c r="E422"/>
  <c r="D422"/>
  <c r="C422"/>
  <c r="G421"/>
  <c r="F421"/>
  <c r="E421"/>
  <c r="D421"/>
  <c r="C421"/>
  <c r="G420"/>
  <c r="F420"/>
  <c r="E420"/>
  <c r="D420"/>
  <c r="C420"/>
  <c r="G419"/>
  <c r="F419"/>
  <c r="E419"/>
  <c r="D419"/>
  <c r="C419"/>
  <c r="G418"/>
  <c r="F418"/>
  <c r="E418"/>
  <c r="D418"/>
  <c r="C418"/>
  <c r="G417"/>
  <c r="F417"/>
  <c r="E417"/>
  <c r="D417"/>
  <c r="C417"/>
  <c r="G416"/>
  <c r="F416"/>
  <c r="E416"/>
  <c r="D416"/>
  <c r="C416"/>
  <c r="G415"/>
  <c r="F415"/>
  <c r="E415"/>
  <c r="D415"/>
  <c r="C415"/>
  <c r="G414"/>
  <c r="F414"/>
  <c r="E414"/>
  <c r="D414"/>
  <c r="C414"/>
  <c r="G413"/>
  <c r="F413"/>
  <c r="E413"/>
  <c r="D413"/>
  <c r="C413" l="1"/>
  <c r="G412"/>
  <c r="F412"/>
  <c r="E412"/>
  <c r="D412"/>
  <c r="C412"/>
  <c r="G411"/>
  <c r="E411"/>
  <c r="C411" l="1"/>
  <c r="G410"/>
  <c r="F410"/>
  <c r="E410"/>
  <c r="D410"/>
  <c r="C410"/>
  <c r="G409"/>
  <c r="F409"/>
  <c r="E409"/>
  <c r="D409"/>
  <c r="C409"/>
  <c r="G408"/>
  <c r="F408"/>
  <c r="E408"/>
  <c r="D408"/>
  <c r="C408"/>
  <c r="G407"/>
  <c r="F407"/>
  <c r="E407"/>
  <c r="D407"/>
  <c r="C407"/>
  <c r="G406"/>
  <c r="F406"/>
  <c r="E406"/>
  <c r="D406"/>
  <c r="C406"/>
  <c r="G405"/>
  <c r="F405"/>
  <c r="E405"/>
  <c r="D405"/>
  <c r="C405"/>
  <c r="G404"/>
  <c r="F404"/>
  <c r="E404"/>
  <c r="D404"/>
  <c r="C404"/>
  <c r="G403"/>
  <c r="E403"/>
  <c r="D403"/>
  <c r="C403"/>
  <c r="G402"/>
  <c r="F402"/>
  <c r="E402"/>
  <c r="D402"/>
  <c r="C402"/>
  <c r="G401"/>
  <c r="F401"/>
  <c r="E401"/>
  <c r="D401"/>
  <c r="C401"/>
  <c r="G400"/>
  <c r="F400"/>
  <c r="E400"/>
  <c r="D400"/>
  <c r="C400"/>
  <c r="G399"/>
  <c r="F399"/>
  <c r="E399"/>
  <c r="D399"/>
  <c r="C399"/>
  <c r="G398"/>
  <c r="F398" l="1"/>
  <c r="E398"/>
  <c r="D398"/>
  <c r="C398"/>
  <c r="G397"/>
  <c r="F397"/>
  <c r="E397"/>
  <c r="D397"/>
  <c r="C397"/>
  <c r="F396"/>
  <c r="E396"/>
  <c r="D396"/>
  <c r="C396"/>
  <c r="F388"/>
  <c r="E388"/>
  <c r="D388"/>
  <c r="F385"/>
  <c r="E385"/>
  <c r="D385"/>
  <c r="C385"/>
  <c r="G384" l="1"/>
  <c r="F384"/>
  <c r="E384"/>
  <c r="D384" l="1"/>
  <c r="C384"/>
  <c r="F339"/>
  <c r="E339"/>
  <c r="D339"/>
  <c r="F336"/>
  <c r="E336"/>
  <c r="D336"/>
  <c r="C336"/>
  <c r="G335"/>
  <c r="F335"/>
  <c r="E335"/>
  <c r="D335"/>
  <c r="C335"/>
  <c r="F289"/>
  <c r="E289"/>
  <c r="D289"/>
  <c r="F286"/>
  <c r="E286"/>
  <c r="D286"/>
  <c r="C286"/>
  <c r="G285"/>
  <c r="F285"/>
  <c r="E285"/>
  <c r="D285"/>
  <c r="C285"/>
  <c r="F239"/>
  <c r="E239"/>
  <c r="D239"/>
  <c r="F236"/>
  <c r="E236"/>
  <c r="D236"/>
  <c r="C236"/>
  <c r="G235"/>
  <c r="F235"/>
  <c r="E235"/>
  <c r="D235"/>
  <c r="C235"/>
  <c r="F190"/>
  <c r="E190"/>
  <c r="D190"/>
  <c r="F187"/>
  <c r="E187"/>
  <c r="D187"/>
  <c r="C187"/>
  <c r="G186"/>
  <c r="F186"/>
  <c r="E186"/>
  <c r="D186"/>
  <c r="C186"/>
  <c r="F141"/>
  <c r="E141"/>
  <c r="D141"/>
  <c r="F138"/>
  <c r="E138"/>
  <c r="D138"/>
  <c r="C138"/>
  <c r="G137" l="1"/>
  <c r="E137"/>
  <c r="E431" s="1"/>
  <c r="D137" l="1"/>
  <c r="C137"/>
  <c r="F403"/>
  <c r="F93"/>
  <c r="F486" s="1"/>
  <c r="E486" s="1"/>
  <c r="E93"/>
  <c r="D93"/>
  <c r="D486" s="1"/>
  <c r="F90"/>
  <c r="F483" s="1"/>
  <c r="E90"/>
  <c r="D90"/>
  <c r="D483" s="1"/>
  <c r="C90"/>
  <c r="C483" s="1"/>
  <c r="G89"/>
  <c r="G482" s="1"/>
  <c r="E483" l="1"/>
  <c r="F137"/>
  <c r="E89"/>
  <c r="E482" s="1"/>
  <c r="C89"/>
  <c r="C482" s="1"/>
  <c r="F462" l="1"/>
  <c r="D462"/>
  <c r="F44"/>
  <c r="E44"/>
  <c r="E435" s="1"/>
  <c r="D44"/>
  <c r="D435" s="1"/>
  <c r="F41"/>
  <c r="F432" s="1"/>
  <c r="E41"/>
  <c r="E432" s="1"/>
  <c r="D41"/>
  <c r="D432" s="1"/>
  <c r="C41"/>
  <c r="C432" s="1"/>
  <c r="F481" l="1"/>
  <c r="F89"/>
  <c r="F482" s="1"/>
  <c r="D481"/>
  <c r="D89"/>
  <c r="D482" s="1"/>
  <c r="G40"/>
  <c r="G431" s="1"/>
  <c r="D40"/>
  <c r="D431" s="1"/>
  <c r="C40"/>
  <c r="C431" s="1"/>
  <c r="F430"/>
  <c r="D430"/>
  <c r="F411"/>
  <c r="D411"/>
  <c r="DM11" i="3"/>
  <c r="DL11"/>
  <c r="DK11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F11"/>
  <c r="CE11"/>
  <c r="CD11"/>
  <c r="CC11"/>
  <c r="CB11"/>
  <c r="CA11"/>
  <c r="BZ11"/>
  <c r="BY11"/>
  <c r="BX11"/>
  <c r="BW11"/>
  <c r="BV11"/>
  <c r="BT11"/>
  <c r="BS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E11"/>
  <c r="AD11"/>
  <c r="Z11"/>
  <c r="Y11"/>
  <c r="J11"/>
  <c r="I11"/>
  <c r="H11"/>
  <c r="F40" i="5" l="1"/>
  <c r="F431" s="1"/>
  <c r="CG11" i="3"/>
  <c r="BU9" l="1"/>
  <c r="BU11" s="1"/>
  <c r="BR11" l="1"/>
  <c r="AB11" l="1"/>
  <c r="K11"/>
  <c r="G11"/>
  <c r="L11" l="1"/>
  <c r="EM262" i="2" l="1"/>
  <c r="EL262"/>
  <c r="EK262"/>
  <c r="EJ262"/>
  <c r="EH262"/>
  <c r="EF262"/>
  <c r="EE262"/>
  <c r="ED262"/>
  <c r="EC262"/>
  <c r="EB262"/>
  <c r="EA262"/>
  <c r="DZ262"/>
  <c r="DW262"/>
  <c r="DV262"/>
  <c r="DU262"/>
  <c r="DS262"/>
  <c r="DR262"/>
  <c r="DQ262"/>
  <c r="DO262"/>
  <c r="DN262"/>
  <c r="DM262"/>
  <c r="DL262"/>
  <c r="DK262"/>
  <c r="DJ262"/>
  <c r="DF262"/>
  <c r="DD262"/>
  <c r="DA262"/>
  <c r="CZ262"/>
  <c r="CY262"/>
  <c r="CX262"/>
  <c r="CU262" l="1"/>
  <c r="CT262"/>
  <c r="CP262"/>
  <c r="CM262"/>
  <c r="CL262"/>
  <c r="CK262"/>
  <c r="CJ262"/>
  <c r="CI262"/>
  <c r="CH262"/>
  <c r="CE262"/>
  <c r="CC262"/>
  <c r="CA262"/>
  <c r="BZ262"/>
  <c r="BY262"/>
  <c r="BX262"/>
  <c r="BW262"/>
  <c r="BS262" l="1"/>
  <c r="BQ262"/>
  <c r="BM262"/>
  <c r="BL262" l="1"/>
  <c r="BK262"/>
  <c r="BI262"/>
  <c r="BH262"/>
  <c r="BF262"/>
  <c r="BE262"/>
  <c r="BC262"/>
  <c r="BB262"/>
  <c r="AY262" l="1"/>
  <c r="AV262" l="1"/>
  <c r="AS262"/>
  <c r="AP262"/>
  <c r="AH262" l="1"/>
  <c r="AG262"/>
  <c r="AC262"/>
  <c r="Z262"/>
  <c r="Y262"/>
  <c r="X262"/>
  <c r="V262" l="1"/>
  <c r="U262" l="1"/>
  <c r="Q262"/>
  <c r="M262" l="1"/>
  <c r="I262" l="1"/>
  <c r="H262"/>
  <c r="O253"/>
  <c r="O249"/>
  <c r="O252" l="1"/>
  <c r="O254"/>
  <c r="O259"/>
  <c r="O255"/>
  <c r="O258"/>
  <c r="O257"/>
  <c r="O250"/>
  <c r="O256"/>
  <c r="O260"/>
  <c r="O251"/>
  <c r="O261"/>
  <c r="O248" l="1"/>
  <c r="O247"/>
  <c r="O237" l="1"/>
  <c r="O239"/>
  <c r="O241"/>
  <c r="O243"/>
  <c r="O238"/>
  <c r="O240"/>
  <c r="O242"/>
  <c r="O244"/>
  <c r="O245"/>
  <c r="O246"/>
  <c r="O236"/>
  <c r="O235"/>
  <c r="O234" l="1"/>
  <c r="O233" l="1"/>
  <c r="O232"/>
  <c r="O228"/>
  <c r="O226"/>
  <c r="O223"/>
  <c r="O220"/>
  <c r="O225" l="1"/>
  <c r="O222"/>
  <c r="O229"/>
  <c r="O224"/>
  <c r="O230"/>
  <c r="O221"/>
  <c r="O227"/>
  <c r="O231"/>
  <c r="O215" l="1"/>
  <c r="O214"/>
  <c r="O213"/>
  <c r="O212"/>
  <c r="O211"/>
  <c r="O210"/>
  <c r="O217" l="1"/>
  <c r="O218"/>
  <c r="O219"/>
  <c r="O208"/>
  <c r="O209"/>
  <c r="O216"/>
  <c r="AA262"/>
  <c r="O207" l="1"/>
  <c r="O206"/>
  <c r="N206" l="1"/>
  <c r="O205"/>
  <c r="O203"/>
  <c r="N204" l="1"/>
  <c r="O204"/>
  <c r="O202" l="1"/>
  <c r="O201"/>
  <c r="O200" l="1"/>
  <c r="N200" l="1"/>
  <c r="O199"/>
  <c r="N199" l="1"/>
  <c r="O198" l="1"/>
  <c r="O196" l="1"/>
  <c r="O197"/>
  <c r="N198"/>
  <c r="DT262"/>
  <c r="O195"/>
  <c r="O194"/>
  <c r="O189"/>
  <c r="O188"/>
  <c r="O187"/>
  <c r="O192" l="1"/>
  <c r="O193"/>
  <c r="O186"/>
  <c r="N188"/>
  <c r="O190"/>
  <c r="O191"/>
  <c r="W262" l="1"/>
  <c r="O184" l="1"/>
  <c r="N186"/>
  <c r="N185"/>
  <c r="O185"/>
  <c r="O183"/>
  <c r="O182"/>
  <c r="O181" l="1"/>
  <c r="O180"/>
  <c r="O179"/>
  <c r="O178"/>
  <c r="O177" l="1"/>
  <c r="O176" l="1"/>
  <c r="O175" l="1"/>
  <c r="BO262" l="1"/>
  <c r="BN262"/>
  <c r="O172"/>
  <c r="O170"/>
  <c r="O169"/>
  <c r="O161" l="1"/>
  <c r="O174"/>
  <c r="O165"/>
  <c r="O164"/>
  <c r="O171"/>
  <c r="O173"/>
  <c r="O163"/>
  <c r="O166"/>
  <c r="O167"/>
  <c r="O168"/>
  <c r="O159"/>
  <c r="O157"/>
  <c r="O156"/>
  <c r="O160" l="1"/>
  <c r="O158"/>
  <c r="DH262"/>
  <c r="DG262"/>
  <c r="O153"/>
  <c r="O152"/>
  <c r="O150"/>
  <c r="O147"/>
  <c r="O145"/>
  <c r="O144"/>
  <c r="O151" l="1"/>
  <c r="O149"/>
  <c r="O155"/>
  <c r="O148"/>
  <c r="O146"/>
  <c r="N152"/>
  <c r="O143"/>
  <c r="O142"/>
  <c r="O141"/>
  <c r="O140"/>
  <c r="O137"/>
  <c r="O136"/>
  <c r="O135"/>
  <c r="O139" l="1"/>
  <c r="O138"/>
  <c r="O133"/>
  <c r="O132"/>
  <c r="O129" l="1"/>
  <c r="O130" l="1"/>
  <c r="O131"/>
  <c r="O128"/>
  <c r="O127"/>
  <c r="O126" l="1"/>
  <c r="O124"/>
  <c r="O125" l="1"/>
  <c r="N127"/>
  <c r="DB262"/>
  <c r="O121"/>
  <c r="O119"/>
  <c r="O115"/>
  <c r="O111"/>
  <c r="O109"/>
  <c r="O108"/>
  <c r="O107"/>
  <c r="O106"/>
  <c r="O104"/>
  <c r="O100"/>
  <c r="O99"/>
  <c r="O98"/>
  <c r="O97"/>
  <c r="O96"/>
  <c r="N116" l="1"/>
  <c r="O105"/>
  <c r="N110"/>
  <c r="O112"/>
  <c r="O113"/>
  <c r="O123"/>
  <c r="O93"/>
  <c r="O110"/>
  <c r="O117"/>
  <c r="O122"/>
  <c r="O94"/>
  <c r="O114"/>
  <c r="O118"/>
  <c r="O92"/>
  <c r="O91"/>
  <c r="O90"/>
  <c r="O89"/>
  <c r="O88" l="1"/>
  <c r="O86"/>
  <c r="O116"/>
  <c r="N87"/>
  <c r="O87"/>
  <c r="N89"/>
  <c r="O85" l="1"/>
  <c r="O84"/>
  <c r="O83"/>
  <c r="O82"/>
  <c r="O81"/>
  <c r="O80"/>
  <c r="O79"/>
  <c r="O75"/>
  <c r="O72"/>
  <c r="O69"/>
  <c r="O68"/>
  <c r="O67"/>
  <c r="O66"/>
  <c r="O64"/>
  <c r="O62"/>
  <c r="O58"/>
  <c r="O52"/>
  <c r="O63" l="1"/>
  <c r="O71"/>
  <c r="O73"/>
  <c r="O74"/>
  <c r="O61"/>
  <c r="O65"/>
  <c r="O70"/>
  <c r="O76"/>
  <c r="O51"/>
  <c r="S262"/>
  <c r="O50" l="1"/>
  <c r="O49"/>
  <c r="AQ262"/>
  <c r="O46"/>
  <c r="AT262"/>
  <c r="BR262"/>
  <c r="DE262"/>
  <c r="CS262" s="1"/>
  <c r="DP262" l="1"/>
  <c r="O44"/>
  <c r="O42"/>
  <c r="O47"/>
  <c r="O43"/>
  <c r="O45"/>
  <c r="O41"/>
  <c r="N48"/>
  <c r="O48"/>
  <c r="N49"/>
  <c r="O38"/>
  <c r="EN262"/>
  <c r="O37" l="1"/>
  <c r="O39"/>
  <c r="AE262"/>
  <c r="O36"/>
  <c r="O35" l="1"/>
  <c r="O34"/>
  <c r="O33"/>
  <c r="O32"/>
  <c r="O30"/>
  <c r="O29"/>
  <c r="O31" l="1"/>
  <c r="N35"/>
  <c r="CG262"/>
  <c r="CF262"/>
  <c r="O25"/>
  <c r="AZ262"/>
  <c r="BU262"/>
  <c r="BT262"/>
  <c r="O20"/>
  <c r="O19"/>
  <c r="O17"/>
  <c r="DX262"/>
  <c r="O16"/>
  <c r="O15" l="1"/>
  <c r="O21"/>
  <c r="O27"/>
  <c r="O28"/>
  <c r="O24"/>
  <c r="CD262"/>
  <c r="N15"/>
  <c r="N17"/>
  <c r="N21"/>
  <c r="O22"/>
  <c r="N29"/>
  <c r="N23"/>
  <c r="O23"/>
  <c r="N26"/>
  <c r="O26"/>
  <c r="O13"/>
  <c r="AW262"/>
  <c r="O9"/>
  <c r="O8"/>
  <c r="AN262" l="1"/>
  <c r="AL262"/>
  <c r="O10"/>
  <c r="O12"/>
  <c r="O11"/>
  <c r="CV262"/>
  <c r="AJ262"/>
  <c r="FK383" i="1" l="1"/>
  <c r="FJ383"/>
  <c r="FI383"/>
  <c r="FH383" l="1"/>
  <c r="FG383"/>
  <c r="FF383"/>
  <c r="FE383"/>
  <c r="EY383"/>
  <c r="EX383"/>
  <c r="EW383"/>
  <c r="EP383"/>
  <c r="EO383"/>
  <c r="EJ383"/>
  <c r="EI383"/>
  <c r="EH383"/>
  <c r="EG383"/>
  <c r="EB383" l="1"/>
  <c r="EA383"/>
  <c r="DW383"/>
  <c r="DV383"/>
  <c r="DU383"/>
  <c r="DS383" l="1"/>
  <c r="DR383"/>
  <c r="DN383" l="1"/>
  <c r="DK383"/>
  <c r="DJ383"/>
  <c r="DI383"/>
  <c r="DH383"/>
  <c r="DG383"/>
  <c r="DF383"/>
  <c r="DC383"/>
  <c r="DA383"/>
  <c r="CX383"/>
  <c r="CV383"/>
  <c r="CU383"/>
  <c r="CO383"/>
  <c r="CI383"/>
  <c r="CE383"/>
  <c r="CD383"/>
  <c r="CC383"/>
  <c r="BY383"/>
  <c r="BX383"/>
  <c r="BW383"/>
  <c r="BV383"/>
  <c r="BQ383"/>
  <c r="BK383" l="1"/>
  <c r="BG383" l="1"/>
  <c r="BE383"/>
  <c r="BA383"/>
  <c r="AY383"/>
  <c r="AV383"/>
  <c r="AP383"/>
  <c r="AM383"/>
  <c r="AL383"/>
  <c r="AK383"/>
  <c r="AJ383"/>
  <c r="AH383"/>
  <c r="AG383"/>
  <c r="AD383"/>
  <c r="AC383"/>
  <c r="Y383"/>
  <c r="V383"/>
  <c r="U383"/>
  <c r="T383"/>
  <c r="R383"/>
  <c r="Q383"/>
  <c r="J383" l="1"/>
  <c r="I383" l="1"/>
  <c r="H383"/>
  <c r="O382"/>
  <c r="O379"/>
  <c r="O377"/>
  <c r="O376"/>
  <c r="O374"/>
  <c r="O373"/>
  <c r="O372"/>
  <c r="O369" l="1"/>
  <c r="O378"/>
  <c r="K379"/>
  <c r="N379" s="1"/>
  <c r="O380"/>
  <c r="O381"/>
  <c r="O370"/>
  <c r="O371"/>
  <c r="O375"/>
  <c r="O368"/>
  <c r="O366"/>
  <c r="O367" l="1"/>
  <c r="O365"/>
  <c r="O360"/>
  <c r="O364" l="1"/>
  <c r="O361"/>
  <c r="O362"/>
  <c r="O363"/>
  <c r="O355"/>
  <c r="O358" l="1"/>
  <c r="O354"/>
  <c r="O353"/>
  <c r="O356"/>
  <c r="O357"/>
  <c r="O359"/>
  <c r="O352"/>
  <c r="O351" l="1"/>
  <c r="O349"/>
  <c r="O348"/>
  <c r="O347"/>
  <c r="O345"/>
  <c r="O340"/>
  <c r="O338"/>
  <c r="O336"/>
  <c r="O335"/>
  <c r="O334"/>
  <c r="O333"/>
  <c r="O332"/>
  <c r="O330"/>
  <c r="O328"/>
  <c r="K347" l="1"/>
  <c r="N347" s="1"/>
  <c r="K327"/>
  <c r="N327" s="1"/>
  <c r="O327"/>
  <c r="O346"/>
  <c r="O344"/>
  <c r="O350"/>
  <c r="O326"/>
  <c r="O325"/>
  <c r="O324" l="1"/>
  <c r="O323"/>
  <c r="K324" l="1"/>
  <c r="N324" s="1"/>
  <c r="O322"/>
  <c r="O319"/>
  <c r="O318"/>
  <c r="O317"/>
  <c r="O314"/>
  <c r="O313"/>
  <c r="O311"/>
  <c r="O310"/>
  <c r="O309" l="1"/>
  <c r="O321"/>
  <c r="K312"/>
  <c r="N312" s="1"/>
  <c r="O312"/>
  <c r="O316"/>
  <c r="O315"/>
  <c r="O320"/>
  <c r="O308"/>
  <c r="O306"/>
  <c r="O304"/>
  <c r="O305" l="1"/>
  <c r="O303"/>
  <c r="O300"/>
  <c r="O297"/>
  <c r="O295"/>
  <c r="O294"/>
  <c r="O291"/>
  <c r="O288" l="1"/>
  <c r="O289"/>
  <c r="O290"/>
  <c r="O292"/>
  <c r="O287"/>
  <c r="O285"/>
  <c r="O282"/>
  <c r="O281"/>
  <c r="O273"/>
  <c r="O271"/>
  <c r="O269"/>
  <c r="O267"/>
  <c r="O266"/>
  <c r="O265"/>
  <c r="O280" l="1"/>
  <c r="O272"/>
  <c r="O276"/>
  <c r="O284"/>
  <c r="O286"/>
  <c r="O277"/>
  <c r="O268"/>
  <c r="O274"/>
  <c r="O278"/>
  <c r="O279"/>
  <c r="O283"/>
  <c r="O261" l="1"/>
  <c r="O263"/>
  <c r="O262"/>
  <c r="O264"/>
  <c r="O260"/>
  <c r="O257" l="1"/>
  <c r="O256"/>
  <c r="O259"/>
  <c r="O252"/>
  <c r="O251" l="1"/>
  <c r="O250"/>
  <c r="O255"/>
  <c r="O253"/>
  <c r="O249"/>
  <c r="AE383"/>
  <c r="AA383"/>
  <c r="O248" l="1"/>
  <c r="O247"/>
  <c r="O245"/>
  <c r="O240"/>
  <c r="O235"/>
  <c r="O233"/>
  <c r="O232"/>
  <c r="O231"/>
  <c r="O234" l="1"/>
  <c r="O230"/>
  <c r="O246"/>
  <c r="K231"/>
  <c r="N231" s="1"/>
  <c r="O242"/>
  <c r="K242"/>
  <c r="N242" s="1"/>
  <c r="K243"/>
  <c r="N243" s="1"/>
  <c r="O243"/>
  <c r="O244"/>
  <c r="K248"/>
  <c r="N248" s="1"/>
  <c r="O229" l="1"/>
  <c r="O228" l="1"/>
  <c r="O227"/>
  <c r="O223"/>
  <c r="O221"/>
  <c r="O220"/>
  <c r="O219"/>
  <c r="O218"/>
  <c r="O217"/>
  <c r="O216"/>
  <c r="O215"/>
  <c r="O214"/>
  <c r="O212"/>
  <c r="O208"/>
  <c r="O206"/>
  <c r="O213" l="1"/>
  <c r="O210"/>
  <c r="O226"/>
  <c r="K227"/>
  <c r="N227" s="1"/>
  <c r="K206"/>
  <c r="N206" s="1"/>
  <c r="K218"/>
  <c r="N218" s="1"/>
  <c r="O225"/>
  <c r="O222"/>
  <c r="O224"/>
  <c r="O205"/>
  <c r="O204"/>
  <c r="O203"/>
  <c r="EZ383" l="1"/>
  <c r="BF383"/>
  <c r="O202" l="1"/>
  <c r="O201"/>
  <c r="O200" l="1"/>
  <c r="O198"/>
  <c r="AI383"/>
  <c r="O197"/>
  <c r="K198"/>
  <c r="N198" s="1"/>
  <c r="K199"/>
  <c r="N199" s="1"/>
  <c r="O199"/>
  <c r="O196"/>
  <c r="O195"/>
  <c r="O194" l="1"/>
  <c r="O193" l="1"/>
  <c r="O191"/>
  <c r="O188"/>
  <c r="O186"/>
  <c r="CG383"/>
  <c r="O179"/>
  <c r="O177"/>
  <c r="CF383" l="1"/>
  <c r="O182"/>
  <c r="O187"/>
  <c r="O178"/>
  <c r="O180"/>
  <c r="O183"/>
  <c r="O181"/>
  <c r="O185"/>
  <c r="O189"/>
  <c r="K193"/>
  <c r="N193" s="1"/>
  <c r="O176" l="1"/>
  <c r="O175"/>
  <c r="O171"/>
  <c r="O170"/>
  <c r="O168"/>
  <c r="O164"/>
  <c r="O169" l="1"/>
  <c r="O172"/>
  <c r="O173"/>
  <c r="O166"/>
  <c r="O165"/>
  <c r="O167"/>
  <c r="O174"/>
  <c r="O160"/>
  <c r="O159"/>
  <c r="O158" l="1"/>
  <c r="O161"/>
  <c r="O162"/>
  <c r="O163"/>
  <c r="O157"/>
  <c r="O154"/>
  <c r="O151"/>
  <c r="O150"/>
  <c r="DE383"/>
  <c r="DD383"/>
  <c r="CY383"/>
  <c r="CM383"/>
  <c r="CL383"/>
  <c r="O152" l="1"/>
  <c r="O156"/>
  <c r="K154"/>
  <c r="N154" s="1"/>
  <c r="O155"/>
  <c r="O148"/>
  <c r="O147"/>
  <c r="O140"/>
  <c r="O138"/>
  <c r="O136"/>
  <c r="CA383"/>
  <c r="BZ383"/>
  <c r="O132"/>
  <c r="O131"/>
  <c r="O134" l="1"/>
  <c r="O133"/>
  <c r="O146"/>
  <c r="O137"/>
  <c r="K148"/>
  <c r="N148" s="1"/>
  <c r="K149"/>
  <c r="O135"/>
  <c r="O139"/>
  <c r="O130"/>
  <c r="O129" l="1"/>
  <c r="O127" l="1"/>
  <c r="ER383"/>
  <c r="S383"/>
  <c r="O126" l="1"/>
  <c r="O124"/>
  <c r="O125" l="1"/>
  <c r="O123"/>
  <c r="O122" l="1"/>
  <c r="O121"/>
  <c r="O117"/>
  <c r="O116"/>
  <c r="O115"/>
  <c r="O113"/>
  <c r="O110" l="1"/>
  <c r="O119"/>
  <c r="O112"/>
  <c r="O114"/>
  <c r="O111"/>
  <c r="O118"/>
  <c r="O120"/>
  <c r="O106"/>
  <c r="O105"/>
  <c r="BR383"/>
  <c r="O102"/>
  <c r="O100"/>
  <c r="O97"/>
  <c r="O94" l="1"/>
  <c r="O109"/>
  <c r="O98"/>
  <c r="O101"/>
  <c r="O103"/>
  <c r="O104"/>
  <c r="O96"/>
  <c r="O107"/>
  <c r="O95"/>
  <c r="O99"/>
  <c r="O108"/>
  <c r="O92"/>
  <c r="O89"/>
  <c r="O85"/>
  <c r="O84" l="1"/>
  <c r="O87"/>
  <c r="O90"/>
  <c r="O86"/>
  <c r="O91"/>
  <c r="O93"/>
  <c r="O88"/>
  <c r="O83"/>
  <c r="O82"/>
  <c r="CR383" l="1"/>
  <c r="O75"/>
  <c r="FL383"/>
  <c r="O72"/>
  <c r="O74" l="1"/>
  <c r="O76"/>
  <c r="O81"/>
  <c r="BH383"/>
  <c r="O66" l="1"/>
  <c r="O64"/>
  <c r="O63" l="1"/>
  <c r="AR383"/>
  <c r="O62" l="1"/>
  <c r="O61"/>
  <c r="O58"/>
  <c r="DB383"/>
  <c r="O47"/>
  <c r="O50" l="1"/>
  <c r="O45" l="1"/>
  <c r="O44"/>
  <c r="O43"/>
  <c r="K45" l="1"/>
  <c r="N45" s="1"/>
  <c r="O41"/>
  <c r="CS383"/>
  <c r="O40"/>
  <c r="O39"/>
  <c r="O37" l="1"/>
  <c r="O30"/>
  <c r="O29"/>
  <c r="O26"/>
  <c r="O25"/>
  <c r="O24"/>
  <c r="O28" l="1"/>
  <c r="BL383"/>
  <c r="BI383"/>
  <c r="O23" l="1"/>
  <c r="W383"/>
  <c r="CJ383"/>
  <c r="BO383"/>
  <c r="O19"/>
  <c r="AW383"/>
  <c r="O18"/>
  <c r="O13"/>
  <c r="AU383" l="1"/>
  <c r="O22"/>
  <c r="O20"/>
  <c r="O21"/>
  <c r="EC383"/>
  <c r="O12" l="1"/>
  <c r="BN383"/>
  <c r="BU383" l="1"/>
  <c r="BT383"/>
  <c r="O10" l="1"/>
  <c r="AZ383"/>
  <c r="CP383"/>
  <c r="BC383"/>
  <c r="BB383"/>
  <c r="O9"/>
  <c r="DT383"/>
  <c r="O8"/>
  <c r="K9" l="1"/>
  <c r="N9" s="1"/>
  <c r="K11"/>
  <c r="O11" s="1"/>
  <c r="K14"/>
  <c r="K15"/>
  <c r="O15" s="1"/>
  <c r="K16"/>
  <c r="O16" s="1"/>
  <c r="K17"/>
  <c r="O17" s="1"/>
  <c r="K27"/>
  <c r="O27" s="1"/>
  <c r="K31"/>
  <c r="O31" s="1"/>
  <c r="K32"/>
  <c r="O32" s="1"/>
  <c r="K33"/>
  <c r="O33" s="1"/>
  <c r="K34"/>
  <c r="O34" s="1"/>
  <c r="K35"/>
  <c r="O35" s="1"/>
  <c r="K36"/>
  <c r="O36" s="1"/>
  <c r="K38"/>
  <c r="O38" s="1"/>
  <c r="K42"/>
  <c r="O42" s="1"/>
  <c r="K46"/>
  <c r="O46" s="1"/>
  <c r="K48"/>
  <c r="O48" s="1"/>
  <c r="K49"/>
  <c r="O49" s="1"/>
  <c r="K51"/>
  <c r="O51" s="1"/>
  <c r="K52"/>
  <c r="O52" s="1"/>
  <c r="K53"/>
  <c r="O53" s="1"/>
  <c r="K54"/>
  <c r="O54" s="1"/>
  <c r="K55"/>
  <c r="O55" s="1"/>
  <c r="K56"/>
  <c r="O56" s="1"/>
  <c r="K57"/>
  <c r="O57" s="1"/>
  <c r="K59"/>
  <c r="O59" s="1"/>
  <c r="K60"/>
  <c r="O60" s="1"/>
  <c r="K65"/>
  <c r="O65" s="1"/>
  <c r="K67"/>
  <c r="O67" s="1"/>
  <c r="K73"/>
  <c r="O73" s="1"/>
  <c r="K80"/>
  <c r="O80" s="1"/>
  <c r="K128"/>
  <c r="O128" s="1"/>
  <c r="K141"/>
  <c r="O141" s="1"/>
  <c r="K142"/>
  <c r="O142" s="1"/>
  <c r="K143"/>
  <c r="O143" s="1"/>
  <c r="K144"/>
  <c r="O144" s="1"/>
  <c r="K145"/>
  <c r="O145" s="1"/>
  <c r="K153"/>
  <c r="O153" s="1"/>
  <c r="K184"/>
  <c r="O184" s="1"/>
  <c r="K190"/>
  <c r="O190" s="1"/>
  <c r="K192"/>
  <c r="O192" s="1"/>
  <c r="K207"/>
  <c r="O207" s="1"/>
  <c r="K209"/>
  <c r="O209" s="1"/>
  <c r="K211"/>
  <c r="O211" s="1"/>
  <c r="K236"/>
  <c r="O236" s="1"/>
  <c r="K237"/>
  <c r="O237" s="1"/>
  <c r="K238"/>
  <c r="O238" s="1"/>
  <c r="K239"/>
  <c r="O239" s="1"/>
  <c r="K241"/>
  <c r="O241" s="1"/>
  <c r="K254"/>
  <c r="O254" s="1"/>
  <c r="K258"/>
  <c r="O258" s="1"/>
  <c r="K270"/>
  <c r="O270" s="1"/>
  <c r="K275"/>
  <c r="O275" s="1"/>
  <c r="K293"/>
  <c r="O293" s="1"/>
  <c r="K296"/>
  <c r="O296" s="1"/>
  <c r="K298"/>
  <c r="O298" s="1"/>
  <c r="K299"/>
  <c r="O299" s="1"/>
  <c r="K301"/>
  <c r="O301" s="1"/>
  <c r="K302"/>
  <c r="O302" s="1"/>
  <c r="K307"/>
  <c r="O307" s="1"/>
  <c r="K329"/>
  <c r="K331"/>
  <c r="O331" s="1"/>
  <c r="K337"/>
  <c r="O337" s="1"/>
  <c r="K339"/>
  <c r="O339" s="1"/>
  <c r="K341"/>
  <c r="O341" s="1"/>
  <c r="K342"/>
  <c r="O342" s="1"/>
  <c r="K343"/>
  <c r="O343" s="1"/>
  <c r="K8"/>
  <c r="K10"/>
  <c r="K12"/>
  <c r="K13"/>
  <c r="K18"/>
  <c r="K19"/>
  <c r="K20"/>
  <c r="K21"/>
  <c r="K22"/>
  <c r="K23"/>
  <c r="K24"/>
  <c r="K25"/>
  <c r="K26"/>
  <c r="K28"/>
  <c r="K29"/>
  <c r="K30"/>
  <c r="K37"/>
  <c r="K39"/>
  <c r="K40"/>
  <c r="K41"/>
  <c r="K43"/>
  <c r="K44"/>
  <c r="K47"/>
  <c r="K50"/>
  <c r="K58"/>
  <c r="K61"/>
  <c r="K62"/>
  <c r="K63"/>
  <c r="K64"/>
  <c r="K66"/>
  <c r="K72"/>
  <c r="K74"/>
  <c r="K75"/>
  <c r="K76"/>
  <c r="K77"/>
  <c r="K78"/>
  <c r="K79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9"/>
  <c r="K130"/>
  <c r="K131"/>
  <c r="K132"/>
  <c r="K133"/>
  <c r="K134"/>
  <c r="K135"/>
  <c r="K136"/>
  <c r="K137"/>
  <c r="K138"/>
  <c r="K139"/>
  <c r="K140"/>
  <c r="K146"/>
  <c r="K147"/>
  <c r="K150"/>
  <c r="K151"/>
  <c r="K152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5"/>
  <c r="K186"/>
  <c r="K187"/>
  <c r="K188"/>
  <c r="K189"/>
  <c r="K191"/>
  <c r="K194"/>
  <c r="K195"/>
  <c r="K196"/>
  <c r="K197"/>
  <c r="K200"/>
  <c r="K201"/>
  <c r="K202"/>
  <c r="K203"/>
  <c r="K204"/>
  <c r="K205"/>
  <c r="K208"/>
  <c r="K210"/>
  <c r="K212"/>
  <c r="K213"/>
  <c r="K214"/>
  <c r="K215"/>
  <c r="K216"/>
  <c r="K217"/>
  <c r="K219"/>
  <c r="K220"/>
  <c r="K221"/>
  <c r="K222"/>
  <c r="K223"/>
  <c r="K224"/>
  <c r="K225"/>
  <c r="K226"/>
  <c r="K228"/>
  <c r="K229"/>
  <c r="K230"/>
  <c r="K232"/>
  <c r="K233"/>
  <c r="K234"/>
  <c r="K235"/>
  <c r="K240"/>
  <c r="K244"/>
  <c r="K245"/>
  <c r="K246"/>
  <c r="K247"/>
  <c r="K249"/>
  <c r="K250"/>
  <c r="K251"/>
  <c r="K252"/>
  <c r="K253"/>
  <c r="K255"/>
  <c r="K256"/>
  <c r="K257"/>
  <c r="K259"/>
  <c r="K260"/>
  <c r="K261"/>
  <c r="K262"/>
  <c r="K263"/>
  <c r="K264"/>
  <c r="K265"/>
  <c r="K266"/>
  <c r="K267"/>
  <c r="K268"/>
  <c r="K269"/>
  <c r="K271"/>
  <c r="K272"/>
  <c r="K273"/>
  <c r="K274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4"/>
  <c r="K295"/>
  <c r="K297"/>
  <c r="K300"/>
  <c r="K303"/>
  <c r="K304"/>
  <c r="K305"/>
  <c r="K306"/>
  <c r="K308"/>
  <c r="K309"/>
  <c r="K310"/>
  <c r="K311"/>
  <c r="K313"/>
  <c r="K314"/>
  <c r="K315"/>
  <c r="K316"/>
  <c r="K317"/>
  <c r="K318"/>
  <c r="K319"/>
  <c r="K320"/>
  <c r="K321"/>
  <c r="K322"/>
  <c r="K323"/>
  <c r="K325"/>
  <c r="K326"/>
  <c r="K328"/>
  <c r="K330"/>
  <c r="K332"/>
  <c r="K333"/>
  <c r="K334"/>
  <c r="K335"/>
  <c r="K336"/>
  <c r="K338"/>
  <c r="K340"/>
  <c r="K344"/>
  <c r="K345"/>
  <c r="K346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80"/>
  <c r="K381"/>
  <c r="K382"/>
  <c r="N343" l="1"/>
  <c r="N341"/>
  <c r="N337"/>
  <c r="N307"/>
  <c r="N301"/>
  <c r="N293"/>
  <c r="N193" i="2"/>
  <c r="N342" i="1"/>
  <c r="N302"/>
  <c r="N299"/>
  <c r="N296"/>
  <c r="N275"/>
  <c r="N258"/>
  <c r="N241"/>
  <c r="N238"/>
  <c r="N236"/>
  <c r="N270"/>
  <c r="N262"/>
  <c r="N352"/>
  <c r="N340"/>
  <c r="N336"/>
  <c r="N332"/>
  <c r="N288"/>
  <c r="N280"/>
  <c r="N276"/>
  <c r="N266"/>
  <c r="N264"/>
  <c r="N263"/>
  <c r="N257"/>
  <c r="N255"/>
  <c r="N254"/>
  <c r="N239"/>
  <c r="N237"/>
  <c r="N234"/>
  <c r="N230"/>
  <c r="N228"/>
  <c r="N226"/>
  <c r="N225"/>
  <c r="N209"/>
  <c r="N192"/>
  <c r="N184"/>
  <c r="N147"/>
  <c r="N145"/>
  <c r="N143"/>
  <c r="N141"/>
  <c r="N126"/>
  <c r="N117"/>
  <c r="N111"/>
  <c r="N80"/>
  <c r="N67"/>
  <c r="N59"/>
  <c r="N56"/>
  <c r="N54"/>
  <c r="N52"/>
  <c r="N49"/>
  <c r="N46"/>
  <c r="N38"/>
  <c r="N35"/>
  <c r="N33"/>
  <c r="N31"/>
  <c r="N17"/>
  <c r="N15"/>
  <c r="N11"/>
  <c r="N211"/>
  <c r="N207"/>
  <c r="N190"/>
  <c r="N153"/>
  <c r="N144"/>
  <c r="N142"/>
  <c r="N128"/>
  <c r="N73"/>
  <c r="N65"/>
  <c r="N60"/>
  <c r="N57"/>
  <c r="N55"/>
  <c r="N53"/>
  <c r="N51"/>
  <c r="N48"/>
  <c r="N42"/>
  <c r="N36"/>
  <c r="N34"/>
  <c r="N32"/>
  <c r="N27"/>
  <c r="N16"/>
  <c r="N14"/>
  <c r="N371"/>
  <c r="N364"/>
  <c r="N360"/>
  <c r="N358"/>
  <c r="N357"/>
  <c r="N354"/>
  <c r="N353"/>
  <c r="N194"/>
  <c r="N189"/>
  <c r="N103"/>
  <c r="N95"/>
  <c r="N316"/>
  <c r="N212"/>
  <c r="N208"/>
  <c r="N178"/>
  <c r="N171"/>
  <c r="N165"/>
  <c r="N129"/>
  <c r="N380"/>
  <c r="N375"/>
  <c r="N373"/>
  <c r="N372"/>
  <c r="N322"/>
  <c r="N317"/>
  <c r="N306"/>
  <c r="N300"/>
  <c r="N292"/>
  <c r="N290"/>
  <c r="N289"/>
  <c r="N245"/>
  <c r="N216"/>
  <c r="N204"/>
  <c r="N200"/>
  <c r="N196"/>
  <c r="N195"/>
  <c r="N191"/>
  <c r="N182"/>
  <c r="N180"/>
  <c r="N179"/>
  <c r="N157"/>
  <c r="N138"/>
  <c r="N134"/>
  <c r="N131"/>
  <c r="N130"/>
  <c r="N127"/>
  <c r="N99"/>
  <c r="N97"/>
  <c r="N96"/>
  <c r="N166"/>
  <c r="N113"/>
  <c r="N112"/>
  <c r="N87"/>
  <c r="N83"/>
  <c r="N81"/>
  <c r="N26"/>
  <c r="N22"/>
  <c r="N20"/>
  <c r="N19"/>
  <c r="N10"/>
  <c r="K383"/>
  <c r="N382"/>
  <c r="N381"/>
  <c r="N367"/>
  <c r="N365"/>
  <c r="N348"/>
  <c r="N345"/>
  <c r="N344"/>
  <c r="N338"/>
  <c r="N328"/>
  <c r="N325"/>
  <c r="N323"/>
  <c r="N311"/>
  <c r="N309"/>
  <c r="N308"/>
  <c r="N284"/>
  <c r="N282"/>
  <c r="N281"/>
  <c r="N273"/>
  <c r="N271"/>
  <c r="N250"/>
  <c r="N247"/>
  <c r="N246"/>
  <c r="N240"/>
  <c r="N235"/>
  <c r="N221"/>
  <c r="N219"/>
  <c r="N217"/>
  <c r="N214"/>
  <c r="N213"/>
  <c r="N210"/>
  <c r="N205"/>
  <c r="N185"/>
  <c r="N175"/>
  <c r="N173"/>
  <c r="N172"/>
  <c r="N161"/>
  <c r="N159"/>
  <c r="N158"/>
  <c r="N151"/>
  <c r="N150"/>
  <c r="N140"/>
  <c r="N139"/>
  <c r="N121"/>
  <c r="N119"/>
  <c r="N118"/>
  <c r="N107"/>
  <c r="N105"/>
  <c r="N104"/>
  <c r="N91"/>
  <c r="N89"/>
  <c r="N88"/>
  <c r="N76"/>
  <c r="N74"/>
  <c r="N62"/>
  <c r="N58"/>
  <c r="N43"/>
  <c r="N37"/>
  <c r="N29"/>
  <c r="N28"/>
  <c r="N377"/>
  <c r="N376"/>
  <c r="N369"/>
  <c r="N368"/>
  <c r="N362"/>
  <c r="N361"/>
  <c r="N356"/>
  <c r="N350"/>
  <c r="N349"/>
  <c r="N334"/>
  <c r="N333"/>
  <c r="N330"/>
  <c r="N320"/>
  <c r="N319"/>
  <c r="N314"/>
  <c r="N313"/>
  <c r="N304"/>
  <c r="N303"/>
  <c r="N295"/>
  <c r="N294"/>
  <c r="N286"/>
  <c r="N285"/>
  <c r="N278"/>
  <c r="N277"/>
  <c r="N274"/>
  <c r="N268"/>
  <c r="N267"/>
  <c r="N260"/>
  <c r="N259"/>
  <c r="N252"/>
  <c r="N251"/>
  <c r="N233"/>
  <c r="N232"/>
  <c r="N223"/>
  <c r="N222"/>
  <c r="N202"/>
  <c r="N201"/>
  <c r="N187"/>
  <c r="N186"/>
  <c r="N183"/>
  <c r="N176"/>
  <c r="N169"/>
  <c r="N168"/>
  <c r="N163"/>
  <c r="N162"/>
  <c r="N155"/>
  <c r="N136"/>
  <c r="N135"/>
  <c r="N123"/>
  <c r="N122"/>
  <c r="N115"/>
  <c r="N114"/>
  <c r="N109"/>
  <c r="N108"/>
  <c r="N101"/>
  <c r="N100"/>
  <c r="N93"/>
  <c r="N92"/>
  <c r="N85"/>
  <c r="N84"/>
  <c r="N78"/>
  <c r="N77"/>
  <c r="N64"/>
  <c r="N63"/>
  <c r="N47"/>
  <c r="N40"/>
  <c r="N39"/>
  <c r="N24"/>
  <c r="N23"/>
  <c r="N13"/>
  <c r="N12"/>
  <c r="N329"/>
  <c r="O329" s="1"/>
  <c r="N378"/>
  <c r="N374"/>
  <c r="N370"/>
  <c r="N366"/>
  <c r="N363"/>
  <c r="N359"/>
  <c r="N355"/>
  <c r="N351"/>
  <c r="N346"/>
  <c r="N335"/>
  <c r="N326"/>
  <c r="N321"/>
  <c r="N318"/>
  <c r="N315"/>
  <c r="N310"/>
  <c r="N305"/>
  <c r="N297"/>
  <c r="N291"/>
  <c r="N287"/>
  <c r="N283"/>
  <c r="N279"/>
  <c r="N272"/>
  <c r="N269"/>
  <c r="N265"/>
  <c r="N261"/>
  <c r="N256"/>
  <c r="N253"/>
  <c r="N249"/>
  <c r="N244"/>
  <c r="N229"/>
  <c r="N224"/>
  <c r="N220"/>
  <c r="N215"/>
  <c r="N203"/>
  <c r="N197"/>
  <c r="N188"/>
  <c r="N181"/>
  <c r="N177"/>
  <c r="N174"/>
  <c r="N170"/>
  <c r="N167"/>
  <c r="N164"/>
  <c r="N160"/>
  <c r="N156"/>
  <c r="N152"/>
  <c r="N146"/>
  <c r="N137"/>
  <c r="N132"/>
  <c r="N125"/>
  <c r="N124"/>
  <c r="N120"/>
  <c r="N116"/>
  <c r="N110"/>
  <c r="N106"/>
  <c r="N102"/>
  <c r="N98"/>
  <c r="N94"/>
  <c r="N90"/>
  <c r="N86"/>
  <c r="N82"/>
  <c r="N79"/>
  <c r="N75"/>
  <c r="N72"/>
  <c r="N66"/>
  <c r="N61"/>
  <c r="N50"/>
  <c r="N44"/>
  <c r="N41"/>
  <c r="N30"/>
  <c r="N25"/>
  <c r="N21"/>
  <c r="N18"/>
  <c r="N8"/>
  <c r="O14"/>
  <c r="O383" s="1"/>
  <c r="M383"/>
  <c r="N339"/>
  <c r="N331"/>
  <c r="N298"/>
  <c r="N133"/>
  <c r="N254" i="2" l="1"/>
  <c r="DQ383" i="1"/>
  <c r="N383"/>
  <c r="K8" i="2"/>
  <c r="N85"/>
  <c r="N86"/>
  <c r="N88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1"/>
  <c r="N112"/>
  <c r="N113"/>
  <c r="N114"/>
  <c r="N115"/>
  <c r="N117"/>
  <c r="N118"/>
  <c r="N119"/>
  <c r="N120"/>
  <c r="N121"/>
  <c r="N122"/>
  <c r="N123"/>
  <c r="N124"/>
  <c r="N125"/>
  <c r="N126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7"/>
  <c r="N189"/>
  <c r="N190"/>
  <c r="N191"/>
  <c r="N192"/>
  <c r="N194"/>
  <c r="N195"/>
  <c r="N196"/>
  <c r="N197"/>
  <c r="N201"/>
  <c r="N202"/>
  <c r="N203"/>
  <c r="K205"/>
  <c r="N205" s="1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5"/>
  <c r="N256"/>
  <c r="N257"/>
  <c r="N258"/>
  <c r="N259"/>
  <c r="N260"/>
  <c r="N261"/>
  <c r="O78"/>
  <c r="N84" l="1"/>
  <c r="N82"/>
  <c r="N80"/>
  <c r="N78"/>
  <c r="N76"/>
  <c r="N74"/>
  <c r="N72"/>
  <c r="N70"/>
  <c r="N68"/>
  <c r="N66"/>
  <c r="N64"/>
  <c r="N62"/>
  <c r="N60"/>
  <c r="N58"/>
  <c r="N56"/>
  <c r="N54"/>
  <c r="N52"/>
  <c r="N50"/>
  <c r="N46"/>
  <c r="N44"/>
  <c r="N42"/>
  <c r="N39"/>
  <c r="N37"/>
  <c r="N34"/>
  <c r="N32"/>
  <c r="N30"/>
  <c r="N27"/>
  <c r="N24"/>
  <c r="N20"/>
  <c r="N18"/>
  <c r="N14"/>
  <c r="N12"/>
  <c r="N10"/>
  <c r="N8"/>
  <c r="O134"/>
  <c r="K262"/>
  <c r="O102"/>
  <c r="N67"/>
  <c r="N65"/>
  <c r="N63"/>
  <c r="N83"/>
  <c r="N81"/>
  <c r="N79"/>
  <c r="N77"/>
  <c r="N75"/>
  <c r="N73"/>
  <c r="N71"/>
  <c r="N69"/>
  <c r="N61"/>
  <c r="N59"/>
  <c r="N57"/>
  <c r="N55"/>
  <c r="N53"/>
  <c r="N51"/>
  <c r="N47"/>
  <c r="N45"/>
  <c r="N43"/>
  <c r="N41"/>
  <c r="N38"/>
  <c r="N36"/>
  <c r="N33"/>
  <c r="N31"/>
  <c r="N28"/>
  <c r="N25"/>
  <c r="N22"/>
  <c r="N19"/>
  <c r="N16"/>
  <c r="N13"/>
  <c r="N11"/>
  <c r="N9"/>
  <c r="L262"/>
  <c r="O154"/>
  <c r="O120"/>
  <c r="O103"/>
  <c r="O101"/>
  <c r="O95"/>
  <c r="O77"/>
  <c r="O60"/>
  <c r="O59"/>
  <c r="O57"/>
  <c r="O56"/>
  <c r="O55"/>
  <c r="O54"/>
  <c r="O53"/>
  <c r="O18"/>
  <c r="N262" l="1"/>
  <c r="O14"/>
  <c r="O262" s="1"/>
</calcChain>
</file>

<file path=xl/comments1.xml><?xml version="1.0" encoding="utf-8"?>
<comments xmlns="http://schemas.openxmlformats.org/spreadsheetml/2006/main">
  <authors>
    <author>Автор</author>
  </authors>
  <commentList>
    <comment ref="CU2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тены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DK1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тены
</t>
        </r>
      </text>
    </comment>
  </commentList>
</comments>
</file>

<file path=xl/sharedStrings.xml><?xml version="1.0" encoding="utf-8"?>
<sst xmlns="http://schemas.openxmlformats.org/spreadsheetml/2006/main" count="6671" uniqueCount="1018">
  <si>
    <t>Отчет по текущему ремонту жилых домов, находящихся в управлении МП г.о. Самара "Универсалбыт"</t>
  </si>
  <si>
    <t>№ п/п</t>
  </si>
  <si>
    <t>Район</t>
  </si>
  <si>
    <t>№ ЖЭУ</t>
  </si>
  <si>
    <t>Улица</t>
  </si>
  <si>
    <t>№ дома</t>
  </si>
  <si>
    <t>категория благоустройства</t>
  </si>
  <si>
    <t>Сумма запланированных работ</t>
  </si>
  <si>
    <t>Итого фактич . остаток</t>
  </si>
  <si>
    <t>Ремонт подъездов</t>
  </si>
  <si>
    <t>Утепление стен</t>
  </si>
  <si>
    <t>Межпанельные швы</t>
  </si>
  <si>
    <t>Ремонт кровли</t>
  </si>
  <si>
    <t>Внутридомовые сети ХВС</t>
  </si>
  <si>
    <t>Внутридомовые сети ГВС</t>
  </si>
  <si>
    <t>Внутридомовые сети отопления</t>
  </si>
  <si>
    <t>Внутридомовые сети канализации</t>
  </si>
  <si>
    <t>Ввод отопления</t>
  </si>
  <si>
    <t>Ввод ХВС</t>
  </si>
  <si>
    <t>Канализационный выпуск</t>
  </si>
  <si>
    <t>Электроснабжение</t>
  </si>
  <si>
    <t>Козырьковое и фасадное освещение</t>
  </si>
  <si>
    <t>Отмостки, входы, тротуары</t>
  </si>
  <si>
    <t>Детские спортивные площадки</t>
  </si>
  <si>
    <t>Общедомовые приборы учета</t>
  </si>
  <si>
    <t>Прочее</t>
  </si>
  <si>
    <t>в том числе дымовые трубы</t>
  </si>
  <si>
    <t>в том числе фасад, цоколь</t>
  </si>
  <si>
    <t>в том числе ремонт крыльца</t>
  </si>
  <si>
    <t>в том числе установка , ремонт козырька</t>
  </si>
  <si>
    <t>в том числе ремонт балкона</t>
  </si>
  <si>
    <t>в том числе отопление подъезда</t>
  </si>
  <si>
    <t>Всего</t>
  </si>
  <si>
    <t>в том числе:</t>
  </si>
  <si>
    <t xml:space="preserve">План </t>
  </si>
  <si>
    <t>Факт</t>
  </si>
  <si>
    <t>факт</t>
  </si>
  <si>
    <t>План</t>
  </si>
  <si>
    <t>платежи населения</t>
  </si>
  <si>
    <t>бюджет г.о. Самара</t>
  </si>
  <si>
    <t xml:space="preserve">месяц </t>
  </si>
  <si>
    <t>шт.</t>
  </si>
  <si>
    <t>№ п-да</t>
  </si>
  <si>
    <t>руб.</t>
  </si>
  <si>
    <t xml:space="preserve"> кв. м</t>
  </si>
  <si>
    <t>№ кв.</t>
  </si>
  <si>
    <t xml:space="preserve"> тыс. руб.</t>
  </si>
  <si>
    <t>м/п</t>
  </si>
  <si>
    <t xml:space="preserve"> руб.</t>
  </si>
  <si>
    <t>вид кровли</t>
  </si>
  <si>
    <t>ед., вид коммунального ресурса</t>
  </si>
  <si>
    <t>кол-во (шт)</t>
  </si>
  <si>
    <t>кол-во (м2)</t>
  </si>
  <si>
    <t>кол-во (шт.)</t>
  </si>
  <si>
    <t>№п-да</t>
  </si>
  <si>
    <t>Фактически произведенные работы с 01.01.2016</t>
  </si>
  <si>
    <t xml:space="preserve">Архитектурная </t>
  </si>
  <si>
    <t xml:space="preserve">Аэропорт - 2 </t>
  </si>
  <si>
    <t xml:space="preserve">Балтийская </t>
  </si>
  <si>
    <t xml:space="preserve">Балтийская /Дальневосточная </t>
  </si>
  <si>
    <t>10/47</t>
  </si>
  <si>
    <t>Борисоглебская</t>
  </si>
  <si>
    <t>14/16</t>
  </si>
  <si>
    <t xml:space="preserve">Бортмехаников </t>
  </si>
  <si>
    <t>Бугурусланская / Подольская</t>
  </si>
  <si>
    <t>18/16</t>
  </si>
  <si>
    <t xml:space="preserve">Волочаевская </t>
  </si>
  <si>
    <t>Вольская / Кирова</t>
  </si>
  <si>
    <t>117/175</t>
  </si>
  <si>
    <t xml:space="preserve">Вольская </t>
  </si>
  <si>
    <t xml:space="preserve">Вольская / Каховская </t>
  </si>
  <si>
    <t>121/50</t>
  </si>
  <si>
    <t xml:space="preserve">Георгия Димитрова </t>
  </si>
  <si>
    <t xml:space="preserve">Грибоедова </t>
  </si>
  <si>
    <t xml:space="preserve">Дальневосточная </t>
  </si>
  <si>
    <t>23а</t>
  </si>
  <si>
    <t>33а</t>
  </si>
  <si>
    <t>39/10</t>
  </si>
  <si>
    <t xml:space="preserve">Дальняя </t>
  </si>
  <si>
    <t xml:space="preserve">Елизарова </t>
  </si>
  <si>
    <t>114/116</t>
  </si>
  <si>
    <t>122/124</t>
  </si>
  <si>
    <t xml:space="preserve">Енисейская </t>
  </si>
  <si>
    <t>18б</t>
  </si>
  <si>
    <t xml:space="preserve">Земеца </t>
  </si>
  <si>
    <t>20а</t>
  </si>
  <si>
    <t xml:space="preserve">Землянский проезд </t>
  </si>
  <si>
    <t xml:space="preserve">Изыскательская </t>
  </si>
  <si>
    <t xml:space="preserve">Карачаевская </t>
  </si>
  <si>
    <t>31а</t>
  </si>
  <si>
    <t>31б</t>
  </si>
  <si>
    <t xml:space="preserve">Каховская </t>
  </si>
  <si>
    <t>56а</t>
  </si>
  <si>
    <t>62а</t>
  </si>
  <si>
    <t>63/2</t>
  </si>
  <si>
    <t>74/143</t>
  </si>
  <si>
    <t xml:space="preserve">Кирова / Вольская </t>
  </si>
  <si>
    <t>82/126</t>
  </si>
  <si>
    <t xml:space="preserve">Кирова </t>
  </si>
  <si>
    <t>88а</t>
  </si>
  <si>
    <t>88б</t>
  </si>
  <si>
    <t>90а</t>
  </si>
  <si>
    <t>90б</t>
  </si>
  <si>
    <t>159/123</t>
  </si>
  <si>
    <t>161/138</t>
  </si>
  <si>
    <t>165а</t>
  </si>
  <si>
    <t>171а</t>
  </si>
  <si>
    <t>179а</t>
  </si>
  <si>
    <t>187/129</t>
  </si>
  <si>
    <t xml:space="preserve">Коломенский переулок </t>
  </si>
  <si>
    <t>20-22</t>
  </si>
  <si>
    <t xml:space="preserve">Краснодонская </t>
  </si>
  <si>
    <t>49/124</t>
  </si>
  <si>
    <t>49а</t>
  </si>
  <si>
    <t xml:space="preserve">Литвинова </t>
  </si>
  <si>
    <t xml:space="preserve">Магистральная </t>
  </si>
  <si>
    <t>121/89</t>
  </si>
  <si>
    <t xml:space="preserve">Марии Авейде </t>
  </si>
  <si>
    <t xml:space="preserve">Металлистов </t>
  </si>
  <si>
    <t>32/162</t>
  </si>
  <si>
    <t>50а</t>
  </si>
  <si>
    <t>52а</t>
  </si>
  <si>
    <t xml:space="preserve">Металлистов / Проспект Юных Пионеров </t>
  </si>
  <si>
    <t>65/159</t>
  </si>
  <si>
    <t>Металлистов /Проспект Юных Пионеров</t>
  </si>
  <si>
    <t>66/157</t>
  </si>
  <si>
    <t xml:space="preserve">Металлургическая </t>
  </si>
  <si>
    <t xml:space="preserve">Металлургов </t>
  </si>
  <si>
    <t>9/42</t>
  </si>
  <si>
    <t xml:space="preserve">Мирная </t>
  </si>
  <si>
    <t xml:space="preserve">Московское ш.,18 км, опытн. ст. по сад-ву </t>
  </si>
  <si>
    <t xml:space="preserve">Московское шоссе, 18км </t>
  </si>
  <si>
    <t>1а</t>
  </si>
  <si>
    <t xml:space="preserve">Нагорная </t>
  </si>
  <si>
    <t>209/64</t>
  </si>
  <si>
    <t xml:space="preserve">Нежинская </t>
  </si>
  <si>
    <t>100а</t>
  </si>
  <si>
    <t xml:space="preserve">Олимпийская </t>
  </si>
  <si>
    <t xml:space="preserve">Парадная </t>
  </si>
  <si>
    <t xml:space="preserve">Победы </t>
  </si>
  <si>
    <t>130/17</t>
  </si>
  <si>
    <t>134/18</t>
  </si>
  <si>
    <t>152а</t>
  </si>
  <si>
    <t xml:space="preserve">Пугачевская </t>
  </si>
  <si>
    <t>10а</t>
  </si>
  <si>
    <t>78а</t>
  </si>
  <si>
    <t xml:space="preserve">Пугачевская/ Черемшанская </t>
  </si>
  <si>
    <t>101/183</t>
  </si>
  <si>
    <t xml:space="preserve">Самолетная </t>
  </si>
  <si>
    <t xml:space="preserve">Свободы </t>
  </si>
  <si>
    <t>125а</t>
  </si>
  <si>
    <t xml:space="preserve">Свободы / Каховская </t>
  </si>
  <si>
    <t>146/36</t>
  </si>
  <si>
    <t>154а</t>
  </si>
  <si>
    <t xml:space="preserve">Свободы / Металлистов </t>
  </si>
  <si>
    <t>164/31</t>
  </si>
  <si>
    <t>172/32</t>
  </si>
  <si>
    <t xml:space="preserve">Свободы / Кузнецкая </t>
  </si>
  <si>
    <t>178/30</t>
  </si>
  <si>
    <t xml:space="preserve">Севастопольская </t>
  </si>
  <si>
    <t>11/116</t>
  </si>
  <si>
    <t>Севастопольская / Свободы</t>
  </si>
  <si>
    <t>29/137</t>
  </si>
  <si>
    <t>51/8</t>
  </si>
  <si>
    <t xml:space="preserve">Серноводская </t>
  </si>
  <si>
    <t xml:space="preserve">Советская </t>
  </si>
  <si>
    <t>36а</t>
  </si>
  <si>
    <t>Советская/ Металлургов</t>
  </si>
  <si>
    <t>44/28</t>
  </si>
  <si>
    <t>Советская / Енисейская</t>
  </si>
  <si>
    <t>60/9</t>
  </si>
  <si>
    <t xml:space="preserve">Советская /  Проспект Юных Пионеров </t>
  </si>
  <si>
    <t>69/172</t>
  </si>
  <si>
    <t xml:space="preserve">Ставропольская </t>
  </si>
  <si>
    <t xml:space="preserve">Стара Загора </t>
  </si>
  <si>
    <t xml:space="preserve">Строителей / Дальневосточная </t>
  </si>
  <si>
    <t>10/55</t>
  </si>
  <si>
    <t xml:space="preserve">Ташкентская </t>
  </si>
  <si>
    <t xml:space="preserve">Ташкентский переулок </t>
  </si>
  <si>
    <t>42/14</t>
  </si>
  <si>
    <t>76а</t>
  </si>
  <si>
    <t xml:space="preserve">Техническая </t>
  </si>
  <si>
    <t xml:space="preserve">Товарная </t>
  </si>
  <si>
    <t>Трест 90 Аэропортовское шоссе</t>
  </si>
  <si>
    <t xml:space="preserve">Черемшанская </t>
  </si>
  <si>
    <t>Черемшанская /Карачаевская</t>
  </si>
  <si>
    <t>202/25</t>
  </si>
  <si>
    <t>204а</t>
  </si>
  <si>
    <t>206а</t>
  </si>
  <si>
    <t xml:space="preserve">Щорса </t>
  </si>
  <si>
    <t>45/47</t>
  </si>
  <si>
    <t xml:space="preserve">Юбилейная </t>
  </si>
  <si>
    <t>15а</t>
  </si>
  <si>
    <t>47а</t>
  </si>
  <si>
    <t>51а</t>
  </si>
  <si>
    <t>54а</t>
  </si>
  <si>
    <t>54б</t>
  </si>
  <si>
    <t>58б</t>
  </si>
  <si>
    <t xml:space="preserve">Юных Пионеров/ Каховская </t>
  </si>
  <si>
    <t>135/67</t>
  </si>
  <si>
    <t xml:space="preserve">Юных Пионеров </t>
  </si>
  <si>
    <t>139/56</t>
  </si>
  <si>
    <t>140/66</t>
  </si>
  <si>
    <t xml:space="preserve">Юных Пионеров / Советская </t>
  </si>
  <si>
    <t>167в/67</t>
  </si>
  <si>
    <t>167г</t>
  </si>
  <si>
    <t>169а</t>
  </si>
  <si>
    <t>Всего средств на текущий ремонт в 2016г,тыс.руб.</t>
  </si>
  <si>
    <t>Конный проезд</t>
  </si>
  <si>
    <t>Итого:</t>
  </si>
  <si>
    <t>Кировский</t>
  </si>
  <si>
    <t>Мехзавод квартал 1</t>
  </si>
  <si>
    <t>2а</t>
  </si>
  <si>
    <t>3б</t>
  </si>
  <si>
    <t>4б</t>
  </si>
  <si>
    <t>19</t>
  </si>
  <si>
    <t>21</t>
  </si>
  <si>
    <t>22</t>
  </si>
  <si>
    <t>23</t>
  </si>
  <si>
    <t>Мехзавод квартал 2</t>
  </si>
  <si>
    <t>Мехзавод квартал 3</t>
  </si>
  <si>
    <t>Мехзавод квартал 4</t>
  </si>
  <si>
    <t>Мехзавод квартал 5</t>
  </si>
  <si>
    <t>Мехзавод квартал 16</t>
  </si>
  <si>
    <t>2</t>
  </si>
  <si>
    <t>3</t>
  </si>
  <si>
    <t>5</t>
  </si>
  <si>
    <t>7</t>
  </si>
  <si>
    <t>9</t>
  </si>
  <si>
    <t>11</t>
  </si>
  <si>
    <t>13</t>
  </si>
  <si>
    <t>14</t>
  </si>
  <si>
    <t>15</t>
  </si>
  <si>
    <t>16</t>
  </si>
  <si>
    <t>20</t>
  </si>
  <si>
    <t>Красный Пахарь</t>
  </si>
  <si>
    <t>Березовая аллея</t>
  </si>
  <si>
    <t>23 км Московского шоссе</t>
  </si>
  <si>
    <t>5а</t>
  </si>
  <si>
    <t>Мехзавод квартал 6</t>
  </si>
  <si>
    <t>Мехзавод квартал 7</t>
  </si>
  <si>
    <t>Мехзавод квартал 8</t>
  </si>
  <si>
    <t>34-36</t>
  </si>
  <si>
    <t>39</t>
  </si>
  <si>
    <t>40</t>
  </si>
  <si>
    <t>41-43</t>
  </si>
  <si>
    <t>Мехзавод квартал 9</t>
  </si>
  <si>
    <t>6</t>
  </si>
  <si>
    <t>8</t>
  </si>
  <si>
    <t>10</t>
  </si>
  <si>
    <t>12</t>
  </si>
  <si>
    <t>17</t>
  </si>
  <si>
    <t>18</t>
  </si>
  <si>
    <t>Мехзавод квартал 10</t>
  </si>
  <si>
    <t>4</t>
  </si>
  <si>
    <t>Мехзавод квартал 11</t>
  </si>
  <si>
    <t xml:space="preserve"> Козелковская</t>
  </si>
  <si>
    <t xml:space="preserve"> 2-я Кубанская</t>
  </si>
  <si>
    <t>Мехзавод квартал 12</t>
  </si>
  <si>
    <t>Мехзавод квартал 13</t>
  </si>
  <si>
    <t>8а</t>
  </si>
  <si>
    <t>Мехзавод квартал 14</t>
  </si>
  <si>
    <t>Мехзавод квартал 15</t>
  </si>
  <si>
    <t>ВСЧ</t>
  </si>
  <si>
    <t>2 (общ)</t>
  </si>
  <si>
    <t>5 (общ)</t>
  </si>
  <si>
    <t>8 Марта</t>
  </si>
  <si>
    <t>Березовый проезд</t>
  </si>
  <si>
    <t>Ветвистая</t>
  </si>
  <si>
    <t>Крайняя</t>
  </si>
  <si>
    <t xml:space="preserve">Кузнецова  </t>
  </si>
  <si>
    <t xml:space="preserve">Красноглинское  шоссе </t>
  </si>
  <si>
    <t>13/14</t>
  </si>
  <si>
    <t>Ногина</t>
  </si>
  <si>
    <t>Сергея Лазо</t>
  </si>
  <si>
    <t>1/13</t>
  </si>
  <si>
    <t>7/14</t>
  </si>
  <si>
    <t>9/7</t>
  </si>
  <si>
    <t>24/9</t>
  </si>
  <si>
    <t>27а</t>
  </si>
  <si>
    <t>34/2</t>
  </si>
  <si>
    <t>36/1</t>
  </si>
  <si>
    <t xml:space="preserve">Сергея Лазо </t>
  </si>
  <si>
    <t>46а</t>
  </si>
  <si>
    <t xml:space="preserve">Симферопольская  </t>
  </si>
  <si>
    <t>13/16</t>
  </si>
  <si>
    <t>21/13</t>
  </si>
  <si>
    <t>Парижской Коммуны</t>
  </si>
  <si>
    <t>3а</t>
  </si>
  <si>
    <t>9/8</t>
  </si>
  <si>
    <t>11/9</t>
  </si>
  <si>
    <t>Красногвардейская</t>
  </si>
  <si>
    <t xml:space="preserve">Красногвардейская </t>
  </si>
  <si>
    <t xml:space="preserve">Солдатская  </t>
  </si>
  <si>
    <t>Солдатская</t>
  </si>
  <si>
    <t xml:space="preserve">Гайдара   </t>
  </si>
  <si>
    <t>дома ЭМО</t>
  </si>
  <si>
    <t>п.41 км</t>
  </si>
  <si>
    <t>Банковский пер. д.2</t>
  </si>
  <si>
    <t>ст.Царевщина</t>
  </si>
  <si>
    <t>Всего средств на текущий ремонт с учетом остатка 2015г., тыс.руб.</t>
  </si>
  <si>
    <t>Красноглинский</t>
  </si>
  <si>
    <t>Стационарный</t>
  </si>
  <si>
    <t>Промышленный</t>
  </si>
  <si>
    <t>устр.коз.</t>
  </si>
  <si>
    <t>цоколь</t>
  </si>
  <si>
    <t>№кв</t>
  </si>
  <si>
    <t>вент.канал</t>
  </si>
  <si>
    <t>шиф</t>
  </si>
  <si>
    <t>крыльца п.1,2
рем.дверей</t>
  </si>
  <si>
    <t>мягкая</t>
  </si>
  <si>
    <t>авар.</t>
  </si>
  <si>
    <t>двери</t>
  </si>
  <si>
    <t>фасад</t>
  </si>
  <si>
    <t>цоколь
двери</t>
  </si>
  <si>
    <t>печи</t>
  </si>
  <si>
    <t>25
нар.освещ.</t>
  </si>
  <si>
    <t>дв
крыльцоп.№2
цоколь
козыр.п.№1,2</t>
  </si>
  <si>
    <t>козырек</t>
  </si>
  <si>
    <t>отопл.п-да №1
слух.окно</t>
  </si>
  <si>
    <t>№кв.</t>
  </si>
  <si>
    <t>туалет на улице</t>
  </si>
  <si>
    <t>п.№2</t>
  </si>
  <si>
    <t>I</t>
  </si>
  <si>
    <t>металл</t>
  </si>
  <si>
    <t>отопл.п.№1</t>
  </si>
  <si>
    <t>вру</t>
  </si>
  <si>
    <t>отопл.п-да</t>
  </si>
  <si>
    <t>рем.дверей
крыльцо п.№1
козырек П.№1</t>
  </si>
  <si>
    <t>Ориентировочная стоимость работ</t>
  </si>
  <si>
    <t>ХВС</t>
  </si>
  <si>
    <t>п/м</t>
  </si>
  <si>
    <t>ГВС</t>
  </si>
  <si>
    <t>отопление</t>
  </si>
  <si>
    <t>канализаци</t>
  </si>
  <si>
    <t>шифер</t>
  </si>
  <si>
    <t>м2</t>
  </si>
  <si>
    <t>отмостки</t>
  </si>
  <si>
    <t>эл.снабжение</t>
  </si>
  <si>
    <t>выпуск канализации</t>
  </si>
  <si>
    <t>отопление подъезда</t>
  </si>
  <si>
    <t>7000-13000</t>
  </si>
  <si>
    <t>дымовые трубы</t>
  </si>
  <si>
    <t>крыльцо</t>
  </si>
  <si>
    <t>кровля, в т.ч.</t>
  </si>
  <si>
    <t>подъезды:</t>
  </si>
  <si>
    <t>2эт.</t>
  </si>
  <si>
    <t>3 эт.</t>
  </si>
  <si>
    <t>4 эт.</t>
  </si>
  <si>
    <t>5эт.</t>
  </si>
  <si>
    <t>9эт.</t>
  </si>
  <si>
    <t>10эт.</t>
  </si>
  <si>
    <t>12эт.</t>
  </si>
  <si>
    <t>коз.освещение</t>
  </si>
  <si>
    <t>швы</t>
  </si>
  <si>
    <t>утепление</t>
  </si>
  <si>
    <t>наименование работ</t>
  </si>
  <si>
    <t>ед.изм.</t>
  </si>
  <si>
    <t>цена, руб.</t>
  </si>
  <si>
    <t>отопл.п-да №1</t>
  </si>
  <si>
    <t xml:space="preserve"> </t>
  </si>
  <si>
    <t>рем.фундам.</t>
  </si>
  <si>
    <t>II</t>
  </si>
  <si>
    <t>10 (п.№2)</t>
  </si>
  <si>
    <t>непредв.раб.</t>
  </si>
  <si>
    <t>металл.дверь</t>
  </si>
  <si>
    <t>входн.дверь
окна</t>
  </si>
  <si>
    <t>коридор</t>
  </si>
  <si>
    <t>подпорка коз.</t>
  </si>
  <si>
    <t>43,коридор</t>
  </si>
  <si>
    <t>остекление</t>
  </si>
  <si>
    <t>ремонт окон</t>
  </si>
  <si>
    <t>отопл.п.№1,2</t>
  </si>
  <si>
    <t>двери п.1,2</t>
  </si>
  <si>
    <t>корид.п.№1</t>
  </si>
  <si>
    <t>дым.трубы
цоколь</t>
  </si>
  <si>
    <t>5, л.кл.</t>
  </si>
  <si>
    <t>14,15, л.кл.</t>
  </si>
  <si>
    <t xml:space="preserve">дым.трубы
</t>
  </si>
  <si>
    <t>конек</t>
  </si>
  <si>
    <t>крыльцо п.№1
цоколь</t>
  </si>
  <si>
    <t>козырек п.№2
двери п.№1,2</t>
  </si>
  <si>
    <t>цоколь
крыльца п.№1,2</t>
  </si>
  <si>
    <t>фасад
крыльцо п.№1</t>
  </si>
  <si>
    <t>полы
двери</t>
  </si>
  <si>
    <t>цоколь
крыльца п.№1,2,3</t>
  </si>
  <si>
    <t>полы п.1,2</t>
  </si>
  <si>
    <t>цоколь
двери
полы</t>
  </si>
  <si>
    <t>полып.№1
цоколь
балкон</t>
  </si>
  <si>
    <t>полып.№2,1
цоколь</t>
  </si>
  <si>
    <t>рем.окон</t>
  </si>
  <si>
    <t>смена окна
рем.полов</t>
  </si>
  <si>
    <t>козырьки п.№1,2</t>
  </si>
  <si>
    <t>входн.дверь</t>
  </si>
  <si>
    <t>балконы кв.6,8,12</t>
  </si>
  <si>
    <t>полы в тамб., входн.дверь</t>
  </si>
  <si>
    <t>сгорел</t>
  </si>
  <si>
    <t xml:space="preserve">входн.дверь
</t>
  </si>
  <si>
    <t>козырьки п.1,2
цоколь</t>
  </si>
  <si>
    <t>дверь в тамб.</t>
  </si>
  <si>
    <t>цоколь
полы п.№3</t>
  </si>
  <si>
    <t>непредвид.</t>
  </si>
  <si>
    <t>V</t>
  </si>
  <si>
    <t>VI</t>
  </si>
  <si>
    <t>VII</t>
  </si>
  <si>
    <t>VIII</t>
  </si>
  <si>
    <t>IX</t>
  </si>
  <si>
    <t>X</t>
  </si>
  <si>
    <t>IV</t>
  </si>
  <si>
    <t>III</t>
  </si>
  <si>
    <t>XI</t>
  </si>
  <si>
    <t>XII</t>
  </si>
  <si>
    <t>ЦОКОЛЬ</t>
  </si>
  <si>
    <t>IV,V</t>
  </si>
  <si>
    <t>VIII,IX</t>
  </si>
  <si>
    <t>VIII,X</t>
  </si>
  <si>
    <t>цоколь
козырьки</t>
  </si>
  <si>
    <t>X,XI</t>
  </si>
  <si>
    <t>полы п.№2
входн.двери п.№1,2,3
перила п.№1,2,3
ОСТЕКЛЕНИЕ</t>
  </si>
  <si>
    <t>I,IV</t>
  </si>
  <si>
    <t>IX,XII</t>
  </si>
  <si>
    <t>V,X</t>
  </si>
  <si>
    <t>Директор МП г.о. Самара</t>
  </si>
  <si>
    <t>"Универсалбыт"</t>
  </si>
  <si>
    <t>Куманцов С.И.</t>
  </si>
  <si>
    <t>II,V</t>
  </si>
  <si>
    <t>полы-2м2</t>
  </si>
  <si>
    <t>крыльца
козырьки</t>
  </si>
  <si>
    <t>рем.пола, потолка-2м2</t>
  </si>
  <si>
    <t>отопл.п-да№1</t>
  </si>
  <si>
    <t>рем.двери</t>
  </si>
  <si>
    <t>рем.стены</t>
  </si>
  <si>
    <t>кап.ремонт</t>
  </si>
  <si>
    <t>24 изол
5,6</t>
  </si>
  <si>
    <t>остекл.-2,72м2</t>
  </si>
  <si>
    <t>отопл.п-да №2</t>
  </si>
  <si>
    <t>рем.фунд.</t>
  </si>
  <si>
    <t xml:space="preserve">рем.двери </t>
  </si>
  <si>
    <t>Виды работ</t>
  </si>
  <si>
    <t>Ед. изм.</t>
  </si>
  <si>
    <t>тыс.руб.</t>
  </si>
  <si>
    <t>кв. м</t>
  </si>
  <si>
    <t>Кровля</t>
  </si>
  <si>
    <t>кв.м</t>
  </si>
  <si>
    <t>Общедомовые приборы учета ХВС</t>
  </si>
  <si>
    <t>Тепловой ввод</t>
  </si>
  <si>
    <t>Выпуск канализационный</t>
  </si>
  <si>
    <t>Козырьковое, фасадное освещение</t>
  </si>
  <si>
    <t>Отмостки, входа, тротуары</t>
  </si>
  <si>
    <t>Детские и спортивные площадки</t>
  </si>
  <si>
    <t>Контейнерные площадки</t>
  </si>
  <si>
    <t>Прочее работы</t>
  </si>
  <si>
    <t>ИТОГО:</t>
  </si>
  <si>
    <t>тыс. руб.</t>
  </si>
  <si>
    <t>Фактическое начисление средств на текущий ремонт ИТОГО,в том числе</t>
  </si>
  <si>
    <t>бюджет г.о</t>
  </si>
  <si>
    <t>Фактическое поступление средств на текущий ремонт ИТОГО,в том числе</t>
  </si>
  <si>
    <t>Директор МП г.о. Самара "Универсалбыт"</t>
  </si>
  <si>
    <t>6-7 категория благоустройства</t>
  </si>
  <si>
    <t>1 квартал</t>
  </si>
  <si>
    <t>Директор МП 
г.о. Самара "Универсалбыт"</t>
  </si>
  <si>
    <t>отопл.п-да №1,2</t>
  </si>
  <si>
    <t>отопл.п.№2
рем.водост.труб-21,6м
рем.двери</t>
  </si>
  <si>
    <t>дым.тр.-1шт.</t>
  </si>
  <si>
    <t>рем.полов</t>
  </si>
  <si>
    <t>изгот.зонта</t>
  </si>
  <si>
    <t>примык.</t>
  </si>
  <si>
    <t>ремонт двери - 1шт.</t>
  </si>
  <si>
    <t>ремонт двери и пола</t>
  </si>
  <si>
    <t>ремонт двери</t>
  </si>
  <si>
    <t>IV, V</t>
  </si>
  <si>
    <t>рем.отопл.п.№1</t>
  </si>
  <si>
    <t>7, 4</t>
  </si>
  <si>
    <t>цоколь-36м2</t>
  </si>
  <si>
    <t>цоколь-30м2</t>
  </si>
  <si>
    <t>цоколь-25м2</t>
  </si>
  <si>
    <t>цоколь-24м2</t>
  </si>
  <si>
    <t>цоколь-44,45м2</t>
  </si>
  <si>
    <t>фасад-24м2</t>
  </si>
  <si>
    <t>цоколь-32,8м2</t>
  </si>
  <si>
    <t>цоколь-59м2</t>
  </si>
  <si>
    <t>цоколь-78м2</t>
  </si>
  <si>
    <t>фасад-38м2</t>
  </si>
  <si>
    <t>ремонт т.у.</t>
  </si>
  <si>
    <t>7, 8</t>
  </si>
  <si>
    <t>за 6 месяцев</t>
  </si>
  <si>
    <t>за 9 месяцев</t>
  </si>
  <si>
    <t>Аэропорт - 2</t>
  </si>
  <si>
    <t>Балтийская</t>
  </si>
  <si>
    <t>Грибоедова</t>
  </si>
  <si>
    <t>Дальневосточная</t>
  </si>
  <si>
    <t>Дальняя</t>
  </si>
  <si>
    <t>3(1)</t>
  </si>
  <si>
    <t>Елизарова</t>
  </si>
  <si>
    <t>Карачаевская</t>
  </si>
  <si>
    <t>19а</t>
  </si>
  <si>
    <t>Каховская</t>
  </si>
  <si>
    <t>Кирова</t>
  </si>
  <si>
    <t>Кузнецкая</t>
  </si>
  <si>
    <t>Магистральная</t>
  </si>
  <si>
    <t>Марии Авейде</t>
  </si>
  <si>
    <t>Металлистов</t>
  </si>
  <si>
    <t>Металлургов</t>
  </si>
  <si>
    <t>24а</t>
  </si>
  <si>
    <t>Московское ш.,18 км, опытн. ст. по сад-ву</t>
  </si>
  <si>
    <t>Нежинская</t>
  </si>
  <si>
    <t>Острогорский проезд</t>
  </si>
  <si>
    <t>Пугачевская</t>
  </si>
  <si>
    <t>Свободы</t>
  </si>
  <si>
    <t>Серноводская</t>
  </si>
  <si>
    <t>Советская</t>
  </si>
  <si>
    <t>Ставропольская</t>
  </si>
  <si>
    <t>Ташкентский переулок</t>
  </si>
  <si>
    <t>63а</t>
  </si>
  <si>
    <t>Чекистов</t>
  </si>
  <si>
    <t>Черемшанская</t>
  </si>
  <si>
    <t>202а/27</t>
  </si>
  <si>
    <t>Юных Пионеров/ Металлистов</t>
  </si>
  <si>
    <t>162/67</t>
  </si>
  <si>
    <t>Юных Пионеров</t>
  </si>
  <si>
    <t>170/78</t>
  </si>
  <si>
    <t>аварийные</t>
  </si>
  <si>
    <t>п.№1</t>
  </si>
  <si>
    <t>1</t>
  </si>
  <si>
    <t>ремонт цоколя-60м2</t>
  </si>
  <si>
    <t>расселен</t>
  </si>
  <si>
    <t>Отчет</t>
  </si>
  <si>
    <t xml:space="preserve"> месяц </t>
  </si>
  <si>
    <t>1,2,4</t>
  </si>
  <si>
    <t>1,2,3</t>
  </si>
  <si>
    <t>монтаж козырька п.№1</t>
  </si>
  <si>
    <t>аварийные работы</t>
  </si>
  <si>
    <t>ремонт фасада</t>
  </si>
  <si>
    <t>*8 Марта</t>
  </si>
  <si>
    <t>*Березовый проезд</t>
  </si>
  <si>
    <t>*Ветвистая</t>
  </si>
  <si>
    <t>*Сергея Лазо</t>
  </si>
  <si>
    <t>объект</t>
  </si>
  <si>
    <t xml:space="preserve">*Симферопольская  </t>
  </si>
  <si>
    <t>*Парижской Коммуны</t>
  </si>
  <si>
    <t>*Красногвардейская</t>
  </si>
  <si>
    <t xml:space="preserve">*Солдатская  </t>
  </si>
  <si>
    <t>Прочие работы</t>
  </si>
  <si>
    <t>Ново-Садовая</t>
  </si>
  <si>
    <t>Революционная</t>
  </si>
  <si>
    <t>Николая Панова</t>
  </si>
  <si>
    <t>Октябрьский</t>
  </si>
  <si>
    <t xml:space="preserve">факт </t>
  </si>
  <si>
    <t>монтаж козырьков п.№1,2</t>
  </si>
  <si>
    <t>*Коломенский переулок</t>
  </si>
  <si>
    <t>заяв</t>
  </si>
  <si>
    <t>зап.армат.</t>
  </si>
  <si>
    <t>заяв.</t>
  </si>
  <si>
    <t>*Мехзавод квартал 1</t>
  </si>
  <si>
    <t>подготовка к зиме</t>
  </si>
  <si>
    <t>ремонт отопления п.№1,2</t>
  </si>
  <si>
    <t>2 с окнами пвх</t>
  </si>
  <si>
    <t>Московское шоссе</t>
  </si>
  <si>
    <t>50 (центр.стояк п.№3,5)</t>
  </si>
  <si>
    <t>теплообменник</t>
  </si>
  <si>
    <t>1,2</t>
  </si>
  <si>
    <t>Коломенский переулок</t>
  </si>
  <si>
    <t>откл.и вкл.хвс</t>
  </si>
  <si>
    <t>65\153</t>
  </si>
  <si>
    <t>шт</t>
  </si>
  <si>
    <t>Директор 
МП г.о. Самара "Универсалбыт"</t>
  </si>
  <si>
    <t>В.Н. Медведев</t>
  </si>
  <si>
    <t>Фактически произведенные работы с 01.01.2020</t>
  </si>
  <si>
    <t>Плановые поступления средств на текущий ремонт в 2020г., тыс.руб.</t>
  </si>
  <si>
    <t>35а</t>
  </si>
  <si>
    <t>4-12</t>
  </si>
  <si>
    <t>опиловка деревьев</t>
  </si>
  <si>
    <t>6,7,8</t>
  </si>
  <si>
    <t>металл.</t>
  </si>
  <si>
    <t>Юбилейная</t>
  </si>
  <si>
    <t>40 изол.</t>
  </si>
  <si>
    <t xml:space="preserve">*Парадная </t>
  </si>
  <si>
    <t>*Мехзавод квартал 2</t>
  </si>
  <si>
    <t>4-10</t>
  </si>
  <si>
    <t xml:space="preserve">*Товарная </t>
  </si>
  <si>
    <t xml:space="preserve">*Мирная </t>
  </si>
  <si>
    <t>1,4</t>
  </si>
  <si>
    <t>нет протокола</t>
  </si>
  <si>
    <t xml:space="preserve">окна пвх п.1
</t>
  </si>
  <si>
    <t>платежи населения
руб.</t>
  </si>
  <si>
    <t>бюджет г.о. Самара
руб.</t>
  </si>
  <si>
    <t>Всего
тыс.руб.</t>
  </si>
  <si>
    <t>Сумма запланированных работ
тыс.руб.</t>
  </si>
  <si>
    <t>*ст.Царевщина</t>
  </si>
  <si>
    <t>смена почт.ящ. П.№4</t>
  </si>
  <si>
    <t>План на 2020год</t>
  </si>
  <si>
    <t>за  2020год</t>
  </si>
  <si>
    <t>2, 4</t>
  </si>
  <si>
    <t>парапет</t>
  </si>
  <si>
    <t>4,7</t>
  </si>
  <si>
    <t>п.№3</t>
  </si>
  <si>
    <t>Краснодонская</t>
  </si>
  <si>
    <t>Хозяинов Ю.В.</t>
  </si>
  <si>
    <t>Масленникова</t>
  </si>
  <si>
    <t>полив</t>
  </si>
  <si>
    <t>8,9</t>
  </si>
  <si>
    <t>отчет</t>
  </si>
  <si>
    <t>А.В. Русаков</t>
  </si>
  <si>
    <t>ремонт лифта п.№1</t>
  </si>
  <si>
    <t>Зубчаниновское шоссе</t>
  </si>
  <si>
    <t>Оплачено 2021</t>
  </si>
  <si>
    <t>остаток 2020год</t>
  </si>
  <si>
    <t>Плановые поступления средств на текущий ремонт в 2021г., тыс.руб.</t>
  </si>
  <si>
    <t>Всего средств на текущий ремонт с учетом остатка 2020г., тыс.руб.</t>
  </si>
  <si>
    <t>остаток с 2020г</t>
  </si>
  <si>
    <t>Оплачено в 2021 г.</t>
  </si>
  <si>
    <t>Всего средств на текущий ремонт в 2021г,тыс.руб.</t>
  </si>
  <si>
    <t>1,6,7,8,10</t>
  </si>
  <si>
    <t>ремонт крыльца п.№1,6,7,8,10
ремонт входа в арку .№6
ремонт входа в м.приемн.камеру п.№1,6,7,8,10
смена крышек загр.люков м. приемн. - 90шт.</t>
  </si>
  <si>
    <t>7, 10, 6,5 ,1</t>
  </si>
  <si>
    <t>Планируемое поступление  средств на текущий ремонт в 2021г,тыс.руб.</t>
  </si>
  <si>
    <t>смена вх.дверей в подвал</t>
  </si>
  <si>
    <t>поверка ОДПУ</t>
  </si>
  <si>
    <t>задв.</t>
  </si>
  <si>
    <t>смена дверей в тамб.п.№1,2</t>
  </si>
  <si>
    <t>смена дверей в тамб. П.№2,3,4,5</t>
  </si>
  <si>
    <t xml:space="preserve">п.№1 с окнами пвх </t>
  </si>
  <si>
    <t>поверка и ремонт ОДПУ
ремонт козырьков п.№1-6</t>
  </si>
  <si>
    <t>отказ от подписи</t>
  </si>
  <si>
    <t>смена вх.дверей п.№1,2</t>
  </si>
  <si>
    <t>№3 с окном</t>
  </si>
  <si>
    <t>ремонт оголовков</t>
  </si>
  <si>
    <t>монтаж козырьков</t>
  </si>
  <si>
    <t>изол.60м</t>
  </si>
  <si>
    <t>опиловка деревьев
ремонт цоколя-93м2
ремонт крыльца п.№3</t>
  </si>
  <si>
    <t>ВРУ п.№3</t>
  </si>
  <si>
    <t>№4 с окнами пвх
№2,3окна пвх</t>
  </si>
  <si>
    <t>1-4</t>
  </si>
  <si>
    <t>ремонт цоколя-116м2
ремонт крылец
ремонт козырьков
ремонт окон</t>
  </si>
  <si>
    <t>т.обм.
Стояки кв.33,50, 54</t>
  </si>
  <si>
    <t>стояк кв.33,34-6м</t>
  </si>
  <si>
    <t>стояк кв.40,46,52-18м</t>
  </si>
  <si>
    <t>МОП свет-ки 32шт.</t>
  </si>
  <si>
    <t>стояк кв.33-3м</t>
  </si>
  <si>
    <t>ремонт крылец п.№1-4
ремонт козырьков п.№1-4
смена почт.ящ.п. №2</t>
  </si>
  <si>
    <t>стояк кв.5- 3м</t>
  </si>
  <si>
    <t>ремонт крыльца п.№1
опиловка деревьев
установить доски объявлений</t>
  </si>
  <si>
    <t>2 с окнами</t>
  </si>
  <si>
    <t>ОДПУ эл.энергии</t>
  </si>
  <si>
    <t>ремонт оголовков п.№1
смена почт.ящ. П.№1,4
очистка чердака и подвала</t>
  </si>
  <si>
    <t>вход в подв. П.№1</t>
  </si>
  <si>
    <t>ремонт ступеней крыльца</t>
  </si>
  <si>
    <t>ремонт козырьков
ремонт крылец</t>
  </si>
  <si>
    <t>свет.с датч.движ. 28шт</t>
  </si>
  <si>
    <t>ремонт пола в тамбуре п.№1,2,3</t>
  </si>
  <si>
    <t>7,8, подъезд</t>
  </si>
  <si>
    <t>100 п.№2</t>
  </si>
  <si>
    <t>8 (ендовая)</t>
  </si>
  <si>
    <t>ремонт фасада-98м2</t>
  </si>
  <si>
    <t>смена козырька п. 1,2
смена вх.двери</t>
  </si>
  <si>
    <t>монтаж козырьков-2шт
ремонт фасада кв.4,3</t>
  </si>
  <si>
    <t>12м стояк кв.33,37,41, муз.шк.
Изол.150м</t>
  </si>
  <si>
    <t>24 стояки</t>
  </si>
  <si>
    <t>ремонт слуховых окон</t>
  </si>
  <si>
    <t>30 стояки кв.67-79</t>
  </si>
  <si>
    <t>смена дверей в тамб.-3шт.
Подготовка к зиме</t>
  </si>
  <si>
    <t>ремонт пола на 1эт.</t>
  </si>
  <si>
    <t>утепл.10м</t>
  </si>
  <si>
    <t>тамб.п.№1,2</t>
  </si>
  <si>
    <t>ремонт крылец п.№1,2
ремонт фасада
ремонт козырька п.№2
ремонт отопления п.№1,2</t>
  </si>
  <si>
    <t>ремонт цоколя-60м2
подготовка к зиме
смена вх.дверей</t>
  </si>
  <si>
    <t>36,38,40</t>
  </si>
  <si>
    <t>поверка и ремонт ОДПУ</t>
  </si>
  <si>
    <t>19,38,39,20 свесы, парапет</t>
  </si>
  <si>
    <t>45
стояки п.№2</t>
  </si>
  <si>
    <t>окна пвх , входн.и тамб.двери п.№1</t>
  </si>
  <si>
    <t>установить инф.доски
ремонт кирп.стены спуска в подвал
смена металл.дверей входа в подвал-3шт.
Ремонт козырька зап.выхода
ремонт двери выхода на чердак и кровлю п.№1</t>
  </si>
  <si>
    <t>1,2,4,5</t>
  </si>
  <si>
    <t>№2 со сменой окон и плитки</t>
  </si>
  <si>
    <t>15 ливн.п.№2</t>
  </si>
  <si>
    <t>закрыть продухи решетками
ремонт крыльца п.№1,2,4,5
устан.инф.досок
ремонт пола п.№1,6- 7м2</t>
  </si>
  <si>
    <t>бочки</t>
  </si>
  <si>
    <t>1.ремонт "бочек" бельевых
2.смена панели приказов лифтов  п.№1,2
3.ремонт балконов кв.33,69
4.ремонт крышек м.провода
5.установка перил п.№1
6.смена вх.дверей п.№1,2</t>
  </si>
  <si>
    <t>200 м подвал п.№1</t>
  </si>
  <si>
    <t>15 полив</t>
  </si>
  <si>
    <t>69,70</t>
  </si>
  <si>
    <t>ремонт балкона кв.107
устр-во огр.газона п.1,2,3
смена металл.дверей м.провода
ремонт козырьков п.1,2,3</t>
  </si>
  <si>
    <t>200
подвал</t>
  </si>
  <si>
    <t>№1 с окнами
№2 окна ПВХ</t>
  </si>
  <si>
    <t>ремонт отопления п.№1
установка инф.досок
очистка подвала
ремонт м.приемн.камер
смена двери м.кам.п.№1
устр-во пола из плитки тамбур п.№2
устр-во огражд.газона п.№1</t>
  </si>
  <si>
    <t xml:space="preserve">устр-во гражд.п. №1,2,3,4-140м
изготовить тех паспорт
</t>
  </si>
  <si>
    <t xml:space="preserve">закрыть продухи решетками
ремонт люков м.провода -9шт
</t>
  </si>
  <si>
    <t>*Красный Пахарь</t>
  </si>
  <si>
    <t xml:space="preserve">ремонт козырьков
ремонт окон
</t>
  </si>
  <si>
    <t>63 стояки</t>
  </si>
  <si>
    <t>обрезка деревьев п.№1</t>
  </si>
  <si>
    <t>ремонт вх.дверей</t>
  </si>
  <si>
    <t>ремонт оголовков труб</t>
  </si>
  <si>
    <t>ремонт входа в подвал
ремонт люка выхода на кровлю
ремонт отопления п.№2
ремонт цоколя-98м2
установить скамейки
установить инф.доски
монтаж ограждения газона</t>
  </si>
  <si>
    <t>эл.щиты п.№1,2
свет-ки</t>
  </si>
  <si>
    <t>1,2,3,4,6</t>
  </si>
  <si>
    <t>43-48</t>
  </si>
  <si>
    <t>1,2 окна пвх</t>
  </si>
  <si>
    <t>т.у., изол.,зап.армат.
40м</t>
  </si>
  <si>
    <t>200 подв.</t>
  </si>
  <si>
    <t>очистка подвала</t>
  </si>
  <si>
    <t>3,4</t>
  </si>
  <si>
    <t>окна пвх п.№3,4
п.№1,2</t>
  </si>
  <si>
    <t>ремонт цоколя-98м2</t>
  </si>
  <si>
    <t>ремонт печи кв.7</t>
  </si>
  <si>
    <t>ремонт цоколя-50м2</t>
  </si>
  <si>
    <t>2,3</t>
  </si>
  <si>
    <t>осв.и заземл.в подв.</t>
  </si>
  <si>
    <t>ОДПУ эл.эн.
Поверка ОДПУ тепло</t>
  </si>
  <si>
    <t>изол., реконстр., переподкл.</t>
  </si>
  <si>
    <t>ремонт оголовков
ремонт фасада-200м2</t>
  </si>
  <si>
    <t>3 с окнами</t>
  </si>
  <si>
    <t>ремонт козырька п.№2
ремонт крыльца п.№2</t>
  </si>
  <si>
    <t>изол.168м</t>
  </si>
  <si>
    <t>окна пвх п.№3,4
двери пвх п.№1,2,3,4</t>
  </si>
  <si>
    <t>ремонт люков выхода на кровлю
ремонт козырьков - 4шт
установка скамеек-4шт
ремонт крылец - 4шт
опиловка деревьев</t>
  </si>
  <si>
    <t>ремонт цоколя-166м2</t>
  </si>
  <si>
    <t>100 (в т.ч. Стояк кв.1,5,9,13)</t>
  </si>
  <si>
    <t>окна пвх п.№4,1,2</t>
  </si>
  <si>
    <t>ремонт отопления п.№4</t>
  </si>
  <si>
    <t>ОДПУ тепло ввод в экспл.</t>
  </si>
  <si>
    <t>п.№4</t>
  </si>
  <si>
    <t>15 п.с.кв.71,74</t>
  </si>
  <si>
    <t>сев.сторона</t>
  </si>
  <si>
    <t>эл.щиты п..№1-4</t>
  </si>
  <si>
    <t>25, т.у.</t>
  </si>
  <si>
    <t>ОДПУ тепло</t>
  </si>
  <si>
    <t>ремонт вх.группп.№1,2,3
ремонт козырьков п.№1,2,3
установка поручней п.№2,3
устан.инф.досок-3шт
ремонт цоколя-52м2</t>
  </si>
  <si>
    <t>ремонт фасада-250м2</t>
  </si>
  <si>
    <t>ремонт фасада-300м2</t>
  </si>
  <si>
    <t xml:space="preserve">ремонт крыльца п.№1
ремонт цоколя-98м2
</t>
  </si>
  <si>
    <t>ремонт входн.дверей-2шт
ремонт оголовков-8шт</t>
  </si>
  <si>
    <t>ремонт вх.дверей п.№1,2,3
ремонт оголовков</t>
  </si>
  <si>
    <t>ремонт балкона кв.34,38
ремонт козырька п.№3</t>
  </si>
  <si>
    <t>ремонт оголовков-8шт</t>
  </si>
  <si>
    <t>ремонт оголовков - 8 шт</t>
  </si>
  <si>
    <t>ремонт оголовков-4шт</t>
  </si>
  <si>
    <t>ремонт фасада-200м2</t>
  </si>
  <si>
    <t>ремонт оголовков- 4шт</t>
  </si>
  <si>
    <t>ремонт фасада-160м2</t>
  </si>
  <si>
    <t>ремонт крыльца п.№1,2</t>
  </si>
  <si>
    <t>*дома ЭМО</t>
  </si>
  <si>
    <t>*п.41 км</t>
  </si>
  <si>
    <t>остаток 2019год</t>
  </si>
  <si>
    <t>Сводный отчет по текущему ремонту жилых домов Кировского района, находящихся в управлении МП г.о. Самара "Универсалбыт" за  2021г.</t>
  </si>
  <si>
    <t>План на 2021год</t>
  </si>
  <si>
    <t>за  2021год</t>
  </si>
  <si>
    <t>Сводный отчет по текущему ремонту жилых домов Кировского района, находящихся в управлении МП г.о. Самара "Универсалбыт" за  2021 г.</t>
  </si>
  <si>
    <t>Сводный отчет по текущему ремонту жилых домов Красноглинского района, находящихся в управлении МП г.о. Самара "Универсалбыт" за 2021 г.</t>
  </si>
  <si>
    <t>Сводный отчет по текущему ремонту жилых домов Промышленного района за 2021 г.</t>
  </si>
  <si>
    <t>Сводный отчет по текущему ремонту жилых домов Промышленного района за  2021 г.</t>
  </si>
  <si>
    <t>Сводный отчет по текущему ремонту жилых домов Октябрьского района за 2021 г.</t>
  </si>
  <si>
    <t>Сводный отчет по текущему ремонту жилых домов Октябрьского района за  2021 г.</t>
  </si>
  <si>
    <t>Сводный отчет по текущему ремонту жилых домов  за 2021 г.</t>
  </si>
  <si>
    <t>Сводный отчет по текущему ремонту жилых домов  за  2021 г.</t>
  </si>
  <si>
    <t>14,16</t>
  </si>
  <si>
    <t>изол.</t>
  </si>
  <si>
    <t>смена окна п.№1</t>
  </si>
  <si>
    <t xml:space="preserve">№1 </t>
  </si>
  <si>
    <t>смена окон п.№1,2
ремонт п.№1</t>
  </si>
  <si>
    <t>монтаж козырьков -3шт.
Подготовка к зиме</t>
  </si>
  <si>
    <t>окна пвх п.№2,3,4</t>
  </si>
  <si>
    <t>ремонт козырьков -4шт
ремонт крылец - 4шт</t>
  </si>
  <si>
    <t>ремонт козырьков -4шт
ремонт крылец - 4шт
подготовка к зиме</t>
  </si>
  <si>
    <t xml:space="preserve">ремонт крылец п.№1,2,3
</t>
  </si>
  <si>
    <t>*Мехзавод квартал 5</t>
  </si>
  <si>
    <t>установка решеток на чердаке</t>
  </si>
  <si>
    <t>ремонт входа в подвал</t>
  </si>
  <si>
    <t>желоба,свесы</t>
  </si>
  <si>
    <t xml:space="preserve">ремонт козырьков п.№1-4
очистка чердака от мусора
</t>
  </si>
  <si>
    <t>ремонт отопления в п-де
ремонт пола в подъезде
устан.металл.вх.двери</t>
  </si>
  <si>
    <t>ремонт цоколя-62м2
ремонт оголовков -4шт</t>
  </si>
  <si>
    <t>спускники</t>
  </si>
  <si>
    <t>ремонт оголовков-2шт</t>
  </si>
  <si>
    <t>1 с окнами</t>
  </si>
  <si>
    <t>смена окон, дверей п.№2,3</t>
  </si>
  <si>
    <t>смена м.приемн.клап.-3шт</t>
  </si>
  <si>
    <t>смена м.приемн.клап.-2шт</t>
  </si>
  <si>
    <t>ремонт стены п.№2</t>
  </si>
  <si>
    <t>ремонт дымоходов</t>
  </si>
  <si>
    <t>установка перил-10м</t>
  </si>
  <si>
    <t>жалюзийн.решетки-3шт.</t>
  </si>
  <si>
    <t>осв.п.№1,2</t>
  </si>
  <si>
    <t>смена козырька п.№2
смена тамб.дверей</t>
  </si>
  <si>
    <t>1-9</t>
  </si>
  <si>
    <t>3-12</t>
  </si>
  <si>
    <t>5-9</t>
  </si>
  <si>
    <t>5,6,7</t>
  </si>
  <si>
    <t>ремонт козырька</t>
  </si>
  <si>
    <t>5
6</t>
  </si>
  <si>
    <t>6,9</t>
  </si>
  <si>
    <t>5,9</t>
  </si>
  <si>
    <t>5,11</t>
  </si>
  <si>
    <t>4,10,11,12</t>
  </si>
  <si>
    <t>4,5</t>
  </si>
  <si>
    <t>10,11</t>
  </si>
  <si>
    <t>4,5,6</t>
  </si>
  <si>
    <t>6,7,10</t>
  </si>
  <si>
    <t>5,6</t>
  </si>
  <si>
    <t xml:space="preserve">окна пвх п.2
</t>
  </si>
  <si>
    <t>ремонт фасада (укрепление кирпичей карниза)</t>
  </si>
  <si>
    <t>8
5</t>
  </si>
  <si>
    <t>окнв пвх п.№1,2</t>
  </si>
  <si>
    <t>60 стояки</t>
  </si>
  <si>
    <t>100 подвал</t>
  </si>
  <si>
    <t>40 вых. П.№2,3</t>
  </si>
  <si>
    <t>установить урны у п-дов</t>
  </si>
  <si>
    <t>подг0товка к зиме</t>
  </si>
  <si>
    <t>1,3</t>
  </si>
  <si>
    <t>ремонт козырьков п.№1,2,4
подготовка к зиме</t>
  </si>
  <si>
    <t>ремонт балкона кв.70
ремонт козырьков п.№1,2</t>
  </si>
  <si>
    <t>ремонт цоколя -96м2</t>
  </si>
  <si>
    <t>27 стояк кв.37-69</t>
  </si>
  <si>
    <t>эл.щиты п.№4,5</t>
  </si>
  <si>
    <t>смена мусороприемников - 5шт.
Установка решеток на продухи
установка табл. С № кв-р на п-дах</t>
  </si>
  <si>
    <t>ремонт кирп.кладки п.№1</t>
  </si>
  <si>
    <t>40изол</t>
  </si>
  <si>
    <t>установка зонтов над трубами</t>
  </si>
  <si>
    <t>стоки 87</t>
  </si>
  <si>
    <t>стояки
123</t>
  </si>
  <si>
    <t>врезки
0 эт., пож.лест.</t>
  </si>
  <si>
    <t>установка дер.двеорей -4шт
устан.металл.двери-1шт
ремонт дверей - 10 шт.</t>
  </si>
  <si>
    <t>свет.с датч.-3шт</t>
  </si>
  <si>
    <t>окна холл 1эт.
1эт.холл</t>
  </si>
  <si>
    <t>14,29,общ.туал.,кухня</t>
  </si>
  <si>
    <t>ремонт потолка 1эт. Сан.узел</t>
  </si>
  <si>
    <t>ремонт фасада (цоколь)-96м2</t>
  </si>
  <si>
    <t>ремонт фасада -160м2</t>
  </si>
  <si>
    <t>ремонт дымохода -1шт</t>
  </si>
  <si>
    <t>6м стояк кв.69-83</t>
  </si>
  <si>
    <t>эл.щит.</t>
  </si>
  <si>
    <t>7,8</t>
  </si>
  <si>
    <t>смена двери в тамбуре</t>
  </si>
  <si>
    <t>ремонт цоколя-62м2</t>
  </si>
  <si>
    <t xml:space="preserve">окно пвх </t>
  </si>
  <si>
    <t>ремонт цоколя=62м2</t>
  </si>
  <si>
    <t>ремонт пола и лестницы</t>
  </si>
  <si>
    <t>ремонт цоколя-62м2
ремонт вх.двери</t>
  </si>
  <si>
    <t>тамбур</t>
  </si>
  <si>
    <t>опиловка деревьев
аварийные работы</t>
  </si>
  <si>
    <t>48,50,94,126</t>
  </si>
  <si>
    <t>51м стояки -3шт.</t>
  </si>
  <si>
    <t>85м стояки-5шт.</t>
  </si>
  <si>
    <t>окна пвх п.№1,2,3</t>
  </si>
  <si>
    <t>п.№4,5</t>
  </si>
  <si>
    <t>ремонт цоколя (п.2-6)-88м2
устр-во поручня и двери в т.у.п.№1,4
ремонт вх.двери в подвал п.№5
ремонт поручней п.№1,2,5
ремонт окна п.№3</t>
  </si>
  <si>
    <t>5м стояк кв.77</t>
  </si>
  <si>
    <t>эл.щиты-смена автоматов
эл.пров. Подв.п.№5-50м</t>
  </si>
  <si>
    <t>п.1,2 
5-йэтаж
окна пвх п.№1</t>
  </si>
  <si>
    <t>ремонт пола и ступеней
смена вх.и тамб.двери
монтаж козырька-1шт</t>
  </si>
  <si>
    <t>ремонт вент.трубы</t>
  </si>
  <si>
    <t>ремонт цоколя-96м2</t>
  </si>
  <si>
    <t>ремонт цоколя-56м2</t>
  </si>
  <si>
    <t>1 с окном пвх</t>
  </si>
  <si>
    <t>п.№1,2</t>
  </si>
  <si>
    <t>38</t>
  </si>
  <si>
    <t>м.о.окна в п.№1
смена двери в тамб.п.№1</t>
  </si>
  <si>
    <t>44
утепление</t>
  </si>
  <si>
    <t>эл.снабж.+эл.щит.п.№1</t>
  </si>
  <si>
    <t>15 стояк кв.1,5,2,4,6</t>
  </si>
  <si>
    <t>1 с окном ПВХ</t>
  </si>
  <si>
    <t>ремонт цоколя - 62м2</t>
  </si>
  <si>
    <t>монтаж козырька
ремонт цоколя-62м2</t>
  </si>
  <si>
    <t>ремонт фасада-124м2
опиловка деревьев</t>
  </si>
  <si>
    <t>7стояк кв.4,8</t>
  </si>
  <si>
    <t>ендовая</t>
  </si>
  <si>
    <t>монтаж козырька
ремонт пола в тамб.
Опиловка деревьев</t>
  </si>
  <si>
    <t>опиловка и снос деревьев</t>
  </si>
  <si>
    <t>эл.освещ.тамб.п.№1</t>
  </si>
  <si>
    <t>монтаж козырька п.№1,2
заделка трещин на фасаде</t>
  </si>
  <si>
    <t>ремонт балконов-5шт</t>
  </si>
  <si>
    <t>окно ПВХ</t>
  </si>
  <si>
    <t>6,12</t>
  </si>
  <si>
    <t>6,8</t>
  </si>
  <si>
    <t>подъезд</t>
  </si>
  <si>
    <t>ремонт люка вых.на чердак</t>
  </si>
  <si>
    <t>4,5
окна и дверь п.№5,1</t>
  </si>
  <si>
    <t>ремонт козырька п.№6</t>
  </si>
  <si>
    <t>ремонт отопления п.№1
опиловка деревьев</t>
  </si>
  <si>
    <t>ремонт цоколя-96м2
ремонт вент.труб</t>
  </si>
  <si>
    <t>эл.щит</t>
  </si>
  <si>
    <t>смена почт.ящ.</t>
  </si>
  <si>
    <t>окраска пола
утепление вх.двери
ремонт козырька
опиловка и снос деревьев</t>
  </si>
  <si>
    <t>ремонт цоколя-131м2</t>
  </si>
  <si>
    <t>эл.щит.п.№3</t>
  </si>
  <si>
    <t>ремонт вент.труб
монтаж козырька п.№1
ремонт пола п.№1</t>
  </si>
  <si>
    <t>осв.тамб.п.№1,2</t>
  </si>
  <si>
    <t>1 с окнами пвх</t>
  </si>
  <si>
    <t>3 кв.4</t>
  </si>
  <si>
    <t>ремонт лестницы п.№2
устанока огражд.с торца-20м
опиловка деревьев</t>
  </si>
  <si>
    <t>монтаж козырька п.№1
ремонт отопления п.№1</t>
  </si>
  <si>
    <t>монтаж козырька
ремонт отопления в п-де</t>
  </si>
  <si>
    <t>ремонт двери в т.у.
окраска пола в п-де</t>
  </si>
  <si>
    <t>ремонт балкона кв.12</t>
  </si>
  <si>
    <t>Литвинова</t>
  </si>
  <si>
    <t>свет-ки п.№1,2-42шт</t>
  </si>
  <si>
    <t>окна пвх п.№1,2</t>
  </si>
  <si>
    <t>смена почт.ящ п.№1,2,3,4
опиловка деревьев</t>
  </si>
  <si>
    <t>установка поручня п.№1</t>
  </si>
  <si>
    <t>2
побелка п.№1</t>
  </si>
  <si>
    <t>опиловка деревьев
ремонт цоколя-62м2</t>
  </si>
  <si>
    <t>ремонт цоколя-96м2
ремонт пола в тамб. и лестницы</t>
  </si>
  <si>
    <t>3 кв.8</t>
  </si>
  <si>
    <t>монтаж козырька п.№1,2
ремонт цоколя-96м2</t>
  </si>
  <si>
    <t>ремонт козырька
ремонт двери в тамб.</t>
  </si>
  <si>
    <t xml:space="preserve"> тамб.освещ.</t>
  </si>
  <si>
    <t>ремонт пола и ступеней
окраска пола
ремонт цоколя-62м2
смена вх.двери</t>
  </si>
  <si>
    <t>опиловка деревьев
ремонт фасада-96м2</t>
  </si>
  <si>
    <t>монтаж козырька п.№1,2,3</t>
  </si>
  <si>
    <t>монтаж козырька
ремонт отопления в п-де
опиловка деревьев</t>
  </si>
  <si>
    <t>окно пвх</t>
  </si>
  <si>
    <t>ремонт вент.труб
монтаж козырька</t>
  </si>
  <si>
    <t>эл.энерг.</t>
  </si>
  <si>
    <t>ремонт балкона кв.6
ремонт крыльца п.№1</t>
  </si>
  <si>
    <t>побелка п.№1,2
окно пвх п.№1</t>
  </si>
  <si>
    <t>ремонт фасада - 40м2</t>
  </si>
  <si>
    <t>освещ.тамб.</t>
  </si>
  <si>
    <t>изол.40м</t>
  </si>
  <si>
    <t>ремонт вент.труб
ремонт цоколя
установка зонтов-8шт.</t>
  </si>
  <si>
    <t>смена вх.двери на металл.</t>
  </si>
  <si>
    <t>т.обм.</t>
  </si>
  <si>
    <t>4,21,25,26</t>
  </si>
  <si>
    <t>ремонт козырьков п.№1,2,3</t>
  </si>
  <si>
    <t>хвс</t>
  </si>
  <si>
    <t>ремонт цоколя-96м2
ремонт входн.группы
закрыть подв.окна решетками
устр-во входа в подв.помещ.
Установка урн-2шт</t>
  </si>
  <si>
    <t>ливн.64м</t>
  </si>
  <si>
    <t>ремонт балконов-6шт</t>
  </si>
  <si>
    <t>60,61,62,56</t>
  </si>
  <si>
    <t>6,7</t>
  </si>
  <si>
    <t>ремонт вент.труб
монтаж козырька
ремонт отопления в п-де</t>
  </si>
  <si>
    <t>ремонт отопленя п.№1</t>
  </si>
  <si>
    <t>ремонт крыльца</t>
  </si>
  <si>
    <t>ремонт вент.трубы
ремонт цоколя-62м2
ремонт балконов</t>
  </si>
  <si>
    <t>свесы шир.2м</t>
  </si>
  <si>
    <t>15 ст.кв.17,21,25,29</t>
  </si>
  <si>
    <t>15 ст.кв.19,23,27,31</t>
  </si>
  <si>
    <t>52,56,60,63</t>
  </si>
  <si>
    <t>ремонт крыльца п.№1,2,3</t>
  </si>
  <si>
    <t>ремонт козырька п.№1
ремонт карниза</t>
  </si>
  <si>
    <t>устр-во ограждения - 40м
завоз чернозема</t>
  </si>
  <si>
    <t>эл.щиты п.№1,2,3,4</t>
  </si>
  <si>
    <t>свет-ки в подвале</t>
  </si>
  <si>
    <t>10
изол.40м</t>
  </si>
  <si>
    <t>ремонт цоколя-62м2
ремонт вх.двери
ремонт стены в тамбуре</t>
  </si>
  <si>
    <t>монтаж козырька 
ремонт пола 1эт.</t>
  </si>
  <si>
    <t>монтаж козырька п.№2</t>
  </si>
  <si>
    <t>ремонт отопления п.№2</t>
  </si>
  <si>
    <t>1,2,3 тамб.</t>
  </si>
  <si>
    <t>ВРУ</t>
  </si>
  <si>
    <t>ремонт цоколя-131м2
ремонт крыльца п.№1,3</t>
  </si>
  <si>
    <t>2 с окном,
1</t>
  </si>
  <si>
    <t>ремонт козырька п.№2
ремонт ступеней п.№2
смена тамб.двери п.№2</t>
  </si>
  <si>
    <t>2,1,3 с окнами</t>
  </si>
  <si>
    <t>смена двери в т.у.</t>
  </si>
  <si>
    <t>10,12,енд.п.№1, конек</t>
  </si>
  <si>
    <t>монтаж козырька п.№1
ремонт отопления п.№1
ремонт цоколя-70м2</t>
  </si>
  <si>
    <t>ремонт фасада-40м2</t>
  </si>
  <si>
    <t>ремонт отопления в п-дах</t>
  </si>
  <si>
    <t>1 (ДРЛ)</t>
  </si>
  <si>
    <t>ремонт кровли над подвалом
ремонт цоколя-96м2</t>
  </si>
  <si>
    <t>ремонт фасада-62м2</t>
  </si>
  <si>
    <t>монтаж козырька</t>
  </si>
  <si>
    <t>ремонт цоколя-62м2
ремонт пола в тамбуре</t>
  </si>
  <si>
    <t>ремонт перекрытия</t>
  </si>
  <si>
    <t>30 (б.к.)</t>
  </si>
  <si>
    <t>эл.щитовая
свет-ки с датч.движ.-11шт</t>
  </si>
  <si>
    <t>смена тамб.двери на металл.
Смена козырька
опиловка деревьев
смена крышек люков м.пр.-9шт
устр-во покрытия из плитки в тамб.и 1эт.-10,1м2
смена двери 3эт.
Очистка подвала</t>
  </si>
  <si>
    <t>эл.энергия</t>
  </si>
  <si>
    <t>ремонт козырька
ремонт ступеней в п-де</t>
  </si>
  <si>
    <t>ремонт ступеней 1эт.
Ремонт пола в тамб.</t>
  </si>
  <si>
    <t>Строителей</t>
  </si>
  <si>
    <t>7 кв.8,11</t>
  </si>
  <si>
    <t>монтаж козырька
смена вх.двери на металл.
ремонт бетон.полов 1эт
ремонт дер.полов</t>
  </si>
  <si>
    <t>ремонт фасада (цоколь)-62м2
ремонт пола
опиловка деревьев
установка скамеек-2шт</t>
  </si>
  <si>
    <t>3,7</t>
  </si>
  <si>
    <t>побелка</t>
  </si>
  <si>
    <t>смена вх.двери</t>
  </si>
  <si>
    <t>ремонт пола и ступеней</t>
  </si>
  <si>
    <t>1,2,3,4 окна и двери пвх
п.№3</t>
  </si>
  <si>
    <t>ремонт цоколя-15м2
смена двери входа в подвал п.№1
ремонт крыши входа в подвал п.№1</t>
  </si>
  <si>
    <t>ремонт пола п.№1,2</t>
  </si>
  <si>
    <t>ремонт цоколя-131м2
опиловка деревьев</t>
  </si>
  <si>
    <t>ремонт цоколя-144м2</t>
  </si>
  <si>
    <t>тамб.</t>
  </si>
  <si>
    <t>1 тамб.и 1эт, окраска пола</t>
  </si>
  <si>
    <t>1с окном пвх</t>
  </si>
  <si>
    <t>ремонт пола в тамб.</t>
  </si>
  <si>
    <t>28 стояки</t>
  </si>
  <si>
    <t>п. №2</t>
  </si>
  <si>
    <t>ремонт цоколя-62м2
окраска пола</t>
  </si>
  <si>
    <t>ремонт цоколя-96м2
рмонтаж козырька п.№1,2</t>
  </si>
  <si>
    <t>монтаж козырька п.№1,2
устр-во перилл на крыльце п.№1
ремонт ступеней п.№1</t>
  </si>
  <si>
    <t>2
№1 тамбур и 1эт</t>
  </si>
  <si>
    <t>ремонт двери в тамб.п.№2</t>
  </si>
  <si>
    <t>п.№1,2эл.щит., свет-ки</t>
  </si>
  <si>
    <t>опиловка деревьев
ремонт цоколя кв.3,13-10м2</t>
  </si>
  <si>
    <t>монтаж козырька п.№1,2
ремонт балкона кв.12</t>
  </si>
  <si>
    <t>ремонт пола
монтаж козырька</t>
  </si>
  <si>
    <t>эл.щиты</t>
  </si>
  <si>
    <t>ремонт фасада-62м2
опиловка деревьев</t>
  </si>
  <si>
    <t xml:space="preserve">*Дальняя </t>
  </si>
  <si>
    <t>*Конный проезд</t>
  </si>
  <si>
    <t xml:space="preserve">*Московское шоссе, 18км </t>
  </si>
  <si>
    <t>*Техническая</t>
  </si>
  <si>
    <t xml:space="preserve">*Техническая </t>
  </si>
  <si>
    <t>*Чекистов</t>
  </si>
  <si>
    <t>7,8,9</t>
  </si>
  <si>
    <t>9,10,11</t>
  </si>
  <si>
    <t>20,21,23</t>
  </si>
  <si>
    <t>ремонт фасада (кв.20,21,23)-30м2</t>
  </si>
  <si>
    <t>ремонт дверей незад.лестницу-18 шт.</t>
  </si>
  <si>
    <t>А.в. Русаков</t>
  </si>
  <si>
    <t>отказ от оформления протокола</t>
  </si>
  <si>
    <t>План по текущему ремонту жилых домов, находящихся в обслуживании МП г.о. Самара "Универсалбыт" на 2021год</t>
  </si>
  <si>
    <t>План по текущему ремонту жилых домов, находящихся в обслуживании МП г.о. Самара "Универсалбыт" на 2021 год</t>
  </si>
  <si>
    <t>Сумма запланированных работ, тыс.руб.</t>
  </si>
  <si>
    <t>Планируемое поступление  средств на текущий ремонт 2021., тыс.руб.</t>
  </si>
  <si>
    <t>Сумма запланированных работ, тыс.руб</t>
  </si>
</sst>
</file>

<file path=xl/styles.xml><?xml version="1.0" encoding="utf-8"?>
<styleSheet xmlns="http://schemas.openxmlformats.org/spreadsheetml/2006/main">
  <numFmts count="5">
    <numFmt numFmtId="164" formatCode="0.000"/>
    <numFmt numFmtId="165" formatCode="0.0000"/>
    <numFmt numFmtId="166" formatCode="0.00000"/>
    <numFmt numFmtId="167" formatCode="#,##0.00000"/>
    <numFmt numFmtId="168" formatCode="#,##0.00000\ _₽"/>
  </numFmts>
  <fonts count="6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indexed="8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sz val="11"/>
      <name val="Calibri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9"/>
      <name val="Arial Cyr"/>
      <charset val="204"/>
    </font>
    <font>
      <sz val="9"/>
      <name val="Arial Cyr"/>
      <charset val="204"/>
    </font>
    <font>
      <sz val="9"/>
      <color indexed="8"/>
      <name val="Arial"/>
      <family val="2"/>
      <charset val="204"/>
    </font>
    <font>
      <b/>
      <sz val="9"/>
      <name val="Arial Cyr"/>
      <family val="2"/>
      <charset val="204"/>
    </font>
    <font>
      <b/>
      <sz val="9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</font>
    <font>
      <sz val="7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0"/>
      <color indexed="8"/>
      <name val="Arial1"/>
      <charset val="204"/>
    </font>
    <font>
      <b/>
      <sz val="11"/>
      <name val="Times New Roman"/>
      <family val="1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7"/>
      <name val="Arial"/>
      <family val="2"/>
      <charset val="204"/>
    </font>
    <font>
      <b/>
      <sz val="7"/>
      <name val="Arial"/>
      <family val="2"/>
      <charset val="204"/>
    </font>
    <font>
      <sz val="7"/>
      <color theme="1"/>
      <name val="Arial"/>
      <family val="2"/>
      <charset val="204"/>
    </font>
    <font>
      <sz val="9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8"/>
      <color theme="1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7"/>
      <name val="Calibri"/>
      <family val="2"/>
      <charset val="204"/>
    </font>
    <font>
      <b/>
      <sz val="7"/>
      <name val="Calibri"/>
      <family val="2"/>
      <charset val="204"/>
    </font>
    <font>
      <b/>
      <sz val="7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7FED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27" fillId="0" borderId="0"/>
    <xf numFmtId="0" fontId="29" fillId="0" borderId="0" applyBorder="0" applyProtection="0"/>
  </cellStyleXfs>
  <cellXfs count="795">
    <xf numFmtId="0" fontId="0" fillId="0" borderId="0" xfId="0"/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/>
    <xf numFmtId="49" fontId="4" fillId="0" borderId="0" xfId="0" applyNumberFormat="1" applyFont="1" applyFill="1" applyBorder="1"/>
    <xf numFmtId="0" fontId="3" fillId="2" borderId="2" xfId="0" applyFont="1" applyFill="1" applyBorder="1"/>
    <xf numFmtId="0" fontId="5" fillId="2" borderId="4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/>
    <xf numFmtId="0" fontId="6" fillId="2" borderId="2" xfId="0" applyFont="1" applyFill="1" applyBorder="1"/>
    <xf numFmtId="0" fontId="4" fillId="2" borderId="8" xfId="0" applyFont="1" applyFill="1" applyBorder="1"/>
    <xf numFmtId="0" fontId="4" fillId="2" borderId="4" xfId="0" applyFont="1" applyFill="1" applyBorder="1"/>
    <xf numFmtId="0" fontId="3" fillId="2" borderId="4" xfId="0" applyFont="1" applyFill="1" applyBorder="1"/>
    <xf numFmtId="0" fontId="3" fillId="2" borderId="3" xfId="0" applyFont="1" applyFill="1" applyBorder="1"/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/>
    <xf numFmtId="0" fontId="4" fillId="5" borderId="0" xfId="0" applyFont="1" applyFill="1" applyBorder="1"/>
    <xf numFmtId="0" fontId="5" fillId="5" borderId="2" xfId="0" applyFont="1" applyFill="1" applyBorder="1" applyAlignment="1">
      <alignment horizontal="center" vertical="center" wrapText="1"/>
    </xf>
    <xf numFmtId="0" fontId="0" fillId="5" borderId="0" xfId="0" applyFill="1"/>
    <xf numFmtId="0" fontId="4" fillId="4" borderId="0" xfId="0" applyFont="1" applyFill="1" applyBorder="1"/>
    <xf numFmtId="0" fontId="0" fillId="4" borderId="0" xfId="0" applyFill="1"/>
    <xf numFmtId="0" fontId="4" fillId="5" borderId="4" xfId="0" applyFont="1" applyFill="1" applyBorder="1"/>
    <xf numFmtId="0" fontId="5" fillId="5" borderId="2" xfId="0" applyFont="1" applyFill="1" applyBorder="1"/>
    <xf numFmtId="0" fontId="4" fillId="4" borderId="4" xfId="0" applyFont="1" applyFill="1" applyBorder="1"/>
    <xf numFmtId="0" fontId="5" fillId="4" borderId="2" xfId="0" applyFont="1" applyFill="1" applyBorder="1"/>
    <xf numFmtId="0" fontId="0" fillId="0" borderId="0" xfId="0" applyFill="1"/>
    <xf numFmtId="0" fontId="7" fillId="0" borderId="2" xfId="0" applyFont="1" applyFill="1" applyBorder="1"/>
    <xf numFmtId="0" fontId="7" fillId="0" borderId="2" xfId="0" applyFont="1" applyFill="1" applyBorder="1" applyAlignment="1">
      <alignment horizontal="center"/>
    </xf>
    <xf numFmtId="0" fontId="7" fillId="0" borderId="2" xfId="0" applyFont="1" applyFill="1" applyBorder="1" applyAlignment="1"/>
    <xf numFmtId="0" fontId="7" fillId="2" borderId="2" xfId="0" applyFont="1" applyFill="1" applyBorder="1" applyAlignment="1">
      <alignment horizontal="center"/>
    </xf>
    <xf numFmtId="0" fontId="7" fillId="6" borderId="2" xfId="0" applyFont="1" applyFill="1" applyBorder="1"/>
    <xf numFmtId="0" fontId="7" fillId="6" borderId="2" xfId="0" applyFont="1" applyFill="1" applyBorder="1" applyAlignment="1">
      <alignment horizontal="center"/>
    </xf>
    <xf numFmtId="0" fontId="7" fillId="6" borderId="2" xfId="0" applyFont="1" applyFill="1" applyBorder="1" applyAlignment="1">
      <alignment wrapText="1"/>
    </xf>
    <xf numFmtId="0" fontId="7" fillId="0" borderId="2" xfId="0" applyFont="1" applyFill="1" applyBorder="1" applyAlignment="1">
      <alignment wrapText="1"/>
    </xf>
    <xf numFmtId="2" fontId="3" fillId="0" borderId="0" xfId="0" applyNumberFormat="1" applyFont="1" applyFill="1" applyBorder="1" applyAlignment="1">
      <alignment horizontal="center"/>
    </xf>
    <xf numFmtId="2" fontId="0" fillId="0" borderId="0" xfId="0" applyNumberFormat="1"/>
    <xf numFmtId="0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Border="1"/>
    <xf numFmtId="2" fontId="0" fillId="0" borderId="2" xfId="0" applyNumberFormat="1" applyBorder="1"/>
    <xf numFmtId="0" fontId="0" fillId="4" borderId="2" xfId="0" applyFill="1" applyBorder="1"/>
    <xf numFmtId="0" fontId="0" fillId="5" borderId="2" xfId="0" applyFill="1" applyBorder="1"/>
    <xf numFmtId="0" fontId="0" fillId="6" borderId="2" xfId="0" applyFill="1" applyBorder="1"/>
    <xf numFmtId="0" fontId="0" fillId="0" borderId="2" xfId="0" applyFill="1" applyBorder="1"/>
    <xf numFmtId="2" fontId="0" fillId="0" borderId="2" xfId="0" applyNumberFormat="1" applyFill="1" applyBorder="1"/>
    <xf numFmtId="2" fontId="0" fillId="3" borderId="2" xfId="0" applyNumberFormat="1" applyFill="1" applyBorder="1"/>
    <xf numFmtId="0" fontId="1" fillId="0" borderId="2" xfId="0" applyFont="1" applyBorder="1"/>
    <xf numFmtId="2" fontId="1" fillId="0" borderId="2" xfId="0" applyNumberFormat="1" applyFont="1" applyBorder="1"/>
    <xf numFmtId="0" fontId="1" fillId="0" borderId="0" xfId="0" applyFont="1"/>
    <xf numFmtId="0" fontId="5" fillId="7" borderId="2" xfId="0" applyFont="1" applyFill="1" applyBorder="1" applyAlignment="1">
      <alignment horizontal="center" vertical="center" wrapText="1"/>
    </xf>
    <xf numFmtId="2" fontId="0" fillId="7" borderId="2" xfId="0" applyNumberFormat="1" applyFill="1" applyBorder="1"/>
    <xf numFmtId="0" fontId="7" fillId="0" borderId="2" xfId="0" applyNumberFormat="1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left" vertical="center" wrapText="1"/>
    </xf>
    <xf numFmtId="2" fontId="8" fillId="0" borderId="2" xfId="0" applyNumberFormat="1" applyFont="1" applyFill="1" applyBorder="1"/>
    <xf numFmtId="2" fontId="0" fillId="6" borderId="2" xfId="0" applyNumberFormat="1" applyFill="1" applyBorder="1"/>
    <xf numFmtId="2" fontId="4" fillId="0" borderId="0" xfId="0" applyNumberFormat="1" applyFont="1" applyFill="1" applyBorder="1"/>
    <xf numFmtId="2" fontId="4" fillId="5" borderId="0" xfId="0" applyNumberFormat="1" applyFont="1" applyFill="1" applyBorder="1"/>
    <xf numFmtId="2" fontId="4" fillId="2" borderId="8" xfId="0" applyNumberFormat="1" applyFont="1" applyFill="1" applyBorder="1"/>
    <xf numFmtId="2" fontId="4" fillId="2" borderId="4" xfId="0" applyNumberFormat="1" applyFont="1" applyFill="1" applyBorder="1"/>
    <xf numFmtId="2" fontId="4" fillId="5" borderId="4" xfId="0" applyNumberFormat="1" applyFont="1" applyFill="1" applyBorder="1"/>
    <xf numFmtId="2" fontId="5" fillId="2" borderId="4" xfId="0" applyNumberFormat="1" applyFont="1" applyFill="1" applyBorder="1" applyAlignment="1">
      <alignment horizontal="center" wrapText="1"/>
    </xf>
    <xf numFmtId="2" fontId="5" fillId="2" borderId="3" xfId="0" applyNumberFormat="1" applyFont="1" applyFill="1" applyBorder="1" applyAlignment="1">
      <alignment horizontal="center" wrapText="1"/>
    </xf>
    <xf numFmtId="2" fontId="0" fillId="4" borderId="2" xfId="0" applyNumberFormat="1" applyFill="1" applyBorder="1"/>
    <xf numFmtId="2" fontId="0" fillId="5" borderId="2" xfId="0" applyNumberFormat="1" applyFill="1" applyBorder="1"/>
    <xf numFmtId="2" fontId="0" fillId="5" borderId="0" xfId="0" applyNumberFormat="1" applyFill="1"/>
    <xf numFmtId="0" fontId="11" fillId="0" borderId="2" xfId="0" applyFont="1" applyFill="1" applyBorder="1" applyAlignment="1">
      <alignment horizontal="left"/>
    </xf>
    <xf numFmtId="2" fontId="0" fillId="0" borderId="2" xfId="0" applyNumberFormat="1" applyBorder="1" applyAlignment="1">
      <alignment wrapText="1"/>
    </xf>
    <xf numFmtId="0" fontId="0" fillId="0" borderId="2" xfId="0" applyBorder="1" applyAlignment="1">
      <alignment wrapText="1"/>
    </xf>
    <xf numFmtId="0" fontId="12" fillId="0" borderId="2" xfId="0" applyFont="1" applyBorder="1" applyAlignment="1">
      <alignment wrapText="1"/>
    </xf>
    <xf numFmtId="0" fontId="12" fillId="0" borderId="2" xfId="0" applyFont="1" applyBorder="1"/>
    <xf numFmtId="0" fontId="5" fillId="2" borderId="2" xfId="0" applyNumberFormat="1" applyFont="1" applyFill="1" applyBorder="1" applyAlignment="1">
      <alignment horizontal="center" vertical="center" wrapText="1"/>
    </xf>
    <xf numFmtId="0" fontId="5" fillId="4" borderId="2" xfId="0" applyNumberFormat="1" applyFont="1" applyFill="1" applyBorder="1" applyAlignment="1">
      <alignment horizontal="center" vertical="center" wrapText="1"/>
    </xf>
    <xf numFmtId="0" fontId="5" fillId="3" borderId="2" xfId="0" applyNumberFormat="1" applyFont="1" applyFill="1" applyBorder="1" applyAlignment="1">
      <alignment horizontal="center" vertical="center" wrapText="1"/>
    </xf>
    <xf numFmtId="0" fontId="5" fillId="5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/>
    <xf numFmtId="0" fontId="5" fillId="5" borderId="2" xfId="0" applyNumberFormat="1" applyFont="1" applyFill="1" applyBorder="1"/>
    <xf numFmtId="0" fontId="6" fillId="2" borderId="2" xfId="0" applyNumberFormat="1" applyFont="1" applyFill="1" applyBorder="1"/>
    <xf numFmtId="0" fontId="1" fillId="0" borderId="0" xfId="0" applyFont="1" applyAlignment="1">
      <alignment horizontal="center"/>
    </xf>
    <xf numFmtId="2" fontId="5" fillId="5" borderId="2" xfId="0" applyNumberFormat="1" applyFont="1" applyFill="1" applyBorder="1" applyAlignment="1">
      <alignment horizontal="center" vertical="center" wrapText="1"/>
    </xf>
    <xf numFmtId="2" fontId="12" fillId="0" borderId="2" xfId="0" applyNumberFormat="1" applyFont="1" applyBorder="1" applyAlignment="1">
      <alignment wrapText="1"/>
    </xf>
    <xf numFmtId="2" fontId="12" fillId="0" borderId="2" xfId="0" applyNumberFormat="1" applyFont="1" applyBorder="1"/>
    <xf numFmtId="0" fontId="12" fillId="6" borderId="2" xfId="0" applyFont="1" applyFill="1" applyBorder="1"/>
    <xf numFmtId="0" fontId="12" fillId="6" borderId="2" xfId="0" applyFont="1" applyFill="1" applyBorder="1" applyAlignment="1">
      <alignment wrapText="1"/>
    </xf>
    <xf numFmtId="2" fontId="14" fillId="0" borderId="2" xfId="0" applyNumberFormat="1" applyFont="1" applyBorder="1" applyAlignment="1">
      <alignment wrapText="1"/>
    </xf>
    <xf numFmtId="0" fontId="0" fillId="8" borderId="2" xfId="0" applyFill="1" applyBorder="1"/>
    <xf numFmtId="0" fontId="7" fillId="8" borderId="2" xfId="0" applyNumberFormat="1" applyFont="1" applyFill="1" applyBorder="1" applyAlignment="1">
      <alignment horizontal="left" vertical="center" wrapText="1"/>
    </xf>
    <xf numFmtId="0" fontId="7" fillId="8" borderId="2" xfId="0" applyNumberFormat="1" applyFont="1" applyFill="1" applyBorder="1" applyAlignment="1">
      <alignment horizontal="center" vertical="center" wrapText="1"/>
    </xf>
    <xf numFmtId="2" fontId="0" fillId="8" borderId="2" xfId="0" applyNumberFormat="1" applyFill="1" applyBorder="1"/>
    <xf numFmtId="2" fontId="8" fillId="8" borderId="2" xfId="0" applyNumberFormat="1" applyFont="1" applyFill="1" applyBorder="1"/>
    <xf numFmtId="2" fontId="12" fillId="8" borderId="2" xfId="0" applyNumberFormat="1" applyFont="1" applyFill="1" applyBorder="1"/>
    <xf numFmtId="0" fontId="8" fillId="8" borderId="2" xfId="0" applyNumberFormat="1" applyFont="1" applyFill="1" applyBorder="1" applyAlignment="1">
      <alignment horizontal="center" vertical="center" wrapText="1"/>
    </xf>
    <xf numFmtId="2" fontId="12" fillId="8" borderId="2" xfId="0" applyNumberFormat="1" applyFont="1" applyFill="1" applyBorder="1" applyAlignment="1">
      <alignment wrapText="1"/>
    </xf>
    <xf numFmtId="2" fontId="15" fillId="0" borderId="2" xfId="0" applyNumberFormat="1" applyFont="1" applyBorder="1"/>
    <xf numFmtId="0" fontId="15" fillId="0" borderId="2" xfId="0" applyFont="1" applyBorder="1"/>
    <xf numFmtId="0" fontId="0" fillId="9" borderId="2" xfId="0" applyFill="1" applyBorder="1"/>
    <xf numFmtId="0" fontId="5" fillId="2" borderId="5" xfId="0" applyFont="1" applyFill="1" applyBorder="1" applyAlignment="1"/>
    <xf numFmtId="0" fontId="5" fillId="2" borderId="6" xfId="0" applyFont="1" applyFill="1" applyBorder="1" applyAlignment="1"/>
    <xf numFmtId="0" fontId="5" fillId="2" borderId="1" xfId="0" applyFont="1" applyFill="1" applyBorder="1" applyAlignment="1"/>
    <xf numFmtId="2" fontId="5" fillId="2" borderId="5" xfId="0" applyNumberFormat="1" applyFont="1" applyFill="1" applyBorder="1" applyAlignment="1"/>
    <xf numFmtId="2" fontId="5" fillId="2" borderId="6" xfId="0" applyNumberFormat="1" applyFont="1" applyFill="1" applyBorder="1" applyAlignment="1"/>
    <xf numFmtId="2" fontId="5" fillId="2" borderId="1" xfId="0" applyNumberFormat="1" applyFont="1" applyFill="1" applyBorder="1" applyAlignment="1"/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Fill="1"/>
    <xf numFmtId="0" fontId="2" fillId="0" borderId="0" xfId="0" applyFont="1" applyFill="1"/>
    <xf numFmtId="2" fontId="22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2" fontId="20" fillId="0" borderId="2" xfId="0" applyNumberFormat="1" applyFont="1" applyFill="1" applyBorder="1" applyAlignment="1">
      <alignment horizontal="center" vertical="center"/>
    </xf>
    <xf numFmtId="164" fontId="20" fillId="0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 wrapText="1"/>
    </xf>
    <xf numFmtId="2" fontId="23" fillId="0" borderId="2" xfId="0" applyNumberFormat="1" applyFont="1" applyFill="1" applyBorder="1" applyAlignment="1">
      <alignment horizontal="center" vertical="center"/>
    </xf>
    <xf numFmtId="164" fontId="23" fillId="0" borderId="2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/>
    </xf>
    <xf numFmtId="4" fontId="23" fillId="0" borderId="2" xfId="0" applyNumberFormat="1" applyFont="1" applyFill="1" applyBorder="1" applyAlignment="1">
      <alignment horizontal="center"/>
    </xf>
    <xf numFmtId="0" fontId="25" fillId="0" borderId="2" xfId="0" applyFont="1" applyFill="1" applyBorder="1" applyAlignment="1">
      <alignment horizontal="left" vertical="center" wrapText="1"/>
    </xf>
    <xf numFmtId="0" fontId="25" fillId="0" borderId="2" xfId="0" applyFont="1" applyFill="1" applyBorder="1" applyAlignment="1">
      <alignment horizontal="left" wrapText="1"/>
    </xf>
    <xf numFmtId="0" fontId="21" fillId="0" borderId="2" xfId="0" applyFont="1" applyFill="1" applyBorder="1" applyAlignment="1">
      <alignment horizontal="center" vertical="center" wrapText="1"/>
    </xf>
    <xf numFmtId="0" fontId="27" fillId="0" borderId="0" xfId="0" applyFont="1" applyFill="1"/>
    <xf numFmtId="0" fontId="20" fillId="0" borderId="0" xfId="0" applyFont="1" applyFill="1" applyAlignment="1">
      <alignment horizontal="right"/>
    </xf>
    <xf numFmtId="0" fontId="18" fillId="0" borderId="0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1" fillId="0" borderId="2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left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/>
    <xf numFmtId="4" fontId="5" fillId="5" borderId="4" xfId="0" applyNumberFormat="1" applyFont="1" applyFill="1" applyBorder="1" applyAlignment="1">
      <alignment vertical="center" wrapText="1"/>
    </xf>
    <xf numFmtId="4" fontId="5" fillId="5" borderId="7" xfId="0" applyNumberFormat="1" applyFont="1" applyFill="1" applyBorder="1" applyAlignment="1">
      <alignment vertical="center" wrapText="1"/>
    </xf>
    <xf numFmtId="4" fontId="5" fillId="5" borderId="3" xfId="0" applyNumberFormat="1" applyFont="1" applyFill="1" applyBorder="1" applyAlignment="1">
      <alignment vertical="center" wrapText="1"/>
    </xf>
    <xf numFmtId="4" fontId="5" fillId="3" borderId="4" xfId="0" applyNumberFormat="1" applyFont="1" applyFill="1" applyBorder="1" applyAlignment="1">
      <alignment vertical="center" wrapText="1"/>
    </xf>
    <xf numFmtId="4" fontId="5" fillId="3" borderId="7" xfId="0" applyNumberFormat="1" applyFont="1" applyFill="1" applyBorder="1" applyAlignment="1">
      <alignment vertical="center" wrapText="1"/>
    </xf>
    <xf numFmtId="4" fontId="5" fillId="3" borderId="3" xfId="0" applyNumberFormat="1" applyFont="1" applyFill="1" applyBorder="1" applyAlignment="1">
      <alignment vertical="center" wrapText="1"/>
    </xf>
    <xf numFmtId="4" fontId="5" fillId="4" borderId="4" xfId="0" applyNumberFormat="1" applyFont="1" applyFill="1" applyBorder="1" applyAlignment="1">
      <alignment vertical="center" wrapText="1"/>
    </xf>
    <xf numFmtId="4" fontId="5" fillId="4" borderId="7" xfId="0" applyNumberFormat="1" applyFont="1" applyFill="1" applyBorder="1" applyAlignment="1">
      <alignment vertical="center" wrapText="1"/>
    </xf>
    <xf numFmtId="4" fontId="5" fillId="4" borderId="3" xfId="0" applyNumberFormat="1" applyFont="1" applyFill="1" applyBorder="1" applyAlignment="1">
      <alignment vertical="center" wrapText="1"/>
    </xf>
    <xf numFmtId="4" fontId="5" fillId="7" borderId="4" xfId="0" applyNumberFormat="1" applyFont="1" applyFill="1" applyBorder="1" applyAlignment="1">
      <alignment vertical="center" wrapText="1"/>
    </xf>
    <xf numFmtId="4" fontId="5" fillId="7" borderId="7" xfId="0" applyNumberFormat="1" applyFont="1" applyFill="1" applyBorder="1" applyAlignment="1">
      <alignment vertical="center" wrapText="1"/>
    </xf>
    <xf numFmtId="4" fontId="5" fillId="7" borderId="3" xfId="0" applyNumberFormat="1" applyFont="1" applyFill="1" applyBorder="1" applyAlignment="1">
      <alignment vertical="center" wrapText="1"/>
    </xf>
    <xf numFmtId="0" fontId="5" fillId="2" borderId="4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vertical="center" wrapText="1"/>
    </xf>
    <xf numFmtId="0" fontId="0" fillId="0" borderId="7" xfId="0" applyFill="1" applyBorder="1"/>
    <xf numFmtId="0" fontId="10" fillId="0" borderId="0" xfId="0" applyFont="1" applyFill="1" applyBorder="1" applyAlignment="1">
      <alignment horizontal="left"/>
    </xf>
    <xf numFmtId="0" fontId="0" fillId="0" borderId="0" xfId="0" applyBorder="1"/>
    <xf numFmtId="0" fontId="0" fillId="0" borderId="7" xfId="0" applyBorder="1"/>
    <xf numFmtId="2" fontId="0" fillId="0" borderId="0" xfId="0" applyNumberFormat="1" applyBorder="1"/>
    <xf numFmtId="0" fontId="26" fillId="0" borderId="0" xfId="0" applyFont="1" applyFill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 wrapText="1"/>
    </xf>
    <xf numFmtId="2" fontId="0" fillId="0" borderId="0" xfId="0" applyNumberFormat="1" applyFill="1"/>
    <xf numFmtId="2" fontId="13" fillId="0" borderId="2" xfId="0" applyNumberFormat="1" applyFont="1" applyFill="1" applyBorder="1"/>
    <xf numFmtId="0" fontId="26" fillId="0" borderId="0" xfId="0" applyFont="1" applyFill="1" applyAlignment="1">
      <alignment horizontal="center"/>
    </xf>
    <xf numFmtId="0" fontId="1" fillId="0" borderId="0" xfId="0" applyFont="1" applyFill="1"/>
    <xf numFmtId="4" fontId="23" fillId="0" borderId="3" xfId="0" applyNumberFormat="1" applyFont="1" applyFill="1" applyBorder="1" applyAlignment="1">
      <alignment horizontal="center"/>
    </xf>
    <xf numFmtId="4" fontId="20" fillId="0" borderId="2" xfId="0" applyNumberFormat="1" applyFont="1" applyFill="1" applyBorder="1" applyAlignment="1">
      <alignment horizontal="center"/>
    </xf>
    <xf numFmtId="2" fontId="0" fillId="0" borderId="2" xfId="0" applyNumberFormat="1" applyFill="1" applyBorder="1" applyAlignment="1">
      <alignment wrapText="1"/>
    </xf>
    <xf numFmtId="0" fontId="25" fillId="0" borderId="2" xfId="0" applyFont="1" applyFill="1" applyBorder="1" applyAlignment="1">
      <alignment horizontal="left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/>
    </xf>
    <xf numFmtId="0" fontId="21" fillId="0" borderId="2" xfId="0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left" vertical="center" wrapText="1"/>
    </xf>
    <xf numFmtId="2" fontId="0" fillId="5" borderId="0" xfId="0" applyNumberFormat="1" applyFill="1" applyBorder="1"/>
    <xf numFmtId="2" fontId="0" fillId="0" borderId="0" xfId="0" applyNumberFormat="1" applyFill="1" applyBorder="1"/>
    <xf numFmtId="0" fontId="7" fillId="0" borderId="2" xfId="1" applyNumberFormat="1" applyFont="1" applyFill="1" applyBorder="1" applyAlignment="1">
      <alignment horizontal="center"/>
    </xf>
    <xf numFmtId="0" fontId="7" fillId="0" borderId="2" xfId="2" applyNumberFormat="1" applyFont="1" applyFill="1" applyBorder="1" applyAlignment="1">
      <alignment horizontal="center" vertical="center"/>
    </xf>
    <xf numFmtId="0" fontId="10" fillId="0" borderId="2" xfId="1" applyNumberFormat="1" applyFont="1" applyFill="1" applyBorder="1" applyAlignment="1">
      <alignment horizontal="center"/>
    </xf>
    <xf numFmtId="0" fontId="10" fillId="0" borderId="2" xfId="1" applyNumberFormat="1" applyFont="1" applyFill="1" applyBorder="1" applyAlignment="1">
      <alignment horizontal="center" vertical="center"/>
    </xf>
    <xf numFmtId="0" fontId="1" fillId="0" borderId="2" xfId="0" applyFont="1" applyFill="1" applyBorder="1"/>
    <xf numFmtId="2" fontId="0" fillId="0" borderId="2" xfId="0" applyNumberFormat="1" applyFont="1" applyFill="1" applyBorder="1"/>
    <xf numFmtId="2" fontId="1" fillId="0" borderId="2" xfId="0" applyNumberFormat="1" applyFont="1" applyFill="1" applyBorder="1"/>
    <xf numFmtId="0" fontId="3" fillId="2" borderId="10" xfId="0" applyFont="1" applyFill="1" applyBorder="1"/>
    <xf numFmtId="0" fontId="3" fillId="2" borderId="1" xfId="0" applyFont="1" applyFill="1" applyBorder="1"/>
    <xf numFmtId="0" fontId="6" fillId="2" borderId="1" xfId="0" applyFont="1" applyFill="1" applyBorder="1"/>
    <xf numFmtId="0" fontId="4" fillId="2" borderId="2" xfId="0" applyFont="1" applyFill="1" applyBorder="1" applyAlignment="1"/>
    <xf numFmtId="0" fontId="5" fillId="2" borderId="2" xfId="0" applyFont="1" applyFill="1" applyBorder="1" applyAlignment="1">
      <alignment horizontal="center" wrapText="1"/>
    </xf>
    <xf numFmtId="0" fontId="0" fillId="0" borderId="2" xfId="0" applyFill="1" applyBorder="1" applyAlignment="1"/>
    <xf numFmtId="0" fontId="8" fillId="0" borderId="2" xfId="0" applyFont="1" applyFill="1" applyBorder="1" applyAlignment="1">
      <alignment horizontal="center"/>
    </xf>
    <xf numFmtId="4" fontId="3" fillId="0" borderId="0" xfId="0" applyNumberFormat="1" applyFont="1" applyFill="1" applyBorder="1"/>
    <xf numFmtId="2" fontId="12" fillId="0" borderId="2" xfId="0" applyNumberFormat="1" applyFont="1" applyFill="1" applyBorder="1" applyAlignment="1">
      <alignment wrapText="1"/>
    </xf>
    <xf numFmtId="2" fontId="12" fillId="0" borderId="2" xfId="0" applyNumberFormat="1" applyFont="1" applyFill="1" applyBorder="1"/>
    <xf numFmtId="0" fontId="30" fillId="0" borderId="2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center"/>
    </xf>
    <xf numFmtId="0" fontId="4" fillId="0" borderId="4" xfId="0" applyFont="1" applyFill="1" applyBorder="1"/>
    <xf numFmtId="2" fontId="31" fillId="0" borderId="0" xfId="0" applyNumberFormat="1" applyFont="1" applyFill="1" applyBorder="1"/>
    <xf numFmtId="49" fontId="0" fillId="0" borderId="2" xfId="0" applyNumberFormat="1" applyFill="1" applyBorder="1"/>
    <xf numFmtId="49" fontId="5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/>
    <xf numFmtId="49" fontId="0" fillId="0" borderId="0" xfId="0" applyNumberFormat="1" applyFill="1"/>
    <xf numFmtId="49" fontId="0" fillId="0" borderId="0" xfId="0" applyNumberFormat="1" applyFill="1" applyBorder="1"/>
    <xf numFmtId="49" fontId="3" fillId="0" borderId="0" xfId="0" applyNumberFormat="1" applyFont="1" applyFill="1" applyBorder="1"/>
    <xf numFmtId="49" fontId="5" fillId="0" borderId="2" xfId="0" applyNumberFormat="1" applyFont="1" applyFill="1" applyBorder="1" applyAlignment="1"/>
    <xf numFmtId="49" fontId="0" fillId="0" borderId="2" xfId="0" applyNumberFormat="1" applyBorder="1"/>
    <xf numFmtId="49" fontId="1" fillId="0" borderId="2" xfId="0" applyNumberFormat="1" applyFont="1" applyBorder="1"/>
    <xf numFmtId="49" fontId="0" fillId="0" borderId="0" xfId="0" applyNumberFormat="1"/>
    <xf numFmtId="49" fontId="0" fillId="0" borderId="2" xfId="0" applyNumberFormat="1" applyBorder="1" applyAlignment="1">
      <alignment wrapText="1"/>
    </xf>
    <xf numFmtId="0" fontId="36" fillId="0" borderId="0" xfId="0" applyFont="1" applyFill="1" applyBorder="1" applyAlignment="1">
      <alignment wrapText="1"/>
    </xf>
    <xf numFmtId="2" fontId="35" fillId="0" borderId="2" xfId="0" applyNumberFormat="1" applyFont="1" applyFill="1" applyBorder="1" applyAlignment="1">
      <alignment wrapText="1"/>
    </xf>
    <xf numFmtId="2" fontId="23" fillId="0" borderId="2" xfId="0" applyNumberFormat="1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 vertical="center" wrapText="1"/>
    </xf>
    <xf numFmtId="2" fontId="4" fillId="2" borderId="6" xfId="0" applyNumberFormat="1" applyFont="1" applyFill="1" applyBorder="1" applyAlignment="1"/>
    <xf numFmtId="0" fontId="5" fillId="0" borderId="5" xfId="0" applyFont="1" applyFill="1" applyBorder="1" applyAlignment="1"/>
    <xf numFmtId="0" fontId="4" fillId="2" borderId="6" xfId="0" applyFont="1" applyFill="1" applyBorder="1" applyAlignment="1"/>
    <xf numFmtId="0" fontId="22" fillId="0" borderId="5" xfId="0" applyFont="1" applyFill="1" applyBorder="1" applyAlignment="1">
      <alignment vertical="center" wrapText="1"/>
    </xf>
    <xf numFmtId="0" fontId="22" fillId="0" borderId="6" xfId="0" applyFont="1" applyFill="1" applyBorder="1" applyAlignment="1">
      <alignment vertical="center" wrapText="1"/>
    </xf>
    <xf numFmtId="4" fontId="23" fillId="0" borderId="3" xfId="0" applyNumberFormat="1" applyFont="1" applyFill="1" applyBorder="1" applyAlignment="1">
      <alignment horizontal="center"/>
    </xf>
    <xf numFmtId="0" fontId="0" fillId="0" borderId="0" xfId="0" applyFill="1" applyAlignment="1">
      <alignment wrapText="1"/>
    </xf>
    <xf numFmtId="49" fontId="0" fillId="0" borderId="2" xfId="0" applyNumberFormat="1" applyFill="1" applyBorder="1" applyAlignment="1">
      <alignment wrapText="1"/>
    </xf>
    <xf numFmtId="2" fontId="3" fillId="0" borderId="0" xfId="0" applyNumberFormat="1" applyFont="1" applyFill="1" applyBorder="1" applyAlignment="1">
      <alignment vertical="center"/>
    </xf>
    <xf numFmtId="0" fontId="41" fillId="0" borderId="0" xfId="0" applyFont="1" applyFill="1" applyBorder="1"/>
    <xf numFmtId="2" fontId="43" fillId="0" borderId="2" xfId="0" applyNumberFormat="1" applyFont="1" applyFill="1" applyBorder="1" applyAlignment="1">
      <alignment wrapText="1"/>
    </xf>
    <xf numFmtId="49" fontId="0" fillId="0" borderId="0" xfId="0" applyNumberFormat="1" applyBorder="1"/>
    <xf numFmtId="0" fontId="3" fillId="10" borderId="0" xfId="0" applyFont="1" applyFill="1" applyBorder="1" applyAlignment="1">
      <alignment horizontal="center"/>
    </xf>
    <xf numFmtId="4" fontId="23" fillId="0" borderId="3" xfId="0" applyNumberFormat="1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66" fontId="5" fillId="0" borderId="2" xfId="0" applyNumberFormat="1" applyFont="1" applyFill="1" applyBorder="1" applyAlignment="1">
      <alignment horizontal="center" vertical="center" wrapText="1"/>
    </xf>
    <xf numFmtId="0" fontId="4" fillId="0" borderId="9" xfId="0" applyFont="1" applyFill="1" applyBorder="1"/>
    <xf numFmtId="49" fontId="4" fillId="0" borderId="9" xfId="0" applyNumberFormat="1" applyFont="1" applyFill="1" applyBorder="1"/>
    <xf numFmtId="49" fontId="0" fillId="0" borderId="9" xfId="0" applyNumberFormat="1" applyFill="1" applyBorder="1"/>
    <xf numFmtId="0" fontId="3" fillId="0" borderId="0" xfId="0" applyFont="1" applyFill="1" applyBorder="1"/>
    <xf numFmtId="0" fontId="0" fillId="0" borderId="0" xfId="0" applyFill="1" applyAlignment="1"/>
    <xf numFmtId="0" fontId="0" fillId="0" borderId="0" xfId="0" applyFill="1" applyAlignment="1">
      <alignment horizontal="left"/>
    </xf>
    <xf numFmtId="49" fontId="3" fillId="0" borderId="4" xfId="0" applyNumberFormat="1" applyFont="1" applyFill="1" applyBorder="1"/>
    <xf numFmtId="49" fontId="0" fillId="0" borderId="2" xfId="0" applyNumberFormat="1" applyFont="1" applyFill="1" applyBorder="1"/>
    <xf numFmtId="49" fontId="0" fillId="0" borderId="0" xfId="0" applyNumberFormat="1" applyFont="1" applyFill="1"/>
    <xf numFmtId="49" fontId="5" fillId="0" borderId="5" xfId="0" applyNumberFormat="1" applyFont="1" applyFill="1" applyBorder="1" applyAlignment="1"/>
    <xf numFmtId="49" fontId="15" fillId="0" borderId="2" xfId="0" applyNumberFormat="1" applyFont="1" applyFill="1" applyBorder="1"/>
    <xf numFmtId="0" fontId="18" fillId="0" borderId="0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/>
    </xf>
    <xf numFmtId="0" fontId="18" fillId="0" borderId="9" xfId="0" applyFont="1" applyFill="1" applyBorder="1" applyAlignment="1">
      <alignment vertical="center" wrapText="1"/>
    </xf>
    <xf numFmtId="4" fontId="1" fillId="0" borderId="2" xfId="0" applyNumberFormat="1" applyFont="1" applyBorder="1"/>
    <xf numFmtId="166" fontId="3" fillId="0" borderId="0" xfId="0" applyNumberFormat="1" applyFont="1" applyFill="1" applyBorder="1" applyAlignment="1">
      <alignment vertical="center"/>
    </xf>
    <xf numFmtId="166" fontId="7" fillId="0" borderId="2" xfId="1" applyNumberFormat="1" applyFont="1" applyFill="1" applyBorder="1" applyAlignment="1">
      <alignment vertical="center"/>
    </xf>
    <xf numFmtId="2" fontId="5" fillId="0" borderId="6" xfId="0" applyNumberFormat="1" applyFont="1" applyFill="1" applyBorder="1" applyAlignment="1"/>
    <xf numFmtId="49" fontId="13" fillId="0" borderId="2" xfId="0" applyNumberFormat="1" applyFont="1" applyFill="1" applyBorder="1"/>
    <xf numFmtId="2" fontId="15" fillId="0" borderId="2" xfId="0" applyNumberFormat="1" applyFont="1" applyFill="1" applyBorder="1"/>
    <xf numFmtId="49" fontId="28" fillId="0" borderId="0" xfId="0" applyNumberFormat="1" applyFont="1" applyFill="1" applyBorder="1" applyAlignment="1">
      <alignment wrapText="1"/>
    </xf>
    <xf numFmtId="166" fontId="8" fillId="0" borderId="0" xfId="0" applyNumberFormat="1" applyFont="1" applyFill="1" applyBorder="1"/>
    <xf numFmtId="4" fontId="9" fillId="0" borderId="2" xfId="1" applyNumberFormat="1" applyFont="1" applyFill="1" applyBorder="1" applyAlignment="1">
      <alignment horizontal="center" wrapText="1"/>
    </xf>
    <xf numFmtId="4" fontId="1" fillId="0" borderId="2" xfId="0" applyNumberFormat="1" applyFont="1" applyFill="1" applyBorder="1"/>
    <xf numFmtId="4" fontId="0" fillId="0" borderId="0" xfId="0" applyNumberFormat="1"/>
    <xf numFmtId="4" fontId="4" fillId="5" borderId="0" xfId="0" applyNumberFormat="1" applyFont="1" applyFill="1" applyBorder="1"/>
    <xf numFmtId="4" fontId="0" fillId="5" borderId="2" xfId="0" applyNumberFormat="1" applyFill="1" applyBorder="1"/>
    <xf numFmtId="4" fontId="0" fillId="0" borderId="2" xfId="0" applyNumberFormat="1" applyFill="1" applyBorder="1"/>
    <xf numFmtId="4" fontId="0" fillId="5" borderId="0" xfId="0" applyNumberFormat="1" applyFill="1"/>
    <xf numFmtId="4" fontId="19" fillId="0" borderId="0" xfId="0" applyNumberFormat="1" applyFont="1" applyFill="1" applyBorder="1" applyAlignment="1">
      <alignment horizontal="center" vertical="center" wrapText="1"/>
    </xf>
    <xf numFmtId="4" fontId="19" fillId="0" borderId="2" xfId="0" applyNumberFormat="1" applyFont="1" applyFill="1" applyBorder="1" applyAlignment="1">
      <alignment horizontal="center" vertical="center" wrapText="1"/>
    </xf>
    <xf numFmtId="4" fontId="18" fillId="0" borderId="2" xfId="0" applyNumberFormat="1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/>
    </xf>
    <xf numFmtId="4" fontId="21" fillId="0" borderId="4" xfId="0" applyNumberFormat="1" applyFont="1" applyFill="1" applyBorder="1" applyAlignment="1">
      <alignment horizontal="center" vertical="center" wrapText="1"/>
    </xf>
    <xf numFmtId="4" fontId="21" fillId="0" borderId="3" xfId="0" applyNumberFormat="1" applyFont="1" applyFill="1" applyBorder="1" applyAlignment="1">
      <alignment horizontal="center" vertical="center" wrapText="1"/>
    </xf>
    <xf numFmtId="4" fontId="21" fillId="0" borderId="2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/>
    <xf numFmtId="4" fontId="0" fillId="5" borderId="0" xfId="0" applyNumberFormat="1" applyFill="1" applyBorder="1"/>
    <xf numFmtId="0" fontId="4" fillId="11" borderId="0" xfId="0" applyFont="1" applyFill="1" applyBorder="1"/>
    <xf numFmtId="0" fontId="0" fillId="11" borderId="0" xfId="0" applyFill="1"/>
    <xf numFmtId="4" fontId="4" fillId="12" borderId="0" xfId="0" applyNumberFormat="1" applyFont="1" applyFill="1" applyBorder="1"/>
    <xf numFmtId="4" fontId="0" fillId="12" borderId="0" xfId="0" applyNumberFormat="1" applyFill="1"/>
    <xf numFmtId="4" fontId="4" fillId="11" borderId="0" xfId="0" applyNumberFormat="1" applyFont="1" applyFill="1" applyBorder="1"/>
    <xf numFmtId="4" fontId="0" fillId="11" borderId="0" xfId="0" applyNumberFormat="1" applyFill="1"/>
    <xf numFmtId="0" fontId="4" fillId="11" borderId="4" xfId="0" applyFont="1" applyFill="1" applyBorder="1"/>
    <xf numFmtId="4" fontId="4" fillId="4" borderId="0" xfId="0" applyNumberFormat="1" applyFont="1" applyFill="1" applyBorder="1"/>
    <xf numFmtId="4" fontId="0" fillId="4" borderId="2" xfId="0" applyNumberFormat="1" applyFill="1" applyBorder="1"/>
    <xf numFmtId="4" fontId="0" fillId="4" borderId="0" xfId="0" applyNumberFormat="1" applyFill="1"/>
    <xf numFmtId="4" fontId="4" fillId="4" borderId="4" xfId="0" applyNumberFormat="1" applyFont="1" applyFill="1" applyBorder="1"/>
    <xf numFmtId="4" fontId="4" fillId="2" borderId="1" xfId="0" applyNumberFormat="1" applyFont="1" applyFill="1" applyBorder="1" applyAlignment="1"/>
    <xf numFmtId="4" fontId="5" fillId="4" borderId="2" xfId="0" applyNumberFormat="1" applyFont="1" applyFill="1" applyBorder="1"/>
    <xf numFmtId="4" fontId="21" fillId="0" borderId="4" xfId="0" applyNumberFormat="1" applyFont="1" applyFill="1" applyBorder="1" applyAlignment="1">
      <alignment horizontal="center" vertical="center" wrapText="1"/>
    </xf>
    <xf numFmtId="4" fontId="21" fillId="0" borderId="3" xfId="0" applyNumberFormat="1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4" fontId="23" fillId="0" borderId="3" xfId="0" applyNumberFormat="1" applyFont="1" applyFill="1" applyBorder="1" applyAlignment="1">
      <alignment horizontal="center"/>
    </xf>
    <xf numFmtId="0" fontId="25" fillId="0" borderId="4" xfId="0" applyFont="1" applyFill="1" applyBorder="1" applyAlignment="1">
      <alignment vertical="center" wrapText="1"/>
    </xf>
    <xf numFmtId="2" fontId="33" fillId="0" borderId="2" xfId="0" applyNumberFormat="1" applyFont="1" applyFill="1" applyBorder="1" applyAlignment="1">
      <alignment wrapText="1"/>
    </xf>
    <xf numFmtId="49" fontId="5" fillId="0" borderId="6" xfId="0" applyNumberFormat="1" applyFont="1" applyFill="1" applyBorder="1" applyAlignment="1"/>
    <xf numFmtId="49" fontId="3" fillId="11" borderId="0" xfId="0" applyNumberFormat="1" applyFont="1" applyFill="1" applyBorder="1"/>
    <xf numFmtId="49" fontId="4" fillId="11" borderId="9" xfId="0" applyNumberFormat="1" applyFont="1" applyFill="1" applyBorder="1"/>
    <xf numFmtId="0" fontId="0" fillId="11" borderId="9" xfId="0" applyFill="1" applyBorder="1"/>
    <xf numFmtId="49" fontId="5" fillId="11" borderId="2" xfId="0" applyNumberFormat="1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2" fontId="0" fillId="11" borderId="2" xfId="0" applyNumberFormat="1" applyFill="1" applyBorder="1"/>
    <xf numFmtId="49" fontId="0" fillId="11" borderId="2" xfId="0" applyNumberFormat="1" applyFill="1" applyBorder="1"/>
    <xf numFmtId="2" fontId="0" fillId="11" borderId="2" xfId="0" applyNumberFormat="1" applyFill="1" applyBorder="1" applyAlignment="1">
      <alignment wrapText="1"/>
    </xf>
    <xf numFmtId="49" fontId="0" fillId="11" borderId="2" xfId="0" applyNumberFormat="1" applyFill="1" applyBorder="1" applyAlignment="1">
      <alignment wrapText="1"/>
    </xf>
    <xf numFmtId="49" fontId="1" fillId="11" borderId="2" xfId="0" applyNumberFormat="1" applyFont="1" applyFill="1" applyBorder="1"/>
    <xf numFmtId="4" fontId="1" fillId="11" borderId="2" xfId="0" applyNumberFormat="1" applyFont="1" applyFill="1" applyBorder="1"/>
    <xf numFmtId="49" fontId="0" fillId="11" borderId="0" xfId="0" applyNumberFormat="1" applyFill="1"/>
    <xf numFmtId="2" fontId="1" fillId="11" borderId="2" xfId="0" applyNumberFormat="1" applyFont="1" applyFill="1" applyBorder="1"/>
    <xf numFmtId="0" fontId="4" fillId="11" borderId="6" xfId="0" applyFont="1" applyFill="1" applyBorder="1" applyAlignment="1"/>
    <xf numFmtId="0" fontId="4" fillId="11" borderId="1" xfId="0" applyFont="1" applyFill="1" applyBorder="1" applyAlignment="1"/>
    <xf numFmtId="0" fontId="5" fillId="11" borderId="2" xfId="0" applyFont="1" applyFill="1" applyBorder="1"/>
    <xf numFmtId="0" fontId="21" fillId="0" borderId="2" xfId="0" applyFont="1" applyFill="1" applyBorder="1" applyAlignment="1">
      <alignment horizontal="center" vertical="center" wrapText="1"/>
    </xf>
    <xf numFmtId="4" fontId="21" fillId="0" borderId="4" xfId="0" applyNumberFormat="1" applyFont="1" applyFill="1" applyBorder="1" applyAlignment="1">
      <alignment horizontal="center" vertical="center" wrapText="1"/>
    </xf>
    <xf numFmtId="4" fontId="21" fillId="0" borderId="3" xfId="0" applyNumberFormat="1" applyFont="1" applyFill="1" applyBorder="1" applyAlignment="1">
      <alignment horizontal="center" vertical="center" wrapText="1"/>
    </xf>
    <xf numFmtId="0" fontId="4" fillId="13" borderId="0" xfId="0" applyFont="1" applyFill="1" applyBorder="1"/>
    <xf numFmtId="2" fontId="0" fillId="13" borderId="2" xfId="0" applyNumberFormat="1" applyFill="1" applyBorder="1"/>
    <xf numFmtId="4" fontId="1" fillId="13" borderId="2" xfId="0" applyNumberFormat="1" applyFont="1" applyFill="1" applyBorder="1"/>
    <xf numFmtId="0" fontId="0" fillId="13" borderId="0" xfId="0" applyFill="1"/>
    <xf numFmtId="0" fontId="4" fillId="13" borderId="4" xfId="0" applyFont="1" applyFill="1" applyBorder="1"/>
    <xf numFmtId="0" fontId="0" fillId="13" borderId="2" xfId="0" applyFill="1" applyBorder="1"/>
    <xf numFmtId="0" fontId="4" fillId="13" borderId="6" xfId="0" applyFont="1" applyFill="1" applyBorder="1" applyAlignment="1"/>
    <xf numFmtId="0" fontId="4" fillId="13" borderId="1" xfId="0" applyFont="1" applyFill="1" applyBorder="1" applyAlignment="1"/>
    <xf numFmtId="0" fontId="5" fillId="13" borderId="2" xfId="0" applyFont="1" applyFill="1" applyBorder="1"/>
    <xf numFmtId="2" fontId="1" fillId="13" borderId="2" xfId="0" applyNumberFormat="1" applyFont="1" applyFill="1" applyBorder="1"/>
    <xf numFmtId="2" fontId="0" fillId="13" borderId="2" xfId="0" applyNumberFormat="1" applyFill="1" applyBorder="1" applyAlignment="1">
      <alignment wrapText="1"/>
    </xf>
    <xf numFmtId="2" fontId="4" fillId="13" borderId="4" xfId="0" applyNumberFormat="1" applyFont="1" applyFill="1" applyBorder="1"/>
    <xf numFmtId="2" fontId="4" fillId="13" borderId="0" xfId="0" applyNumberFormat="1" applyFont="1" applyFill="1" applyBorder="1"/>
    <xf numFmtId="2" fontId="4" fillId="13" borderId="6" xfId="0" applyNumberFormat="1" applyFont="1" applyFill="1" applyBorder="1" applyAlignment="1"/>
    <xf numFmtId="0" fontId="5" fillId="13" borderId="2" xfId="0" applyNumberFormat="1" applyFont="1" applyFill="1" applyBorder="1"/>
    <xf numFmtId="2" fontId="0" fillId="13" borderId="0" xfId="0" applyNumberFormat="1" applyFill="1"/>
    <xf numFmtId="2" fontId="0" fillId="13" borderId="0" xfId="0" applyNumberFormat="1" applyFill="1" applyBorder="1"/>
    <xf numFmtId="2" fontId="4" fillId="13" borderId="0" xfId="0" applyNumberFormat="1" applyFont="1" applyFill="1" applyBorder="1" applyAlignment="1">
      <alignment wrapText="1"/>
    </xf>
    <xf numFmtId="2" fontId="5" fillId="13" borderId="6" xfId="0" applyNumberFormat="1" applyFont="1" applyFill="1" applyBorder="1" applyAlignment="1">
      <alignment wrapText="1"/>
    </xf>
    <xf numFmtId="0" fontId="5" fillId="13" borderId="2" xfId="0" applyNumberFormat="1" applyFont="1" applyFill="1" applyBorder="1" applyAlignment="1">
      <alignment horizontal="center" vertical="center" wrapText="1"/>
    </xf>
    <xf numFmtId="49" fontId="0" fillId="13" borderId="2" xfId="0" applyNumberFormat="1" applyFill="1" applyBorder="1" applyAlignment="1">
      <alignment wrapText="1"/>
    </xf>
    <xf numFmtId="2" fontId="0" fillId="13" borderId="3" xfId="0" applyNumberFormat="1" applyFill="1" applyBorder="1" applyAlignment="1">
      <alignment wrapText="1"/>
    </xf>
    <xf numFmtId="2" fontId="0" fillId="13" borderId="0" xfId="0" applyNumberFormat="1" applyFill="1" applyAlignment="1">
      <alignment wrapText="1"/>
    </xf>
    <xf numFmtId="2" fontId="1" fillId="13" borderId="2" xfId="0" applyNumberFormat="1" applyFont="1" applyFill="1" applyBorder="1" applyAlignment="1">
      <alignment wrapText="1"/>
    </xf>
    <xf numFmtId="2" fontId="0" fillId="13" borderId="0" xfId="0" applyNumberFormat="1" applyFill="1" applyBorder="1" applyAlignment="1">
      <alignment wrapText="1"/>
    </xf>
    <xf numFmtId="0" fontId="26" fillId="0" borderId="0" xfId="0" applyFont="1" applyFill="1" applyAlignment="1">
      <alignment horizontal="center"/>
    </xf>
    <xf numFmtId="49" fontId="47" fillId="0" borderId="5" xfId="0" applyNumberFormat="1" applyFont="1" applyFill="1" applyBorder="1" applyAlignment="1"/>
    <xf numFmtId="49" fontId="47" fillId="0" borderId="2" xfId="0" applyNumberFormat="1" applyFont="1" applyFill="1" applyBorder="1" applyAlignment="1"/>
    <xf numFmtId="0" fontId="47" fillId="0" borderId="2" xfId="0" applyFont="1" applyFill="1" applyBorder="1" applyAlignment="1"/>
    <xf numFmtId="0" fontId="48" fillId="2" borderId="1" xfId="0" applyFont="1" applyFill="1" applyBorder="1" applyAlignment="1"/>
    <xf numFmtId="0" fontId="47" fillId="0" borderId="5" xfId="0" applyFont="1" applyFill="1" applyBorder="1" applyAlignment="1"/>
    <xf numFmtId="0" fontId="48" fillId="2" borderId="10" xfId="0" applyFont="1" applyFill="1" applyBorder="1"/>
    <xf numFmtId="0" fontId="48" fillId="2" borderId="3" xfId="0" applyFont="1" applyFill="1" applyBorder="1"/>
    <xf numFmtId="0" fontId="48" fillId="2" borderId="1" xfId="0" applyFont="1" applyFill="1" applyBorder="1"/>
    <xf numFmtId="0" fontId="48" fillId="2" borderId="2" xfId="0" applyFont="1" applyFill="1" applyBorder="1"/>
    <xf numFmtId="0" fontId="47" fillId="2" borderId="2" xfId="0" applyFont="1" applyFill="1" applyBorder="1" applyAlignment="1">
      <alignment horizontal="center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47" fillId="0" borderId="2" xfId="0" applyNumberFormat="1" applyFont="1" applyFill="1" applyBorder="1" applyAlignment="1">
      <alignment vertical="center" wrapText="1"/>
    </xf>
    <xf numFmtId="0" fontId="47" fillId="10" borderId="2" xfId="0" applyFont="1" applyFill="1" applyBorder="1" applyAlignment="1">
      <alignment horizontal="center" vertical="center" wrapText="1"/>
    </xf>
    <xf numFmtId="49" fontId="47" fillId="0" borderId="2" xfId="0" applyNumberFormat="1" applyFont="1" applyFill="1" applyBorder="1" applyAlignment="1">
      <alignment horizontal="center" vertical="center" wrapText="1"/>
    </xf>
    <xf numFmtId="0" fontId="49" fillId="4" borderId="2" xfId="0" applyFont="1" applyFill="1" applyBorder="1"/>
    <xf numFmtId="0" fontId="47" fillId="2" borderId="2" xfId="0" applyFont="1" applyFill="1" applyBorder="1"/>
    <xf numFmtId="0" fontId="47" fillId="4" borderId="2" xfId="0" applyFont="1" applyFill="1" applyBorder="1"/>
    <xf numFmtId="0" fontId="47" fillId="2" borderId="1" xfId="0" applyFont="1" applyFill="1" applyBorder="1"/>
    <xf numFmtId="0" fontId="49" fillId="0" borderId="2" xfId="0" applyFont="1" applyBorder="1"/>
    <xf numFmtId="166" fontId="47" fillId="7" borderId="2" xfId="0" applyNumberFormat="1" applyFont="1" applyFill="1" applyBorder="1" applyAlignment="1">
      <alignment vertical="center" wrapText="1"/>
    </xf>
    <xf numFmtId="0" fontId="49" fillId="0" borderId="0" xfId="0" applyFont="1"/>
    <xf numFmtId="0" fontId="49" fillId="0" borderId="2" xfId="0" applyFont="1" applyFill="1" applyBorder="1"/>
    <xf numFmtId="0" fontId="49" fillId="0" borderId="2" xfId="0" applyFont="1" applyFill="1" applyBorder="1" applyAlignment="1">
      <alignment wrapText="1"/>
    </xf>
    <xf numFmtId="0" fontId="49" fillId="0" borderId="0" xfId="0" applyFont="1" applyFill="1"/>
    <xf numFmtId="0" fontId="50" fillId="0" borderId="2" xfId="0" applyFont="1" applyBorder="1"/>
    <xf numFmtId="0" fontId="50" fillId="0" borderId="0" xfId="0" applyFont="1"/>
    <xf numFmtId="0" fontId="26" fillId="0" borderId="0" xfId="0" applyFont="1" applyFill="1" applyAlignment="1">
      <alignment horizontal="center"/>
    </xf>
    <xf numFmtId="0" fontId="0" fillId="0" borderId="0" xfId="0" applyFill="1" applyBorder="1"/>
    <xf numFmtId="0" fontId="10" fillId="0" borderId="2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center"/>
    </xf>
    <xf numFmtId="0" fontId="49" fillId="0" borderId="2" xfId="0" applyFont="1" applyBorder="1" applyAlignment="1">
      <alignment horizontal="center"/>
    </xf>
    <xf numFmtId="0" fontId="49" fillId="0" borderId="2" xfId="0" applyFont="1" applyFill="1" applyBorder="1" applyAlignment="1">
      <alignment horizontal="center"/>
    </xf>
    <xf numFmtId="0" fontId="50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49" fontId="49" fillId="0" borderId="2" xfId="0" applyNumberFormat="1" applyFont="1" applyFill="1" applyBorder="1"/>
    <xf numFmtId="49" fontId="12" fillId="0" borderId="2" xfId="0" applyNumberFormat="1" applyFont="1" applyFill="1" applyBorder="1" applyAlignment="1">
      <alignment wrapText="1"/>
    </xf>
    <xf numFmtId="49" fontId="12" fillId="0" borderId="2" xfId="0" applyNumberFormat="1" applyFont="1" applyFill="1" applyBorder="1"/>
    <xf numFmtId="0" fontId="4" fillId="0" borderId="0" xfId="0" applyFont="1" applyFill="1" applyBorder="1" applyAlignment="1">
      <alignment wrapText="1"/>
    </xf>
    <xf numFmtId="4" fontId="1" fillId="4" borderId="2" xfId="0" applyNumberFormat="1" applyFont="1" applyFill="1" applyBorder="1"/>
    <xf numFmtId="4" fontId="4" fillId="5" borderId="4" xfId="0" applyNumberFormat="1" applyFont="1" applyFill="1" applyBorder="1"/>
    <xf numFmtId="4" fontId="4" fillId="2" borderId="6" xfId="0" applyNumberFormat="1" applyFont="1" applyFill="1" applyBorder="1" applyAlignment="1"/>
    <xf numFmtId="4" fontId="5" fillId="5" borderId="2" xfId="0" applyNumberFormat="1" applyFont="1" applyFill="1" applyBorder="1"/>
    <xf numFmtId="2" fontId="52" fillId="0" borderId="0" xfId="0" applyNumberFormat="1" applyFont="1" applyFill="1" applyBorder="1"/>
    <xf numFmtId="2" fontId="14" fillId="0" borderId="2" xfId="0" applyNumberFormat="1" applyFont="1" applyFill="1" applyBorder="1"/>
    <xf numFmtId="2" fontId="14" fillId="0" borderId="2" xfId="0" applyNumberFormat="1" applyFont="1" applyFill="1" applyBorder="1" applyAlignment="1">
      <alignment wrapText="1"/>
    </xf>
    <xf numFmtId="49" fontId="3" fillId="0" borderId="4" xfId="0" applyNumberFormat="1" applyFont="1" applyFill="1" applyBorder="1" applyAlignment="1">
      <alignment horizontal="right"/>
    </xf>
    <xf numFmtId="49" fontId="4" fillId="0" borderId="0" xfId="0" applyNumberFormat="1" applyFont="1" applyFill="1" applyBorder="1" applyAlignment="1">
      <alignment horizontal="right"/>
    </xf>
    <xf numFmtId="49" fontId="49" fillId="0" borderId="2" xfId="0" applyNumberFormat="1" applyFont="1" applyFill="1" applyBorder="1" applyAlignment="1">
      <alignment horizontal="right"/>
    </xf>
    <xf numFmtId="0" fontId="49" fillId="0" borderId="2" xfId="0" applyFont="1" applyFill="1" applyBorder="1" applyAlignment="1">
      <alignment horizontal="right"/>
    </xf>
    <xf numFmtId="49" fontId="55" fillId="0" borderId="2" xfId="0" applyNumberFormat="1" applyFont="1" applyFill="1" applyBorder="1"/>
    <xf numFmtId="0" fontId="4" fillId="2" borderId="1" xfId="0" applyFont="1" applyFill="1" applyBorder="1" applyAlignment="1"/>
    <xf numFmtId="2" fontId="47" fillId="7" borderId="2" xfId="0" applyNumberFormat="1" applyFont="1" applyFill="1" applyBorder="1" applyAlignment="1">
      <alignment vertical="center" wrapText="1"/>
    </xf>
    <xf numFmtId="4" fontId="5" fillId="11" borderId="2" xfId="0" applyNumberFormat="1" applyFont="1" applyFill="1" applyBorder="1" applyAlignment="1">
      <alignment horizontal="center" vertical="center" wrapText="1"/>
    </xf>
    <xf numFmtId="4" fontId="0" fillId="11" borderId="2" xfId="0" applyNumberFormat="1" applyFill="1" applyBorder="1"/>
    <xf numFmtId="49" fontId="4" fillId="0" borderId="0" xfId="0" applyNumberFormat="1" applyFont="1" applyFill="1" applyBorder="1" applyAlignment="1">
      <alignment wrapText="1"/>
    </xf>
    <xf numFmtId="49" fontId="5" fillId="0" borderId="6" xfId="0" applyNumberFormat="1" applyFont="1" applyFill="1" applyBorder="1" applyAlignment="1">
      <alignment wrapText="1"/>
    </xf>
    <xf numFmtId="49" fontId="0" fillId="0" borderId="0" xfId="0" applyNumberFormat="1" applyFill="1" applyAlignment="1">
      <alignment wrapText="1"/>
    </xf>
    <xf numFmtId="49" fontId="0" fillId="0" borderId="0" xfId="0" applyNumberFormat="1" applyFill="1" applyBorder="1" applyAlignment="1">
      <alignment wrapText="1"/>
    </xf>
    <xf numFmtId="4" fontId="0" fillId="12" borderId="2" xfId="0" applyNumberFormat="1" applyFill="1" applyBorder="1"/>
    <xf numFmtId="4" fontId="21" fillId="0" borderId="3" xfId="0" applyNumberFormat="1" applyFont="1" applyFill="1" applyBorder="1" applyAlignment="1">
      <alignment horizontal="center" vertical="center" wrapText="1"/>
    </xf>
    <xf numFmtId="4" fontId="21" fillId="0" borderId="3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" fillId="2" borderId="0" xfId="0" applyFont="1" applyFill="1" applyBorder="1"/>
    <xf numFmtId="2" fontId="2" fillId="0" borderId="0" xfId="0" applyNumberFormat="1" applyFont="1" applyFill="1"/>
    <xf numFmtId="166" fontId="0" fillId="0" borderId="2" xfId="0" applyNumberFormat="1" applyFill="1" applyBorder="1"/>
    <xf numFmtId="166" fontId="8" fillId="0" borderId="2" xfId="0" applyNumberFormat="1" applyFont="1" applyFill="1" applyBorder="1"/>
    <xf numFmtId="165" fontId="0" fillId="0" borderId="2" xfId="0" applyNumberFormat="1" applyFill="1" applyBorder="1"/>
    <xf numFmtId="4" fontId="0" fillId="0" borderId="2" xfId="0" applyNumberFormat="1" applyFont="1" applyFill="1" applyBorder="1"/>
    <xf numFmtId="2" fontId="18" fillId="0" borderId="0" xfId="0" applyNumberFormat="1" applyFont="1" applyFill="1" applyBorder="1" applyAlignment="1">
      <alignment vertical="center" wrapText="1"/>
    </xf>
    <xf numFmtId="2" fontId="20" fillId="0" borderId="0" xfId="0" applyNumberFormat="1" applyFont="1" applyFill="1"/>
    <xf numFmtId="2" fontId="20" fillId="0" borderId="2" xfId="0" applyNumberFormat="1" applyFont="1" applyFill="1" applyBorder="1" applyAlignment="1">
      <alignment horizontal="center"/>
    </xf>
    <xf numFmtId="2" fontId="23" fillId="0" borderId="7" xfId="0" applyNumberFormat="1" applyFont="1" applyFill="1" applyBorder="1" applyAlignment="1">
      <alignment horizontal="center"/>
    </xf>
    <xf numFmtId="2" fontId="26" fillId="0" borderId="0" xfId="0" applyNumberFormat="1" applyFont="1" applyFill="1" applyAlignment="1">
      <alignment horizontal="right"/>
    </xf>
    <xf numFmtId="2" fontId="18" fillId="0" borderId="9" xfId="0" applyNumberFormat="1" applyFont="1" applyFill="1" applyBorder="1" applyAlignment="1">
      <alignment vertical="center" wrapText="1"/>
    </xf>
    <xf numFmtId="2" fontId="22" fillId="0" borderId="1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49" fontId="4" fillId="2" borderId="4" xfId="0" applyNumberFormat="1" applyFont="1" applyFill="1" applyBorder="1"/>
    <xf numFmtId="4" fontId="49" fillId="0" borderId="0" xfId="0" applyNumberFormat="1" applyFont="1" applyFill="1"/>
    <xf numFmtId="49" fontId="4" fillId="2" borderId="6" xfId="0" applyNumberFormat="1" applyFont="1" applyFill="1" applyBorder="1" applyAlignment="1"/>
    <xf numFmtId="49" fontId="5" fillId="2" borderId="2" xfId="0" applyNumberFormat="1" applyFont="1" applyFill="1" applyBorder="1"/>
    <xf numFmtId="166" fontId="40" fillId="0" borderId="2" xfId="0" applyNumberFormat="1" applyFont="1" applyFill="1" applyBorder="1"/>
    <xf numFmtId="2" fontId="38" fillId="0" borderId="2" xfId="0" applyNumberFormat="1" applyFont="1" applyFill="1" applyBorder="1" applyAlignment="1">
      <alignment wrapText="1"/>
    </xf>
    <xf numFmtId="2" fontId="4" fillId="12" borderId="4" xfId="0" applyNumberFormat="1" applyFont="1" applyFill="1" applyBorder="1"/>
    <xf numFmtId="2" fontId="4" fillId="12" borderId="0" xfId="0" applyNumberFormat="1" applyFont="1" applyFill="1" applyBorder="1"/>
    <xf numFmtId="2" fontId="4" fillId="12" borderId="1" xfId="0" applyNumberFormat="1" applyFont="1" applyFill="1" applyBorder="1" applyAlignment="1"/>
    <xf numFmtId="0" fontId="5" fillId="12" borderId="2" xfId="0" applyNumberFormat="1" applyFont="1" applyFill="1" applyBorder="1"/>
    <xf numFmtId="2" fontId="0" fillId="12" borderId="2" xfId="0" applyNumberFormat="1" applyFill="1" applyBorder="1"/>
    <xf numFmtId="2" fontId="1" fillId="12" borderId="2" xfId="0" applyNumberFormat="1" applyFont="1" applyFill="1" applyBorder="1"/>
    <xf numFmtId="2" fontId="0" fillId="12" borderId="0" xfId="0" applyNumberFormat="1" applyFill="1"/>
    <xf numFmtId="2" fontId="0" fillId="12" borderId="0" xfId="0" applyNumberFormat="1" applyFill="1" applyBorder="1"/>
    <xf numFmtId="4" fontId="4" fillId="12" borderId="4" xfId="0" applyNumberFormat="1" applyFont="1" applyFill="1" applyBorder="1"/>
    <xf numFmtId="4" fontId="4" fillId="12" borderId="1" xfId="0" applyNumberFormat="1" applyFont="1" applyFill="1" applyBorder="1" applyAlignment="1"/>
    <xf numFmtId="4" fontId="5" fillId="12" borderId="2" xfId="0" applyNumberFormat="1" applyFont="1" applyFill="1" applyBorder="1"/>
    <xf numFmtId="4" fontId="1" fillId="12" borderId="2" xfId="0" applyNumberFormat="1" applyFont="1" applyFill="1" applyBorder="1"/>
    <xf numFmtId="4" fontId="0" fillId="12" borderId="0" xfId="0" applyNumberFormat="1" applyFill="1" applyBorder="1"/>
    <xf numFmtId="4" fontId="5" fillId="12" borderId="1" xfId="0" applyNumberFormat="1" applyFont="1" applyFill="1" applyBorder="1" applyAlignment="1"/>
    <xf numFmtId="4" fontId="5" fillId="12" borderId="2" xfId="0" applyNumberFormat="1" applyFont="1" applyFill="1" applyBorder="1" applyAlignment="1">
      <alignment horizontal="center" vertical="center" wrapText="1"/>
    </xf>
    <xf numFmtId="2" fontId="4" fillId="0" borderId="4" xfId="0" applyNumberFormat="1" applyFont="1" applyFill="1" applyBorder="1"/>
    <xf numFmtId="49" fontId="4" fillId="0" borderId="4" xfId="0" applyNumberFormat="1" applyFont="1" applyFill="1" applyBorder="1"/>
    <xf numFmtId="2" fontId="4" fillId="0" borderId="6" xfId="0" applyNumberFormat="1" applyFont="1" applyFill="1" applyBorder="1" applyAlignment="1"/>
    <xf numFmtId="49" fontId="4" fillId="0" borderId="6" xfId="0" applyNumberFormat="1" applyFont="1" applyFill="1" applyBorder="1" applyAlignment="1"/>
    <xf numFmtId="0" fontId="5" fillId="0" borderId="2" xfId="0" applyNumberFormat="1" applyFont="1" applyFill="1" applyBorder="1"/>
    <xf numFmtId="49" fontId="5" fillId="0" borderId="2" xfId="0" applyNumberFormat="1" applyFont="1" applyFill="1" applyBorder="1"/>
    <xf numFmtId="0" fontId="57" fillId="0" borderId="0" xfId="0" applyFont="1" applyFill="1" applyBorder="1"/>
    <xf numFmtId="2" fontId="46" fillId="0" borderId="2" xfId="0" applyNumberFormat="1" applyFont="1" applyFill="1" applyBorder="1"/>
    <xf numFmtId="49" fontId="46" fillId="0" borderId="2" xfId="0" applyNumberFormat="1" applyFont="1" applyFill="1" applyBorder="1"/>
    <xf numFmtId="2" fontId="57" fillId="0" borderId="2" xfId="0" applyNumberFormat="1" applyFont="1" applyFill="1" applyBorder="1"/>
    <xf numFmtId="0" fontId="12" fillId="0" borderId="2" xfId="0" applyFont="1" applyFill="1" applyBorder="1" applyAlignment="1">
      <alignment wrapText="1"/>
    </xf>
    <xf numFmtId="49" fontId="39" fillId="0" borderId="2" xfId="0" applyNumberFormat="1" applyFont="1" applyFill="1" applyBorder="1" applyAlignment="1">
      <alignment wrapText="1"/>
    </xf>
    <xf numFmtId="49" fontId="12" fillId="0" borderId="2" xfId="0" applyNumberFormat="1" applyFont="1" applyFill="1" applyBorder="1" applyAlignment="1">
      <alignment horizontal="right" wrapText="1"/>
    </xf>
    <xf numFmtId="4" fontId="38" fillId="0" borderId="2" xfId="0" applyNumberFormat="1" applyFont="1" applyFill="1" applyBorder="1"/>
    <xf numFmtId="4" fontId="4" fillId="2" borderId="2" xfId="0" applyNumberFormat="1" applyFont="1" applyFill="1" applyBorder="1" applyAlignment="1"/>
    <xf numFmtId="2" fontId="56" fillId="0" borderId="2" xfId="0" applyNumberFormat="1" applyFont="1" applyFill="1" applyBorder="1"/>
    <xf numFmtId="2" fontId="12" fillId="0" borderId="0" xfId="0" applyNumberFormat="1" applyFont="1" applyFill="1" applyBorder="1"/>
    <xf numFmtId="49" fontId="57" fillId="0" borderId="0" xfId="0" applyNumberFormat="1" applyFont="1" applyFill="1" applyBorder="1" applyAlignment="1">
      <alignment wrapText="1"/>
    </xf>
    <xf numFmtId="49" fontId="59" fillId="0" borderId="2" xfId="0" applyNumberFormat="1" applyFont="1" applyFill="1" applyBorder="1" applyAlignment="1">
      <alignment wrapText="1"/>
    </xf>
    <xf numFmtId="49" fontId="46" fillId="0" borderId="2" xfId="0" applyNumberFormat="1" applyFont="1" applyFill="1" applyBorder="1" applyAlignment="1">
      <alignment wrapText="1"/>
    </xf>
    <xf numFmtId="166" fontId="5" fillId="0" borderId="2" xfId="0" applyNumberFormat="1" applyFont="1" applyFill="1" applyBorder="1" applyAlignment="1">
      <alignment vertical="center" wrapText="1"/>
    </xf>
    <xf numFmtId="4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 vertical="center" wrapText="1"/>
    </xf>
    <xf numFmtId="165" fontId="5" fillId="0" borderId="2" xfId="0" applyNumberFormat="1" applyFont="1" applyFill="1" applyBorder="1" applyAlignment="1">
      <alignment horizontal="center" vertical="center" wrapText="1"/>
    </xf>
    <xf numFmtId="0" fontId="47" fillId="0" borderId="2" xfId="0" applyFont="1" applyFill="1" applyBorder="1" applyAlignment="1">
      <alignment horizontal="center"/>
    </xf>
    <xf numFmtId="4" fontId="47" fillId="0" borderId="2" xfId="0" applyNumberFormat="1" applyFont="1" applyFill="1" applyBorder="1" applyAlignment="1">
      <alignment horizontal="center" vertical="center" wrapText="1"/>
    </xf>
    <xf numFmtId="0" fontId="50" fillId="0" borderId="2" xfId="0" applyFont="1" applyFill="1" applyBorder="1"/>
    <xf numFmtId="0" fontId="46" fillId="0" borderId="0" xfId="0" applyFont="1" applyFill="1"/>
    <xf numFmtId="0" fontId="45" fillId="0" borderId="0" xfId="0" applyFont="1" applyFill="1" applyBorder="1" applyAlignment="1">
      <alignment wrapText="1"/>
    </xf>
    <xf numFmtId="0" fontId="28" fillId="0" borderId="0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wrapText="1"/>
    </xf>
    <xf numFmtId="4" fontId="28" fillId="0" borderId="0" xfId="0" applyNumberFormat="1" applyFont="1" applyFill="1" applyBorder="1" applyAlignment="1">
      <alignment wrapText="1"/>
    </xf>
    <xf numFmtId="4" fontId="4" fillId="0" borderId="0" xfId="0" applyNumberFormat="1" applyFont="1" applyFill="1" applyBorder="1"/>
    <xf numFmtId="0" fontId="4" fillId="0" borderId="8" xfId="0" applyFont="1" applyFill="1" applyBorder="1"/>
    <xf numFmtId="4" fontId="4" fillId="0" borderId="4" xfId="0" applyNumberFormat="1" applyFont="1" applyFill="1" applyBorder="1"/>
    <xf numFmtId="0" fontId="0" fillId="0" borderId="9" xfId="0" applyFill="1" applyBorder="1"/>
    <xf numFmtId="4" fontId="47" fillId="0" borderId="2" xfId="0" applyNumberFormat="1" applyFont="1" applyFill="1" applyBorder="1" applyAlignment="1">
      <alignment vertical="center" wrapText="1"/>
    </xf>
    <xf numFmtId="0" fontId="47" fillId="0" borderId="6" xfId="0" applyFont="1" applyFill="1" applyBorder="1" applyAlignment="1"/>
    <xf numFmtId="0" fontId="47" fillId="0" borderId="6" xfId="0" applyFont="1" applyFill="1" applyBorder="1" applyAlignment="1">
      <alignment wrapText="1"/>
    </xf>
    <xf numFmtId="4" fontId="47" fillId="0" borderId="6" xfId="0" applyNumberFormat="1" applyFont="1" applyFill="1" applyBorder="1" applyAlignment="1"/>
    <xf numFmtId="4" fontId="47" fillId="0" borderId="2" xfId="0" applyNumberFormat="1" applyFont="1" applyFill="1" applyBorder="1" applyAlignment="1"/>
    <xf numFmtId="0" fontId="48" fillId="0" borderId="2" xfId="0" applyFont="1" applyFill="1" applyBorder="1" applyAlignment="1"/>
    <xf numFmtId="0" fontId="48" fillId="0" borderId="6" xfId="0" applyFont="1" applyFill="1" applyBorder="1" applyAlignment="1"/>
    <xf numFmtId="0" fontId="48" fillId="0" borderId="1" xfId="0" applyFont="1" applyFill="1" applyBorder="1" applyAlignment="1"/>
    <xf numFmtId="4" fontId="48" fillId="0" borderId="6" xfId="0" applyNumberFormat="1" applyFont="1" applyFill="1" applyBorder="1" applyAlignment="1"/>
    <xf numFmtId="0" fontId="47" fillId="0" borderId="2" xfId="0" applyFont="1" applyFill="1" applyBorder="1" applyAlignment="1">
      <alignment horizontal="center" wrapText="1"/>
    </xf>
    <xf numFmtId="166" fontId="47" fillId="0" borderId="2" xfId="0" applyNumberFormat="1" applyFont="1" applyFill="1" applyBorder="1" applyAlignment="1">
      <alignment horizontal="center" vertical="center" wrapText="1"/>
    </xf>
    <xf numFmtId="49" fontId="47" fillId="0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/>
    <xf numFmtId="49" fontId="47" fillId="0" borderId="2" xfId="0" applyNumberFormat="1" applyFont="1" applyFill="1" applyBorder="1"/>
    <xf numFmtId="4" fontId="47" fillId="0" borderId="2" xfId="0" applyNumberFormat="1" applyFont="1" applyFill="1" applyBorder="1"/>
    <xf numFmtId="4" fontId="49" fillId="0" borderId="2" xfId="0" applyNumberFormat="1" applyFont="1" applyFill="1" applyBorder="1"/>
    <xf numFmtId="166" fontId="47" fillId="0" borderId="2" xfId="0" applyNumberFormat="1" applyFont="1" applyFill="1" applyBorder="1" applyAlignment="1">
      <alignment vertical="center" wrapText="1"/>
    </xf>
    <xf numFmtId="2" fontId="49" fillId="0" borderId="2" xfId="0" applyNumberFormat="1" applyFont="1" applyFill="1" applyBorder="1"/>
    <xf numFmtId="0" fontId="49" fillId="0" borderId="2" xfId="0" applyFont="1" applyFill="1" applyBorder="1" applyAlignment="1">
      <alignment horizontal="right" wrapText="1"/>
    </xf>
    <xf numFmtId="16" fontId="49" fillId="0" borderId="2" xfId="0" applyNumberFormat="1" applyFont="1" applyFill="1" applyBorder="1"/>
    <xf numFmtId="2" fontId="50" fillId="0" borderId="2" xfId="0" applyNumberFormat="1" applyFont="1" applyFill="1" applyBorder="1"/>
    <xf numFmtId="49" fontId="50" fillId="0" borderId="2" xfId="0" applyNumberFormat="1" applyFont="1" applyFill="1" applyBorder="1"/>
    <xf numFmtId="4" fontId="50" fillId="0" borderId="2" xfId="0" applyNumberFormat="1" applyFont="1" applyFill="1" applyBorder="1"/>
    <xf numFmtId="166" fontId="0" fillId="0" borderId="0" xfId="0" applyNumberFormat="1" applyFill="1"/>
    <xf numFmtId="4" fontId="0" fillId="0" borderId="0" xfId="0" applyNumberFormat="1" applyFill="1"/>
    <xf numFmtId="0" fontId="0" fillId="0" borderId="0" xfId="0" applyFill="1" applyAlignment="1">
      <alignment horizontal="right"/>
    </xf>
    <xf numFmtId="166" fontId="1" fillId="0" borderId="2" xfId="0" applyNumberFormat="1" applyFont="1" applyFill="1" applyBorder="1"/>
    <xf numFmtId="49" fontId="50" fillId="0" borderId="4" xfId="0" applyNumberFormat="1" applyFont="1" applyFill="1" applyBorder="1"/>
    <xf numFmtId="4" fontId="50" fillId="0" borderId="4" xfId="0" applyNumberFormat="1" applyFont="1" applyFill="1" applyBorder="1"/>
    <xf numFmtId="4" fontId="50" fillId="11" borderId="4" xfId="0" applyNumberFormat="1" applyFont="1" applyFill="1" applyBorder="1"/>
    <xf numFmtId="0" fontId="49" fillId="0" borderId="0" xfId="0" applyFont="1" applyFill="1" applyBorder="1"/>
    <xf numFmtId="0" fontId="46" fillId="0" borderId="0" xfId="0" applyFont="1" applyBorder="1"/>
    <xf numFmtId="0" fontId="46" fillId="0" borderId="0" xfId="0" applyFont="1" applyBorder="1" applyAlignment="1">
      <alignment horizontal="center"/>
    </xf>
    <xf numFmtId="166" fontId="46" fillId="0" borderId="0" xfId="0" applyNumberFormat="1" applyFont="1" applyFill="1" applyBorder="1"/>
    <xf numFmtId="0" fontId="46" fillId="0" borderId="0" xfId="0" applyFont="1" applyFill="1" applyBorder="1"/>
    <xf numFmtId="49" fontId="46" fillId="0" borderId="0" xfId="0" applyNumberFormat="1" applyFont="1" applyFill="1" applyBorder="1"/>
    <xf numFmtId="4" fontId="46" fillId="0" borderId="0" xfId="0" applyNumberFormat="1" applyFont="1" applyFill="1" applyBorder="1"/>
    <xf numFmtId="0" fontId="46" fillId="0" borderId="0" xfId="0" applyFont="1" applyFill="1" applyBorder="1" applyAlignment="1">
      <alignment horizontal="right"/>
    </xf>
    <xf numFmtId="0" fontId="50" fillId="0" borderId="0" xfId="0" applyFont="1" applyFill="1" applyBorder="1"/>
    <xf numFmtId="0" fontId="0" fillId="0" borderId="0" xfId="0" applyBorder="1" applyAlignment="1">
      <alignment horizontal="center"/>
    </xf>
    <xf numFmtId="166" fontId="0" fillId="0" borderId="0" xfId="0" applyNumberFormat="1" applyFill="1" applyBorder="1"/>
    <xf numFmtId="4" fontId="0" fillId="0" borderId="0" xfId="0" applyNumberFormat="1" applyFill="1" applyBorder="1"/>
    <xf numFmtId="0" fontId="0" fillId="0" borderId="0" xfId="0" applyFill="1" applyBorder="1" applyAlignment="1">
      <alignment horizontal="right"/>
    </xf>
    <xf numFmtId="165" fontId="3" fillId="0" borderId="0" xfId="0" applyNumberFormat="1" applyFont="1" applyFill="1" applyBorder="1" applyAlignment="1">
      <alignment horizontal="center"/>
    </xf>
    <xf numFmtId="49" fontId="0" fillId="0" borderId="9" xfId="0" applyNumberFormat="1" applyFill="1" applyBorder="1" applyAlignment="1">
      <alignment wrapText="1"/>
    </xf>
    <xf numFmtId="4" fontId="5" fillId="0" borderId="6" xfId="0" applyNumberFormat="1" applyFont="1" applyFill="1" applyBorder="1" applyAlignment="1"/>
    <xf numFmtId="4" fontId="5" fillId="0" borderId="1" xfId="0" applyNumberFormat="1" applyFont="1" applyFill="1" applyBorder="1" applyAlignment="1"/>
    <xf numFmtId="4" fontId="3" fillId="0" borderId="6" xfId="0" applyNumberFormat="1" applyFont="1" applyFill="1" applyBorder="1" applyAlignment="1"/>
    <xf numFmtId="2" fontId="5" fillId="0" borderId="5" xfId="0" applyNumberFormat="1" applyFont="1" applyFill="1" applyBorder="1" applyAlignment="1"/>
    <xf numFmtId="2" fontId="53" fillId="0" borderId="6" xfId="0" applyNumberFormat="1" applyFont="1" applyFill="1" applyBorder="1" applyAlignment="1"/>
    <xf numFmtId="2" fontId="32" fillId="0" borderId="6" xfId="0" applyNumberFormat="1" applyFont="1" applyFill="1" applyBorder="1" applyAlignment="1"/>
    <xf numFmtId="2" fontId="5" fillId="0" borderId="12" xfId="0" applyNumberFormat="1" applyFont="1" applyFill="1" applyBorder="1" applyAlignment="1"/>
    <xf numFmtId="4" fontId="3" fillId="0" borderId="2" xfId="0" applyNumberFormat="1" applyFont="1" applyFill="1" applyBorder="1" applyAlignment="1">
      <alignment horizontal="center" vertical="center" wrapText="1"/>
    </xf>
    <xf numFmtId="0" fontId="53" fillId="0" borderId="2" xfId="0" applyNumberFormat="1" applyFont="1" applyFill="1" applyBorder="1" applyAlignment="1">
      <alignment horizontal="center" vertical="center" wrapText="1"/>
    </xf>
    <xf numFmtId="2" fontId="33" fillId="0" borderId="2" xfId="0" applyNumberFormat="1" applyFont="1" applyFill="1" applyBorder="1"/>
    <xf numFmtId="4" fontId="0" fillId="0" borderId="2" xfId="0" applyNumberFormat="1" applyFill="1" applyBorder="1" applyAlignment="1">
      <alignment wrapText="1"/>
    </xf>
    <xf numFmtId="49" fontId="4" fillId="0" borderId="2" xfId="0" applyNumberFormat="1" applyFont="1" applyFill="1" applyBorder="1"/>
    <xf numFmtId="49" fontId="4" fillId="0" borderId="2" xfId="0" applyNumberFormat="1" applyFont="1" applyFill="1" applyBorder="1" applyAlignment="1">
      <alignment wrapText="1"/>
    </xf>
    <xf numFmtId="2" fontId="33" fillId="0" borderId="0" xfId="0" applyNumberFormat="1" applyFont="1" applyFill="1"/>
    <xf numFmtId="2" fontId="39" fillId="0" borderId="2" xfId="0" applyNumberFormat="1" applyFont="1" applyFill="1" applyBorder="1" applyAlignment="1">
      <alignment wrapText="1"/>
    </xf>
    <xf numFmtId="167" fontId="0" fillId="0" borderId="2" xfId="0" applyNumberFormat="1" applyFill="1" applyBorder="1"/>
    <xf numFmtId="2" fontId="35" fillId="0" borderId="2" xfId="0" applyNumberFormat="1" applyFont="1" applyFill="1" applyBorder="1"/>
    <xf numFmtId="2" fontId="39" fillId="0" borderId="2" xfId="0" applyNumberFormat="1" applyFont="1" applyFill="1" applyBorder="1"/>
    <xf numFmtId="2" fontId="44" fillId="0" borderId="2" xfId="0" applyNumberFormat="1" applyFont="1" applyFill="1" applyBorder="1"/>
    <xf numFmtId="4" fontId="15" fillId="0" borderId="2" xfId="0" applyNumberFormat="1" applyFont="1" applyFill="1" applyBorder="1"/>
    <xf numFmtId="4" fontId="13" fillId="0" borderId="2" xfId="0" applyNumberFormat="1" applyFont="1" applyFill="1" applyBorder="1"/>
    <xf numFmtId="4" fontId="3" fillId="0" borderId="2" xfId="0" applyNumberFormat="1" applyFont="1" applyFill="1" applyBorder="1" applyAlignment="1"/>
    <xf numFmtId="4" fontId="3" fillId="0" borderId="2" xfId="0" applyNumberFormat="1" applyFont="1" applyFill="1" applyBorder="1" applyAlignment="1">
      <alignment horizontal="center"/>
    </xf>
    <xf numFmtId="165" fontId="1" fillId="0" borderId="2" xfId="0" applyNumberFormat="1" applyFont="1" applyFill="1" applyBorder="1"/>
    <xf numFmtId="49" fontId="1" fillId="0" borderId="2" xfId="0" applyNumberFormat="1" applyFont="1" applyFill="1" applyBorder="1" applyAlignment="1">
      <alignment wrapText="1"/>
    </xf>
    <xf numFmtId="2" fontId="54" fillId="0" borderId="2" xfId="0" applyNumberFormat="1" applyFont="1" applyFill="1" applyBorder="1"/>
    <xf numFmtId="2" fontId="34" fillId="0" borderId="2" xfId="0" applyNumberFormat="1" applyFont="1" applyFill="1" applyBorder="1"/>
    <xf numFmtId="166" fontId="0" fillId="0" borderId="0" xfId="0" applyNumberFormat="1" applyFill="1" applyAlignment="1">
      <alignment vertical="center"/>
    </xf>
    <xf numFmtId="165" fontId="0" fillId="0" borderId="0" xfId="0" applyNumberFormat="1" applyFill="1"/>
    <xf numFmtId="4" fontId="0" fillId="0" borderId="0" xfId="0" applyNumberFormat="1" applyFont="1" applyFill="1"/>
    <xf numFmtId="2" fontId="12" fillId="0" borderId="0" xfId="0" applyNumberFormat="1" applyFont="1" applyFill="1"/>
    <xf numFmtId="2" fontId="14" fillId="0" borderId="0" xfId="0" applyNumberFormat="1" applyFont="1" applyFill="1"/>
    <xf numFmtId="2" fontId="8" fillId="0" borderId="0" xfId="0" applyNumberFormat="1" applyFont="1" applyFill="1" applyBorder="1"/>
    <xf numFmtId="165" fontId="0" fillId="0" borderId="0" xfId="0" applyNumberFormat="1" applyFill="1" applyBorder="1"/>
    <xf numFmtId="4" fontId="0" fillId="0" borderId="0" xfId="0" applyNumberFormat="1" applyFont="1" applyFill="1" applyBorder="1"/>
    <xf numFmtId="2" fontId="14" fillId="0" borderId="0" xfId="0" applyNumberFormat="1" applyFont="1" applyFill="1" applyBorder="1"/>
    <xf numFmtId="2" fontId="33" fillId="0" borderId="0" xfId="0" applyNumberFormat="1" applyFont="1" applyFill="1" applyBorder="1"/>
    <xf numFmtId="49" fontId="4" fillId="0" borderId="2" xfId="0" applyNumberFormat="1" applyFont="1" applyFill="1" applyBorder="1" applyAlignment="1">
      <alignment horizontal="center" vertical="center" wrapText="1"/>
    </xf>
    <xf numFmtId="2" fontId="28" fillId="0" borderId="0" xfId="0" applyNumberFormat="1" applyFont="1" applyFill="1" applyBorder="1" applyAlignment="1">
      <alignment wrapText="1"/>
    </xf>
    <xf numFmtId="49" fontId="60" fillId="0" borderId="0" xfId="0" applyNumberFormat="1" applyFont="1" applyFill="1" applyBorder="1" applyAlignment="1">
      <alignment wrapText="1"/>
    </xf>
    <xf numFmtId="2" fontId="4" fillId="0" borderId="0" xfId="0" applyNumberFormat="1" applyFont="1" applyFill="1" applyBorder="1" applyAlignment="1">
      <alignment wrapText="1"/>
    </xf>
    <xf numFmtId="168" fontId="3" fillId="0" borderId="0" xfId="0" applyNumberFormat="1" applyFont="1" applyFill="1" applyBorder="1" applyAlignment="1">
      <alignment horizontal="center"/>
    </xf>
    <xf numFmtId="2" fontId="4" fillId="0" borderId="9" xfId="0" applyNumberFormat="1" applyFont="1" applyFill="1" applyBorder="1"/>
    <xf numFmtId="4" fontId="4" fillId="0" borderId="9" xfId="0" applyNumberFormat="1" applyFont="1" applyFill="1" applyBorder="1"/>
    <xf numFmtId="4" fontId="5" fillId="0" borderId="2" xfId="0" applyNumberFormat="1" applyFont="1" applyFill="1" applyBorder="1" applyAlignment="1">
      <alignment vertical="center" wrapText="1"/>
    </xf>
    <xf numFmtId="0" fontId="5" fillId="0" borderId="6" xfId="0" applyFont="1" applyFill="1" applyBorder="1" applyAlignment="1"/>
    <xf numFmtId="0" fontId="5" fillId="0" borderId="1" xfId="0" applyFont="1" applyFill="1" applyBorder="1" applyAlignment="1"/>
    <xf numFmtId="0" fontId="58" fillId="0" borderId="6" xfId="0" applyFont="1" applyFill="1" applyBorder="1" applyAlignment="1"/>
    <xf numFmtId="0" fontId="5" fillId="0" borderId="9" xfId="0" applyFont="1" applyFill="1" applyBorder="1" applyAlignment="1"/>
    <xf numFmtId="2" fontId="5" fillId="0" borderId="9" xfId="0" applyNumberFormat="1" applyFont="1" applyFill="1" applyBorder="1" applyAlignment="1"/>
    <xf numFmtId="49" fontId="5" fillId="0" borderId="10" xfId="0" applyNumberFormat="1" applyFont="1" applyFill="1" applyBorder="1" applyAlignment="1"/>
    <xf numFmtId="4" fontId="5" fillId="0" borderId="9" xfId="0" applyNumberFormat="1" applyFont="1" applyFill="1" applyBorder="1" applyAlignment="1"/>
    <xf numFmtId="0" fontId="5" fillId="0" borderId="12" xfId="0" applyFont="1" applyFill="1" applyBorder="1" applyAlignment="1"/>
    <xf numFmtId="4" fontId="5" fillId="0" borderId="10" xfId="0" applyNumberFormat="1" applyFont="1" applyFill="1" applyBorder="1" applyAlignment="1"/>
    <xf numFmtId="0" fontId="5" fillId="0" borderId="2" xfId="0" applyFont="1" applyFill="1" applyBorder="1" applyAlignment="1">
      <alignment wrapText="1"/>
    </xf>
    <xf numFmtId="4" fontId="5" fillId="0" borderId="2" xfId="0" applyNumberFormat="1" applyFont="1" applyFill="1" applyBorder="1" applyAlignment="1"/>
    <xf numFmtId="0" fontId="5" fillId="0" borderId="2" xfId="0" applyFont="1" applyFill="1" applyBorder="1" applyAlignment="1"/>
    <xf numFmtId="2" fontId="5" fillId="0" borderId="2" xfId="0" applyNumberFormat="1" applyFont="1" applyFill="1" applyBorder="1" applyAlignment="1"/>
    <xf numFmtId="2" fontId="5" fillId="0" borderId="2" xfId="0" applyNumberFormat="1" applyFont="1" applyFill="1" applyBorder="1" applyAlignment="1">
      <alignment wrapText="1"/>
    </xf>
    <xf numFmtId="168" fontId="5" fillId="0" borderId="2" xfId="0" applyNumberFormat="1" applyFont="1" applyFill="1" applyBorder="1" applyAlignment="1">
      <alignment horizontal="center" vertical="center" wrapText="1"/>
    </xf>
    <xf numFmtId="49" fontId="58" fillId="0" borderId="2" xfId="0" applyNumberFormat="1" applyFont="1" applyFill="1" applyBorder="1" applyAlignment="1">
      <alignment horizontal="center" vertical="center" wrapText="1"/>
    </xf>
    <xf numFmtId="0" fontId="58" fillId="0" borderId="2" xfId="0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 vertical="center" wrapText="1"/>
    </xf>
    <xf numFmtId="166" fontId="0" fillId="0" borderId="2" xfId="0" applyNumberFormat="1" applyFont="1" applyFill="1" applyBorder="1"/>
    <xf numFmtId="168" fontId="1" fillId="0" borderId="2" xfId="0" applyNumberFormat="1" applyFont="1" applyFill="1" applyBorder="1"/>
    <xf numFmtId="4" fontId="51" fillId="0" borderId="2" xfId="0" applyNumberFormat="1" applyFont="1" applyFill="1" applyBorder="1"/>
    <xf numFmtId="2" fontId="12" fillId="0" borderId="2" xfId="0" applyNumberFormat="1" applyFont="1" applyFill="1" applyBorder="1" applyAlignment="1">
      <alignment horizontal="center" wrapText="1"/>
    </xf>
    <xf numFmtId="2" fontId="43" fillId="0" borderId="2" xfId="0" applyNumberFormat="1" applyFont="1" applyFill="1" applyBorder="1"/>
    <xf numFmtId="4" fontId="7" fillId="0" borderId="10" xfId="0" applyNumberFormat="1" applyFont="1" applyFill="1" applyBorder="1"/>
    <xf numFmtId="4" fontId="7" fillId="0" borderId="11" xfId="0" applyNumberFormat="1" applyFont="1" applyFill="1" applyBorder="1"/>
    <xf numFmtId="2" fontId="41" fillId="0" borderId="2" xfId="0" applyNumberFormat="1" applyFont="1" applyFill="1" applyBorder="1"/>
    <xf numFmtId="2" fontId="41" fillId="0" borderId="2" xfId="0" applyNumberFormat="1" applyFont="1" applyFill="1" applyBorder="1" applyAlignment="1">
      <alignment wrapText="1"/>
    </xf>
    <xf numFmtId="166" fontId="1" fillId="0" borderId="2" xfId="0" applyNumberFormat="1" applyFont="1" applyFill="1" applyBorder="1" applyAlignment="1">
      <alignment vertical="center"/>
    </xf>
    <xf numFmtId="167" fontId="1" fillId="0" borderId="2" xfId="0" applyNumberFormat="1" applyFont="1" applyFill="1" applyBorder="1"/>
    <xf numFmtId="4" fontId="59" fillId="0" borderId="2" xfId="0" applyNumberFormat="1" applyFont="1" applyFill="1" applyBorder="1"/>
    <xf numFmtId="49" fontId="56" fillId="0" borderId="2" xfId="0" applyNumberFormat="1" applyFont="1" applyFill="1" applyBorder="1" applyAlignment="1">
      <alignment wrapText="1"/>
    </xf>
    <xf numFmtId="4" fontId="56" fillId="0" borderId="2" xfId="0" applyNumberFormat="1" applyFont="1" applyFill="1" applyBorder="1"/>
    <xf numFmtId="4" fontId="56" fillId="0" borderId="2" xfId="0" applyNumberFormat="1" applyFont="1" applyFill="1" applyBorder="1" applyAlignment="1">
      <alignment wrapText="1"/>
    </xf>
    <xf numFmtId="168" fontId="0" fillId="0" borderId="0" xfId="0" applyNumberFormat="1" applyFill="1"/>
    <xf numFmtId="49" fontId="46" fillId="0" borderId="0" xfId="0" applyNumberFormat="1" applyFont="1" applyFill="1" applyAlignment="1">
      <alignment wrapText="1"/>
    </xf>
    <xf numFmtId="49" fontId="12" fillId="0" borderId="0" xfId="0" applyNumberFormat="1" applyFont="1" applyFill="1" applyAlignment="1">
      <alignment wrapText="1"/>
    </xf>
    <xf numFmtId="0" fontId="12" fillId="0" borderId="0" xfId="0" applyFont="1" applyFill="1"/>
    <xf numFmtId="0" fontId="12" fillId="0" borderId="0" xfId="0" applyFont="1" applyFill="1" applyAlignment="1">
      <alignment wrapText="1"/>
    </xf>
    <xf numFmtId="2" fontId="0" fillId="0" borderId="0" xfId="0" applyNumberFormat="1" applyFill="1" applyAlignment="1">
      <alignment wrapText="1"/>
    </xf>
    <xf numFmtId="0" fontId="43" fillId="0" borderId="0" xfId="0" applyFont="1" applyFill="1"/>
    <xf numFmtId="49" fontId="5" fillId="0" borderId="5" xfId="0" applyNumberFormat="1" applyFont="1" applyFill="1" applyBorder="1" applyAlignment="1">
      <alignment horizontal="center"/>
    </xf>
    <xf numFmtId="49" fontId="5" fillId="0" borderId="6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5" fillId="0" borderId="5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4" fontId="5" fillId="0" borderId="1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66" fontId="5" fillId="0" borderId="2" xfId="0" applyNumberFormat="1" applyFont="1" applyFill="1" applyBorder="1" applyAlignment="1">
      <alignment horizontal="center" vertical="center" wrapText="1"/>
    </xf>
    <xf numFmtId="166" fontId="5" fillId="0" borderId="2" xfId="0" applyNumberFormat="1" applyFont="1" applyFill="1" applyBorder="1" applyAlignment="1">
      <alignment vertical="center" wrapText="1"/>
    </xf>
    <xf numFmtId="4" fontId="5" fillId="0" borderId="2" xfId="0" applyNumberFormat="1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 wrapText="1"/>
    </xf>
    <xf numFmtId="49" fontId="5" fillId="0" borderId="2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wrapText="1"/>
    </xf>
    <xf numFmtId="49" fontId="4" fillId="0" borderId="2" xfId="0" applyNumberFormat="1" applyFont="1" applyFill="1" applyBorder="1" applyAlignment="1">
      <alignment horizontal="center"/>
    </xf>
    <xf numFmtId="49" fontId="58" fillId="0" borderId="2" xfId="0" applyNumberFormat="1" applyFont="1" applyFill="1" applyBorder="1" applyAlignment="1">
      <alignment horizontal="center" wrapText="1"/>
    </xf>
    <xf numFmtId="4" fontId="5" fillId="0" borderId="5" xfId="0" applyNumberFormat="1" applyFont="1" applyFill="1" applyBorder="1" applyAlignment="1">
      <alignment horizontal="center" vertical="center" wrapText="1"/>
    </xf>
    <xf numFmtId="4" fontId="5" fillId="0" borderId="6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66" fontId="5" fillId="0" borderId="4" xfId="0" applyNumberFormat="1" applyFont="1" applyFill="1" applyBorder="1" applyAlignment="1">
      <alignment horizontal="center" vertical="center" wrapText="1"/>
    </xf>
    <xf numFmtId="166" fontId="5" fillId="0" borderId="7" xfId="0" applyNumberFormat="1" applyFont="1" applyFill="1" applyBorder="1" applyAlignment="1">
      <alignment horizontal="center" vertical="center" wrapText="1"/>
    </xf>
    <xf numFmtId="166" fontId="5" fillId="0" borderId="3" xfId="0" applyNumberFormat="1" applyFont="1" applyFill="1" applyBorder="1" applyAlignment="1">
      <alignment horizontal="center" vertical="center" wrapText="1"/>
    </xf>
    <xf numFmtId="168" fontId="5" fillId="0" borderId="4" xfId="0" applyNumberFormat="1" applyFont="1" applyFill="1" applyBorder="1" applyAlignment="1">
      <alignment horizontal="center" vertical="center" wrapText="1"/>
    </xf>
    <xf numFmtId="168" fontId="5" fillId="0" borderId="7" xfId="0" applyNumberFormat="1" applyFont="1" applyFill="1" applyBorder="1" applyAlignment="1">
      <alignment horizontal="center" vertical="center" wrapText="1"/>
    </xf>
    <xf numFmtId="168" fontId="5" fillId="0" borderId="3" xfId="0" applyNumberFormat="1" applyFont="1" applyFill="1" applyBorder="1" applyAlignment="1">
      <alignment horizontal="center" vertical="center" wrapText="1"/>
    </xf>
    <xf numFmtId="49" fontId="37" fillId="0" borderId="2" xfId="0" applyNumberFormat="1" applyFont="1" applyFill="1" applyBorder="1" applyAlignment="1">
      <alignment horizontal="center" wrapText="1"/>
    </xf>
    <xf numFmtId="0" fontId="58" fillId="0" borderId="2" xfId="0" applyFont="1" applyFill="1" applyBorder="1" applyAlignment="1">
      <alignment horizontal="center" wrapText="1"/>
    </xf>
    <xf numFmtId="2" fontId="5" fillId="0" borderId="2" xfId="0" applyNumberFormat="1" applyFont="1" applyFill="1" applyBorder="1" applyAlignment="1">
      <alignment horizontal="center"/>
    </xf>
    <xf numFmtId="0" fontId="5" fillId="13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0" fontId="42" fillId="0" borderId="2" xfId="0" applyFont="1" applyFill="1" applyBorder="1" applyAlignment="1">
      <alignment horizontal="center"/>
    </xf>
    <xf numFmtId="49" fontId="5" fillId="11" borderId="2" xfId="0" applyNumberFormat="1" applyFont="1" applyFill="1" applyBorder="1" applyAlignment="1">
      <alignment horizontal="center"/>
    </xf>
    <xf numFmtId="4" fontId="5" fillId="11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wrapText="1"/>
    </xf>
    <xf numFmtId="4" fontId="5" fillId="5" borderId="2" xfId="0" applyNumberFormat="1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13" borderId="2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horizontal="center" wrapText="1"/>
    </xf>
    <xf numFmtId="0" fontId="5" fillId="11" borderId="5" xfId="0" applyFont="1" applyFill="1" applyBorder="1" applyAlignment="1">
      <alignment horizontal="center"/>
    </xf>
    <xf numFmtId="0" fontId="5" fillId="11" borderId="6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49" fontId="5" fillId="0" borderId="5" xfId="0" applyNumberFormat="1" applyFont="1" applyFill="1" applyBorder="1" applyAlignment="1">
      <alignment horizontal="center" wrapText="1"/>
    </xf>
    <xf numFmtId="49" fontId="5" fillId="0" borderId="6" xfId="0" applyNumberFormat="1" applyFont="1" applyFill="1" applyBorder="1" applyAlignment="1">
      <alignment horizontal="center" wrapText="1"/>
    </xf>
    <xf numFmtId="4" fontId="5" fillId="0" borderId="6" xfId="0" applyNumberFormat="1" applyFont="1" applyFill="1" applyBorder="1" applyAlignment="1">
      <alignment horizontal="center" wrapText="1"/>
    </xf>
    <xf numFmtId="4" fontId="5" fillId="0" borderId="4" xfId="0" applyNumberFormat="1" applyFont="1" applyFill="1" applyBorder="1" applyAlignment="1">
      <alignment horizontal="center"/>
    </xf>
    <xf numFmtId="4" fontId="5" fillId="0" borderId="3" xfId="0" applyNumberFormat="1" applyFont="1" applyFill="1" applyBorder="1" applyAlignment="1">
      <alignment horizontal="center"/>
    </xf>
    <xf numFmtId="2" fontId="5" fillId="0" borderId="4" xfId="0" applyNumberFormat="1" applyFont="1" applyFill="1" applyBorder="1" applyAlignment="1">
      <alignment horizontal="center"/>
    </xf>
    <xf numFmtId="2" fontId="5" fillId="0" borderId="3" xfId="0" applyNumberFormat="1" applyFont="1" applyFill="1" applyBorder="1" applyAlignment="1">
      <alignment horizontal="center"/>
    </xf>
    <xf numFmtId="49" fontId="5" fillId="0" borderId="4" xfId="0" applyNumberFormat="1" applyFont="1" applyFill="1" applyBorder="1" applyAlignment="1">
      <alignment horizontal="center" wrapText="1"/>
    </xf>
    <xf numFmtId="49" fontId="5" fillId="0" borderId="3" xfId="0" applyNumberFormat="1" applyFont="1" applyFill="1" applyBorder="1" applyAlignment="1">
      <alignment horizontal="center" wrapText="1"/>
    </xf>
    <xf numFmtId="4" fontId="3" fillId="0" borderId="2" xfId="0" applyNumberFormat="1" applyFont="1" applyFill="1" applyBorder="1" applyAlignment="1">
      <alignment horizontal="center"/>
    </xf>
    <xf numFmtId="2" fontId="5" fillId="2" borderId="5" xfId="0" applyNumberFormat="1" applyFont="1" applyFill="1" applyBorder="1" applyAlignment="1">
      <alignment horizontal="center"/>
    </xf>
    <xf numFmtId="2" fontId="5" fillId="2" borderId="6" xfId="0" applyNumberFormat="1" applyFont="1" applyFill="1" applyBorder="1" applyAlignment="1">
      <alignment horizontal="center"/>
    </xf>
    <xf numFmtId="2" fontId="5" fillId="2" borderId="1" xfId="0" applyNumberFormat="1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wrapText="1"/>
    </xf>
    <xf numFmtId="4" fontId="5" fillId="0" borderId="2" xfId="0" applyNumberFormat="1" applyFont="1" applyFill="1" applyBorder="1" applyAlignment="1">
      <alignment horizontal="center" wrapText="1"/>
    </xf>
    <xf numFmtId="2" fontId="5" fillId="0" borderId="4" xfId="0" applyNumberFormat="1" applyFont="1" applyFill="1" applyBorder="1" applyAlignment="1">
      <alignment horizontal="center" vertical="center" wrapText="1"/>
    </xf>
    <xf numFmtId="2" fontId="5" fillId="0" borderId="3" xfId="0" applyNumberFormat="1" applyFont="1" applyFill="1" applyBorder="1" applyAlignment="1">
      <alignment horizontal="center" vertical="center" wrapText="1"/>
    </xf>
    <xf numFmtId="2" fontId="5" fillId="13" borderId="5" xfId="0" applyNumberFormat="1" applyFont="1" applyFill="1" applyBorder="1" applyAlignment="1">
      <alignment horizontal="center"/>
    </xf>
    <xf numFmtId="2" fontId="5" fillId="13" borderId="6" xfId="0" applyNumberFormat="1" applyFont="1" applyFill="1" applyBorder="1" applyAlignment="1">
      <alignment horizontal="center"/>
    </xf>
    <xf numFmtId="2" fontId="5" fillId="13" borderId="1" xfId="0" applyNumberFormat="1" applyFont="1" applyFill="1" applyBorder="1" applyAlignment="1">
      <alignment horizontal="center"/>
    </xf>
    <xf numFmtId="4" fontId="5" fillId="0" borderId="4" xfId="0" applyNumberFormat="1" applyFont="1" applyFill="1" applyBorder="1" applyAlignment="1">
      <alignment horizontal="center" vertical="center" wrapText="1"/>
    </xf>
    <xf numFmtId="4" fontId="5" fillId="0" borderId="3" xfId="0" applyNumberFormat="1" applyFont="1" applyFill="1" applyBorder="1" applyAlignment="1">
      <alignment horizontal="center" vertical="center" wrapText="1"/>
    </xf>
    <xf numFmtId="2" fontId="32" fillId="0" borderId="2" xfId="0" applyNumberFormat="1" applyFont="1" applyFill="1" applyBorder="1" applyAlignment="1">
      <alignment horizontal="center"/>
    </xf>
    <xf numFmtId="2" fontId="5" fillId="13" borderId="2" xfId="0" applyNumberFormat="1" applyFont="1" applyFill="1" applyBorder="1" applyAlignment="1">
      <alignment horizontal="center" wrapText="1"/>
    </xf>
    <xf numFmtId="2" fontId="5" fillId="13" borderId="2" xfId="0" applyNumberFormat="1" applyFont="1" applyFill="1" applyBorder="1" applyAlignment="1">
      <alignment horizontal="center"/>
    </xf>
    <xf numFmtId="4" fontId="5" fillId="0" borderId="4" xfId="0" applyNumberFormat="1" applyFont="1" applyFill="1" applyBorder="1" applyAlignment="1">
      <alignment horizontal="center" wrapText="1"/>
    </xf>
    <xf numFmtId="4" fontId="5" fillId="0" borderId="3" xfId="0" applyNumberFormat="1" applyFont="1" applyFill="1" applyBorder="1" applyAlignment="1">
      <alignment horizontal="center" wrapText="1"/>
    </xf>
    <xf numFmtId="2" fontId="5" fillId="2" borderId="2" xfId="0" applyNumberFormat="1" applyFont="1" applyFill="1" applyBorder="1" applyAlignment="1">
      <alignment horizontal="center"/>
    </xf>
    <xf numFmtId="2" fontId="5" fillId="2" borderId="4" xfId="0" applyNumberFormat="1" applyFont="1" applyFill="1" applyBorder="1" applyAlignment="1">
      <alignment horizontal="center" wrapText="1"/>
    </xf>
    <xf numFmtId="2" fontId="5" fillId="2" borderId="3" xfId="0" applyNumberFormat="1" applyFont="1" applyFill="1" applyBorder="1" applyAlignment="1">
      <alignment horizontal="center" wrapText="1"/>
    </xf>
    <xf numFmtId="4" fontId="5" fillId="5" borderId="4" xfId="0" applyNumberFormat="1" applyFont="1" applyFill="1" applyBorder="1" applyAlignment="1">
      <alignment horizontal="center"/>
    </xf>
    <xf numFmtId="4" fontId="5" fillId="5" borderId="3" xfId="0" applyNumberFormat="1" applyFont="1" applyFill="1" applyBorder="1" applyAlignment="1">
      <alignment horizontal="center"/>
    </xf>
    <xf numFmtId="2" fontId="53" fillId="0" borderId="4" xfId="0" applyNumberFormat="1" applyFont="1" applyFill="1" applyBorder="1" applyAlignment="1">
      <alignment horizontal="center" wrapText="1"/>
    </xf>
    <xf numFmtId="2" fontId="53" fillId="0" borderId="3" xfId="0" applyNumberFormat="1" applyFont="1" applyFill="1" applyBorder="1" applyAlignment="1">
      <alignment horizontal="center" wrapText="1"/>
    </xf>
    <xf numFmtId="4" fontId="5" fillId="12" borderId="4" xfId="0" applyNumberFormat="1" applyFont="1" applyFill="1" applyBorder="1" applyAlignment="1">
      <alignment horizontal="center"/>
    </xf>
    <xf numFmtId="4" fontId="5" fillId="12" borderId="3" xfId="0" applyNumberFormat="1" applyFont="1" applyFill="1" applyBorder="1" applyAlignment="1">
      <alignment horizontal="center"/>
    </xf>
    <xf numFmtId="2" fontId="5" fillId="5" borderId="4" xfId="0" applyNumberFormat="1" applyFont="1" applyFill="1" applyBorder="1" applyAlignment="1">
      <alignment horizontal="center"/>
    </xf>
    <xf numFmtId="2" fontId="5" fillId="5" borderId="3" xfId="0" applyNumberFormat="1" applyFont="1" applyFill="1" applyBorder="1" applyAlignment="1">
      <alignment horizontal="center"/>
    </xf>
    <xf numFmtId="2" fontId="5" fillId="12" borderId="4" xfId="0" applyNumberFormat="1" applyFont="1" applyFill="1" applyBorder="1" applyAlignment="1">
      <alignment horizontal="center"/>
    </xf>
    <xf numFmtId="2" fontId="5" fillId="12" borderId="3" xfId="0" applyNumberFormat="1" applyFont="1" applyFill="1" applyBorder="1" applyAlignment="1">
      <alignment horizontal="center"/>
    </xf>
    <xf numFmtId="49" fontId="5" fillId="2" borderId="4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2" fontId="5" fillId="13" borderId="4" xfId="0" applyNumberFormat="1" applyFont="1" applyFill="1" applyBorder="1" applyAlignment="1">
      <alignment horizontal="center" wrapText="1"/>
    </xf>
    <xf numFmtId="2" fontId="5" fillId="13" borderId="3" xfId="0" applyNumberFormat="1" applyFont="1" applyFill="1" applyBorder="1" applyAlignment="1">
      <alignment horizontal="center" wrapText="1"/>
    </xf>
    <xf numFmtId="2" fontId="5" fillId="0" borderId="4" xfId="0" applyNumberFormat="1" applyFont="1" applyFill="1" applyBorder="1" applyAlignment="1">
      <alignment horizontal="center" wrapText="1"/>
    </xf>
    <xf numFmtId="2" fontId="5" fillId="0" borderId="3" xfId="0" applyNumberFormat="1" applyFont="1" applyFill="1" applyBorder="1" applyAlignment="1">
      <alignment horizontal="center" wrapText="1"/>
    </xf>
    <xf numFmtId="2" fontId="5" fillId="0" borderId="5" xfId="0" applyNumberFormat="1" applyFont="1" applyFill="1" applyBorder="1" applyAlignment="1">
      <alignment horizontal="center"/>
    </xf>
    <xf numFmtId="2" fontId="5" fillId="0" borderId="6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49" fontId="5" fillId="0" borderId="4" xfId="0" applyNumberFormat="1" applyFont="1" applyFill="1" applyBorder="1" applyAlignment="1">
      <alignment horizontal="center"/>
    </xf>
    <xf numFmtId="49" fontId="5" fillId="0" borderId="3" xfId="0" applyNumberFormat="1" applyFont="1" applyFill="1" applyBorder="1" applyAlignment="1">
      <alignment horizontal="center"/>
    </xf>
    <xf numFmtId="165" fontId="5" fillId="0" borderId="2" xfId="0" applyNumberFormat="1" applyFont="1" applyFill="1" applyBorder="1" applyAlignment="1">
      <alignment horizontal="center" vertical="center" wrapText="1"/>
    </xf>
    <xf numFmtId="165" fontId="5" fillId="0" borderId="4" xfId="0" applyNumberFormat="1" applyFont="1" applyFill="1" applyBorder="1" applyAlignment="1">
      <alignment horizontal="center" vertical="center" wrapText="1"/>
    </xf>
    <xf numFmtId="165" fontId="5" fillId="0" borderId="7" xfId="0" applyNumberFormat="1" applyFont="1" applyFill="1" applyBorder="1" applyAlignment="1">
      <alignment horizontal="center" vertical="center" wrapText="1"/>
    </xf>
    <xf numFmtId="165" fontId="5" fillId="0" borderId="3" xfId="0" applyNumberFormat="1" applyFont="1" applyFill="1" applyBorder="1" applyAlignment="1">
      <alignment horizontal="center" vertical="center" wrapText="1"/>
    </xf>
    <xf numFmtId="4" fontId="5" fillId="0" borderId="7" xfId="0" applyNumberFormat="1" applyFont="1" applyFill="1" applyBorder="1" applyAlignment="1">
      <alignment horizontal="center" vertical="center" wrapText="1"/>
    </xf>
    <xf numFmtId="166" fontId="5" fillId="0" borderId="5" xfId="0" applyNumberFormat="1" applyFont="1" applyFill="1" applyBorder="1" applyAlignment="1">
      <alignment horizontal="center" vertical="center" wrapText="1"/>
    </xf>
    <xf numFmtId="166" fontId="5" fillId="0" borderId="6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0" fillId="0" borderId="0" xfId="0" applyFill="1" applyAlignment="1">
      <alignment horizontal="right"/>
    </xf>
    <xf numFmtId="0" fontId="5" fillId="4" borderId="4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4" fontId="21" fillId="0" borderId="4" xfId="0" applyNumberFormat="1" applyFont="1" applyFill="1" applyBorder="1" applyAlignment="1">
      <alignment horizontal="center" vertical="center" wrapText="1"/>
    </xf>
    <xf numFmtId="4" fontId="21" fillId="0" borderId="3" xfId="0" applyNumberFormat="1" applyFont="1" applyFill="1" applyBorder="1" applyAlignment="1">
      <alignment horizontal="center" vertical="center" wrapText="1"/>
    </xf>
    <xf numFmtId="0" fontId="18" fillId="0" borderId="4" xfId="0" applyNumberFormat="1" applyFont="1" applyFill="1" applyBorder="1" applyAlignment="1">
      <alignment horizontal="center" vertical="center" wrapText="1"/>
    </xf>
    <xf numFmtId="0" fontId="18" fillId="0" borderId="3" xfId="0" applyNumberFormat="1" applyFont="1" applyFill="1" applyBorder="1" applyAlignment="1">
      <alignment horizontal="center" vertical="center" wrapText="1"/>
    </xf>
    <xf numFmtId="0" fontId="24" fillId="0" borderId="4" xfId="0" applyNumberFormat="1" applyFont="1" applyFill="1" applyBorder="1" applyAlignment="1">
      <alignment horizontal="center" vertical="center" wrapText="1"/>
    </xf>
    <xf numFmtId="0" fontId="24" fillId="0" borderId="3" xfId="0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/>
    </xf>
    <xf numFmtId="0" fontId="18" fillId="0" borderId="0" xfId="0" applyFont="1" applyFill="1" applyBorder="1" applyAlignment="1">
      <alignment horizontal="center" vertical="center" wrapText="1"/>
    </xf>
    <xf numFmtId="2" fontId="5" fillId="4" borderId="4" xfId="0" applyNumberFormat="1" applyFont="1" applyFill="1" applyBorder="1" applyAlignment="1">
      <alignment horizontal="center"/>
    </xf>
    <xf numFmtId="2" fontId="5" fillId="4" borderId="3" xfId="0" applyNumberFormat="1" applyFont="1" applyFill="1" applyBorder="1" applyAlignment="1">
      <alignment horizontal="center"/>
    </xf>
    <xf numFmtId="2" fontId="5" fillId="2" borderId="4" xfId="0" applyNumberFormat="1" applyFont="1" applyFill="1" applyBorder="1" applyAlignment="1">
      <alignment horizontal="center"/>
    </xf>
    <xf numFmtId="2" fontId="5" fillId="2" borderId="3" xfId="0" applyNumberFormat="1" applyFont="1" applyFill="1" applyBorder="1" applyAlignment="1">
      <alignment horizontal="center"/>
    </xf>
    <xf numFmtId="2" fontId="5" fillId="4" borderId="2" xfId="0" applyNumberFormat="1" applyFont="1" applyFill="1" applyBorder="1" applyAlignment="1">
      <alignment horizontal="center"/>
    </xf>
    <xf numFmtId="2" fontId="5" fillId="5" borderId="2" xfId="0" applyNumberFormat="1" applyFont="1" applyFill="1" applyBorder="1" applyAlignment="1">
      <alignment horizontal="center"/>
    </xf>
    <xf numFmtId="2" fontId="5" fillId="4" borderId="4" xfId="0" applyNumberFormat="1" applyFont="1" applyFill="1" applyBorder="1" applyAlignment="1">
      <alignment horizontal="center" vertical="center" wrapText="1"/>
    </xf>
    <xf numFmtId="2" fontId="5" fillId="4" borderId="7" xfId="0" applyNumberFormat="1" applyFont="1" applyFill="1" applyBorder="1" applyAlignment="1">
      <alignment horizontal="center" vertical="center" wrapText="1"/>
    </xf>
    <xf numFmtId="2" fontId="5" fillId="4" borderId="3" xfId="0" applyNumberFormat="1" applyFont="1" applyFill="1" applyBorder="1" applyAlignment="1">
      <alignment horizontal="center" vertical="center" wrapText="1"/>
    </xf>
    <xf numFmtId="2" fontId="5" fillId="3" borderId="4" xfId="0" applyNumberFormat="1" applyFont="1" applyFill="1" applyBorder="1" applyAlignment="1">
      <alignment horizontal="center" vertical="center" wrapText="1"/>
    </xf>
    <xf numFmtId="2" fontId="5" fillId="3" borderId="7" xfId="0" applyNumberFormat="1" applyFont="1" applyFill="1" applyBorder="1" applyAlignment="1">
      <alignment horizontal="center" vertical="center" wrapText="1"/>
    </xf>
    <xf numFmtId="2" fontId="5" fillId="3" borderId="3" xfId="0" applyNumberFormat="1" applyFont="1" applyFill="1" applyBorder="1" applyAlignment="1">
      <alignment horizontal="center" vertical="center" wrapText="1"/>
    </xf>
    <xf numFmtId="2" fontId="5" fillId="5" borderId="4" xfId="0" applyNumberFormat="1" applyFont="1" applyFill="1" applyBorder="1" applyAlignment="1">
      <alignment horizontal="center" vertical="center" wrapText="1"/>
    </xf>
    <xf numFmtId="2" fontId="5" fillId="5" borderId="7" xfId="0" applyNumberFormat="1" applyFont="1" applyFill="1" applyBorder="1" applyAlignment="1">
      <alignment horizontal="center" vertical="center" wrapText="1"/>
    </xf>
    <xf numFmtId="2" fontId="5" fillId="5" borderId="3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2" fontId="5" fillId="0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2" fillId="0" borderId="0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right"/>
    </xf>
    <xf numFmtId="49" fontId="47" fillId="0" borderId="5" xfId="0" applyNumberFormat="1" applyFont="1" applyFill="1" applyBorder="1" applyAlignment="1">
      <alignment horizontal="center"/>
    </xf>
    <xf numFmtId="49" fontId="47" fillId="0" borderId="6" xfId="0" applyNumberFormat="1" applyFont="1" applyFill="1" applyBorder="1" applyAlignment="1">
      <alignment horizontal="center"/>
    </xf>
    <xf numFmtId="49" fontId="47" fillId="0" borderId="1" xfId="0" applyNumberFormat="1" applyFont="1" applyFill="1" applyBorder="1" applyAlignment="1">
      <alignment horizontal="center"/>
    </xf>
    <xf numFmtId="4" fontId="47" fillId="0" borderId="2" xfId="0" applyNumberFormat="1" applyFont="1" applyFill="1" applyBorder="1" applyAlignment="1">
      <alignment horizontal="center"/>
    </xf>
    <xf numFmtId="0" fontId="47" fillId="0" borderId="2" xfId="0" applyFont="1" applyFill="1" applyBorder="1" applyAlignment="1">
      <alignment horizontal="center"/>
    </xf>
    <xf numFmtId="0" fontId="47" fillId="0" borderId="2" xfId="0" applyFont="1" applyFill="1" applyBorder="1" applyAlignment="1">
      <alignment horizontal="center" wrapText="1"/>
    </xf>
    <xf numFmtId="0" fontId="47" fillId="4" borderId="2" xfId="0" applyFont="1" applyFill="1" applyBorder="1" applyAlignment="1">
      <alignment horizontal="center"/>
    </xf>
    <xf numFmtId="49" fontId="47" fillId="0" borderId="2" xfId="0" applyNumberFormat="1" applyFont="1" applyFill="1" applyBorder="1" applyAlignment="1">
      <alignment horizontal="center"/>
    </xf>
    <xf numFmtId="49" fontId="47" fillId="0" borderId="2" xfId="0" applyNumberFormat="1" applyFont="1" applyFill="1" applyBorder="1" applyAlignment="1">
      <alignment horizontal="right"/>
    </xf>
    <xf numFmtId="2" fontId="47" fillId="0" borderId="2" xfId="0" applyNumberFormat="1" applyFont="1" applyFill="1" applyBorder="1" applyAlignment="1">
      <alignment horizontal="center"/>
    </xf>
    <xf numFmtId="0" fontId="47" fillId="2" borderId="2" xfId="0" applyFont="1" applyFill="1" applyBorder="1" applyAlignment="1">
      <alignment horizontal="center"/>
    </xf>
    <xf numFmtId="4" fontId="47" fillId="0" borderId="2" xfId="0" applyNumberFormat="1" applyFont="1" applyFill="1" applyBorder="1" applyAlignment="1">
      <alignment horizontal="center" vertical="center" wrapText="1"/>
    </xf>
    <xf numFmtId="0" fontId="47" fillId="0" borderId="5" xfId="0" applyFont="1" applyFill="1" applyBorder="1" applyAlignment="1">
      <alignment horizontal="center"/>
    </xf>
    <xf numFmtId="0" fontId="47" fillId="0" borderId="6" xfId="0" applyFont="1" applyFill="1" applyBorder="1" applyAlignment="1">
      <alignment horizontal="center"/>
    </xf>
    <xf numFmtId="0" fontId="47" fillId="0" borderId="1" xfId="0" applyFont="1" applyFill="1" applyBorder="1" applyAlignment="1">
      <alignment horizontal="center"/>
    </xf>
    <xf numFmtId="4" fontId="47" fillId="0" borderId="4" xfId="0" applyNumberFormat="1" applyFont="1" applyFill="1" applyBorder="1" applyAlignment="1">
      <alignment horizontal="center" vertical="center" wrapText="1"/>
    </xf>
    <xf numFmtId="4" fontId="47" fillId="0" borderId="7" xfId="0" applyNumberFormat="1" applyFont="1" applyFill="1" applyBorder="1" applyAlignment="1">
      <alignment horizontal="center" vertical="center" wrapText="1"/>
    </xf>
    <xf numFmtId="4" fontId="47" fillId="0" borderId="3" xfId="0" applyNumberFormat="1" applyFont="1" applyFill="1" applyBorder="1" applyAlignment="1">
      <alignment horizontal="center" vertical="center" wrapText="1"/>
    </xf>
    <xf numFmtId="0" fontId="45" fillId="0" borderId="0" xfId="0" applyFont="1" applyBorder="1" applyAlignment="1">
      <alignment horizontal="center" wrapText="1"/>
    </xf>
    <xf numFmtId="0" fontId="48" fillId="0" borderId="2" xfId="0" applyFont="1" applyFill="1" applyBorder="1" applyAlignment="1">
      <alignment horizontal="center"/>
    </xf>
    <xf numFmtId="2" fontId="47" fillId="0" borderId="2" xfId="0" applyNumberFormat="1" applyFont="1" applyFill="1" applyBorder="1" applyAlignment="1">
      <alignment vertical="center" wrapText="1"/>
    </xf>
    <xf numFmtId="0" fontId="47" fillId="0" borderId="4" xfId="0" applyFont="1" applyFill="1" applyBorder="1" applyAlignment="1">
      <alignment horizontal="center" vertical="center" wrapText="1"/>
    </xf>
    <xf numFmtId="0" fontId="47" fillId="0" borderId="7" xfId="0" applyFont="1" applyFill="1" applyBorder="1" applyAlignment="1">
      <alignment horizontal="center" vertical="center" wrapText="1"/>
    </xf>
    <xf numFmtId="0" fontId="47" fillId="0" borderId="3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7" fillId="2" borderId="7" xfId="0" applyFont="1" applyFill="1" applyBorder="1" applyAlignment="1">
      <alignment horizontal="center" vertical="center" wrapText="1"/>
    </xf>
    <xf numFmtId="0" fontId="47" fillId="2" borderId="3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textRotation="90" wrapText="1"/>
    </xf>
    <xf numFmtId="0" fontId="47" fillId="2" borderId="7" xfId="0" applyFont="1" applyFill="1" applyBorder="1" applyAlignment="1">
      <alignment horizontal="center" vertical="center" textRotation="90" wrapText="1"/>
    </xf>
    <xf numFmtId="0" fontId="47" fillId="2" borderId="3" xfId="0" applyFont="1" applyFill="1" applyBorder="1" applyAlignment="1">
      <alignment horizontal="center" vertical="center" textRotation="90" wrapText="1"/>
    </xf>
    <xf numFmtId="4" fontId="47" fillId="0" borderId="5" xfId="0" applyNumberFormat="1" applyFont="1" applyFill="1" applyBorder="1" applyAlignment="1">
      <alignment horizontal="center" vertical="center" wrapText="1"/>
    </xf>
    <xf numFmtId="4" fontId="47" fillId="0" borderId="6" xfId="0" applyNumberFormat="1" applyFont="1" applyFill="1" applyBorder="1" applyAlignment="1">
      <alignment horizontal="center" vertical="center" wrapText="1"/>
    </xf>
    <xf numFmtId="4" fontId="47" fillId="0" borderId="1" xfId="0" applyNumberFormat="1" applyFont="1" applyFill="1" applyBorder="1" applyAlignment="1">
      <alignment horizontal="center" vertical="center" wrapText="1"/>
    </xf>
    <xf numFmtId="4" fontId="47" fillId="10" borderId="2" xfId="0" applyNumberFormat="1" applyFont="1" applyFill="1" applyBorder="1" applyAlignment="1">
      <alignment horizontal="center" vertical="center" wrapText="1"/>
    </xf>
    <xf numFmtId="166" fontId="47" fillId="0" borderId="4" xfId="0" applyNumberFormat="1" applyFont="1" applyFill="1" applyBorder="1" applyAlignment="1">
      <alignment horizontal="center" vertical="center" wrapText="1"/>
    </xf>
    <xf numFmtId="166" fontId="47" fillId="0" borderId="7" xfId="0" applyNumberFormat="1" applyFont="1" applyFill="1" applyBorder="1" applyAlignment="1">
      <alignment horizontal="center" vertical="center" wrapText="1"/>
    </xf>
    <xf numFmtId="166" fontId="47" fillId="0" borderId="3" xfId="0" applyNumberFormat="1" applyFont="1" applyFill="1" applyBorder="1" applyAlignment="1">
      <alignment horizontal="center" vertical="center" wrapText="1"/>
    </xf>
  </cellXfs>
  <cellStyles count="3">
    <cellStyle name="Excel Built-in Normal 2" xfId="1"/>
    <cellStyle name="Обычный" xfId="0" builtinId="0"/>
    <cellStyle name="Обычный_ДЕПАРТАМЕНТ 2011" xfId="2"/>
  </cellStyles>
  <dxfs count="0"/>
  <tableStyles count="0" defaultTableStyle="TableStyleMedium9" defaultPivotStyle="PivotStyleLight16"/>
  <colors>
    <mruColors>
      <color rgb="FFF7FED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6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1" Type="http://schemas.openxmlformats.org/officeDocument/2006/relationships/styles" Target="styles.xml"/><Relationship Id="rId5" Type="http://schemas.openxmlformats.org/officeDocument/2006/relationships/worksheet" Target="worksheets/sheet4.xml"/><Relationship Id="rId10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КИРОВСКИЙ!$E$1:$E$5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№ дома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КИРОВСКИЙ!$E$6:$E$383</c:f>
              <c:numCache>
                <c:formatCode>General</c:formatCode>
                <c:ptCount val="378"/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10</c:v>
                </c:pt>
                <c:pt idx="5">
                  <c:v>7</c:v>
                </c:pt>
                <c:pt idx="6">
                  <c:v>8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43</c:v>
                </c:pt>
                <c:pt idx="12">
                  <c:v>0</c:v>
                </c:pt>
                <c:pt idx="13">
                  <c:v>58</c:v>
                </c:pt>
                <c:pt idx="14">
                  <c:v>0</c:v>
                </c:pt>
                <c:pt idx="15">
                  <c:v>119</c:v>
                </c:pt>
                <c:pt idx="16">
                  <c:v>0</c:v>
                </c:pt>
                <c:pt idx="17">
                  <c:v>42</c:v>
                </c:pt>
                <c:pt idx="18">
                  <c:v>8</c:v>
                </c:pt>
                <c:pt idx="19">
                  <c:v>10</c:v>
                </c:pt>
                <c:pt idx="20">
                  <c:v>28</c:v>
                </c:pt>
                <c:pt idx="21">
                  <c:v>34</c:v>
                </c:pt>
                <c:pt idx="22">
                  <c:v>23</c:v>
                </c:pt>
                <c:pt idx="23">
                  <c:v>0</c:v>
                </c:pt>
                <c:pt idx="24">
                  <c:v>25</c:v>
                </c:pt>
                <c:pt idx="25">
                  <c:v>27</c:v>
                </c:pt>
                <c:pt idx="26">
                  <c:v>29</c:v>
                </c:pt>
                <c:pt idx="27">
                  <c:v>31</c:v>
                </c:pt>
                <c:pt idx="28">
                  <c:v>33</c:v>
                </c:pt>
                <c:pt idx="29">
                  <c:v>0</c:v>
                </c:pt>
                <c:pt idx="30">
                  <c:v>35</c:v>
                </c:pt>
                <c:pt idx="31">
                  <c:v>37</c:v>
                </c:pt>
                <c:pt idx="32">
                  <c:v>0</c:v>
                </c:pt>
                <c:pt idx="33">
                  <c:v>43</c:v>
                </c:pt>
                <c:pt idx="34">
                  <c:v>45</c:v>
                </c:pt>
                <c:pt idx="35">
                  <c:v>2</c:v>
                </c:pt>
                <c:pt idx="36">
                  <c:v>0</c:v>
                </c:pt>
                <c:pt idx="37">
                  <c:v>4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15</c:v>
                </c:pt>
                <c:pt idx="45">
                  <c:v>16</c:v>
                </c:pt>
                <c:pt idx="46">
                  <c:v>19</c:v>
                </c:pt>
                <c:pt idx="47">
                  <c:v>20</c:v>
                </c:pt>
                <c:pt idx="48">
                  <c:v>21</c:v>
                </c:pt>
                <c:pt idx="49">
                  <c:v>104</c:v>
                </c:pt>
                <c:pt idx="50">
                  <c:v>106</c:v>
                </c:pt>
                <c:pt idx="51">
                  <c:v>0</c:v>
                </c:pt>
                <c:pt idx="52">
                  <c:v>120</c:v>
                </c:pt>
                <c:pt idx="53">
                  <c:v>0</c:v>
                </c:pt>
                <c:pt idx="54">
                  <c:v>126</c:v>
                </c:pt>
                <c:pt idx="55">
                  <c:v>3</c:v>
                </c:pt>
                <c:pt idx="56">
                  <c:v>7</c:v>
                </c:pt>
                <c:pt idx="57">
                  <c:v>24</c:v>
                </c:pt>
                <c:pt idx="58">
                  <c:v>0</c:v>
                </c:pt>
                <c:pt idx="59">
                  <c:v>4</c:v>
                </c:pt>
                <c:pt idx="60">
                  <c:v>6</c:v>
                </c:pt>
                <c:pt idx="61">
                  <c:v>8</c:v>
                </c:pt>
                <c:pt idx="62">
                  <c:v>153</c:v>
                </c:pt>
                <c:pt idx="63">
                  <c:v>155</c:v>
                </c:pt>
                <c:pt idx="64">
                  <c:v>167</c:v>
                </c:pt>
                <c:pt idx="65">
                  <c:v>169</c:v>
                </c:pt>
                <c:pt idx="66">
                  <c:v>17</c:v>
                </c:pt>
                <c:pt idx="67">
                  <c:v>0</c:v>
                </c:pt>
                <c:pt idx="68">
                  <c:v>21</c:v>
                </c:pt>
                <c:pt idx="69">
                  <c:v>0</c:v>
                </c:pt>
                <c:pt idx="70">
                  <c:v>33</c:v>
                </c:pt>
                <c:pt idx="71">
                  <c:v>35</c:v>
                </c:pt>
                <c:pt idx="72">
                  <c:v>38</c:v>
                </c:pt>
                <c:pt idx="73">
                  <c:v>40</c:v>
                </c:pt>
                <c:pt idx="74">
                  <c:v>41</c:v>
                </c:pt>
                <c:pt idx="75">
                  <c:v>46</c:v>
                </c:pt>
                <c:pt idx="76">
                  <c:v>47</c:v>
                </c:pt>
                <c:pt idx="77">
                  <c:v>48</c:v>
                </c:pt>
                <c:pt idx="78">
                  <c:v>54</c:v>
                </c:pt>
                <c:pt idx="79">
                  <c:v>56</c:v>
                </c:pt>
                <c:pt idx="80">
                  <c:v>0</c:v>
                </c:pt>
                <c:pt idx="81">
                  <c:v>60</c:v>
                </c:pt>
                <c:pt idx="82">
                  <c:v>62</c:v>
                </c:pt>
                <c:pt idx="83">
                  <c:v>0</c:v>
                </c:pt>
                <c:pt idx="84">
                  <c:v>0</c:v>
                </c:pt>
                <c:pt idx="85">
                  <c:v>68</c:v>
                </c:pt>
                <c:pt idx="86">
                  <c:v>70</c:v>
                </c:pt>
                <c:pt idx="87">
                  <c:v>72</c:v>
                </c:pt>
                <c:pt idx="88">
                  <c:v>0</c:v>
                </c:pt>
                <c:pt idx="89">
                  <c:v>0</c:v>
                </c:pt>
                <c:pt idx="90">
                  <c:v>84</c:v>
                </c:pt>
                <c:pt idx="91">
                  <c:v>86</c:v>
                </c:pt>
                <c:pt idx="92">
                  <c:v>88</c:v>
                </c:pt>
                <c:pt idx="93">
                  <c:v>0</c:v>
                </c:pt>
                <c:pt idx="94">
                  <c:v>0</c:v>
                </c:pt>
                <c:pt idx="95">
                  <c:v>90</c:v>
                </c:pt>
                <c:pt idx="96">
                  <c:v>0</c:v>
                </c:pt>
                <c:pt idx="97">
                  <c:v>0</c:v>
                </c:pt>
                <c:pt idx="98">
                  <c:v>92</c:v>
                </c:pt>
                <c:pt idx="99">
                  <c:v>94</c:v>
                </c:pt>
                <c:pt idx="100">
                  <c:v>96</c:v>
                </c:pt>
                <c:pt idx="101">
                  <c:v>138</c:v>
                </c:pt>
                <c:pt idx="102">
                  <c:v>140</c:v>
                </c:pt>
                <c:pt idx="103">
                  <c:v>144</c:v>
                </c:pt>
                <c:pt idx="104">
                  <c:v>150</c:v>
                </c:pt>
                <c:pt idx="105">
                  <c:v>154</c:v>
                </c:pt>
                <c:pt idx="106">
                  <c:v>158</c:v>
                </c:pt>
                <c:pt idx="107">
                  <c:v>165</c:v>
                </c:pt>
                <c:pt idx="108">
                  <c:v>167</c:v>
                </c:pt>
                <c:pt idx="109">
                  <c:v>169</c:v>
                </c:pt>
                <c:pt idx="110">
                  <c:v>171</c:v>
                </c:pt>
                <c:pt idx="111">
                  <c:v>173</c:v>
                </c:pt>
                <c:pt idx="112">
                  <c:v>179</c:v>
                </c:pt>
                <c:pt idx="113">
                  <c:v>0</c:v>
                </c:pt>
                <c:pt idx="114">
                  <c:v>181</c:v>
                </c:pt>
                <c:pt idx="115">
                  <c:v>185</c:v>
                </c:pt>
                <c:pt idx="116">
                  <c:v>0</c:v>
                </c:pt>
                <c:pt idx="117">
                  <c:v>189</c:v>
                </c:pt>
                <c:pt idx="118">
                  <c:v>191</c:v>
                </c:pt>
                <c:pt idx="119">
                  <c:v>195</c:v>
                </c:pt>
                <c:pt idx="120">
                  <c:v>1</c:v>
                </c:pt>
                <c:pt idx="121">
                  <c:v>3</c:v>
                </c:pt>
                <c:pt idx="122">
                  <c:v>4</c:v>
                </c:pt>
                <c:pt idx="123">
                  <c:v>5</c:v>
                </c:pt>
                <c:pt idx="124">
                  <c:v>18</c:v>
                </c:pt>
                <c:pt idx="125">
                  <c:v>0</c:v>
                </c:pt>
                <c:pt idx="126">
                  <c:v>2</c:v>
                </c:pt>
                <c:pt idx="127">
                  <c:v>10</c:v>
                </c:pt>
                <c:pt idx="128">
                  <c:v>0</c:v>
                </c:pt>
                <c:pt idx="129">
                  <c:v>0</c:v>
                </c:pt>
                <c:pt idx="130">
                  <c:v>51</c:v>
                </c:pt>
                <c:pt idx="131">
                  <c:v>53</c:v>
                </c:pt>
                <c:pt idx="132">
                  <c:v>55</c:v>
                </c:pt>
                <c:pt idx="133">
                  <c:v>57</c:v>
                </c:pt>
                <c:pt idx="134">
                  <c:v>59</c:v>
                </c:pt>
                <c:pt idx="135">
                  <c:v>111</c:v>
                </c:pt>
                <c:pt idx="136">
                  <c:v>125</c:v>
                </c:pt>
                <c:pt idx="137">
                  <c:v>127</c:v>
                </c:pt>
                <c:pt idx="138">
                  <c:v>129</c:v>
                </c:pt>
                <c:pt idx="139">
                  <c:v>32</c:v>
                </c:pt>
                <c:pt idx="140">
                  <c:v>79</c:v>
                </c:pt>
                <c:pt idx="141">
                  <c:v>280</c:v>
                </c:pt>
                <c:pt idx="142">
                  <c:v>324</c:v>
                </c:pt>
                <c:pt idx="143">
                  <c:v>326</c:v>
                </c:pt>
                <c:pt idx="144">
                  <c:v>48</c:v>
                </c:pt>
                <c:pt idx="145">
                  <c:v>54</c:v>
                </c:pt>
                <c:pt idx="146">
                  <c:v>60</c:v>
                </c:pt>
                <c:pt idx="147">
                  <c:v>0</c:v>
                </c:pt>
                <c:pt idx="148">
                  <c:v>123</c:v>
                </c:pt>
                <c:pt idx="149">
                  <c:v>125</c:v>
                </c:pt>
                <c:pt idx="150">
                  <c:v>127</c:v>
                </c:pt>
                <c:pt idx="151">
                  <c:v>7</c:v>
                </c:pt>
                <c:pt idx="152">
                  <c:v>8</c:v>
                </c:pt>
                <c:pt idx="153">
                  <c:v>0</c:v>
                </c:pt>
                <c:pt idx="154">
                  <c:v>34</c:v>
                </c:pt>
                <c:pt idx="155">
                  <c:v>35</c:v>
                </c:pt>
                <c:pt idx="156">
                  <c:v>36</c:v>
                </c:pt>
                <c:pt idx="157">
                  <c:v>37</c:v>
                </c:pt>
                <c:pt idx="158">
                  <c:v>38</c:v>
                </c:pt>
                <c:pt idx="159">
                  <c:v>40</c:v>
                </c:pt>
                <c:pt idx="160">
                  <c:v>46</c:v>
                </c:pt>
                <c:pt idx="161">
                  <c:v>48</c:v>
                </c:pt>
                <c:pt idx="162">
                  <c:v>50</c:v>
                </c:pt>
                <c:pt idx="163">
                  <c:v>0</c:v>
                </c:pt>
                <c:pt idx="164">
                  <c:v>0</c:v>
                </c:pt>
                <c:pt idx="165">
                  <c:v>58</c:v>
                </c:pt>
                <c:pt idx="166">
                  <c:v>60</c:v>
                </c:pt>
                <c:pt idx="167">
                  <c:v>62</c:v>
                </c:pt>
                <c:pt idx="168">
                  <c:v>0</c:v>
                </c:pt>
                <c:pt idx="169">
                  <c:v>0</c:v>
                </c:pt>
                <c:pt idx="170">
                  <c:v>47</c:v>
                </c:pt>
                <c:pt idx="171">
                  <c:v>3</c:v>
                </c:pt>
                <c:pt idx="172">
                  <c:v>5</c:v>
                </c:pt>
                <c:pt idx="173">
                  <c:v>7</c:v>
                </c:pt>
                <c:pt idx="174">
                  <c:v>0</c:v>
                </c:pt>
                <c:pt idx="175">
                  <c:v>16</c:v>
                </c:pt>
                <c:pt idx="176">
                  <c:v>18</c:v>
                </c:pt>
                <c:pt idx="177">
                  <c:v>0</c:v>
                </c:pt>
                <c:pt idx="178">
                  <c:v>145</c:v>
                </c:pt>
                <c:pt idx="179">
                  <c:v>161</c:v>
                </c:pt>
                <c:pt idx="180">
                  <c:v>163</c:v>
                </c:pt>
                <c:pt idx="181">
                  <c:v>165</c:v>
                </c:pt>
                <c:pt idx="182">
                  <c:v>167</c:v>
                </c:pt>
                <c:pt idx="183">
                  <c:v>6</c:v>
                </c:pt>
                <c:pt idx="184">
                  <c:v>15</c:v>
                </c:pt>
                <c:pt idx="185">
                  <c:v>20</c:v>
                </c:pt>
                <c:pt idx="186">
                  <c:v>25</c:v>
                </c:pt>
                <c:pt idx="187">
                  <c:v>29</c:v>
                </c:pt>
                <c:pt idx="188">
                  <c:v>30</c:v>
                </c:pt>
                <c:pt idx="189">
                  <c:v>31</c:v>
                </c:pt>
                <c:pt idx="190">
                  <c:v>33</c:v>
                </c:pt>
                <c:pt idx="191">
                  <c:v>34</c:v>
                </c:pt>
                <c:pt idx="192">
                  <c:v>35</c:v>
                </c:pt>
                <c:pt idx="193">
                  <c:v>36</c:v>
                </c:pt>
                <c:pt idx="194">
                  <c:v>37</c:v>
                </c:pt>
                <c:pt idx="195">
                  <c:v>1</c:v>
                </c:pt>
                <c:pt idx="196">
                  <c:v>0</c:v>
                </c:pt>
                <c:pt idx="197">
                  <c:v>5</c:v>
                </c:pt>
                <c:pt idx="198">
                  <c:v>8</c:v>
                </c:pt>
                <c:pt idx="199">
                  <c:v>12</c:v>
                </c:pt>
                <c:pt idx="200">
                  <c:v>100</c:v>
                </c:pt>
                <c:pt idx="201">
                  <c:v>101</c:v>
                </c:pt>
                <c:pt idx="202">
                  <c:v>103</c:v>
                </c:pt>
                <c:pt idx="203">
                  <c:v>109</c:v>
                </c:pt>
                <c:pt idx="204">
                  <c:v>4</c:v>
                </c:pt>
                <c:pt idx="205">
                  <c:v>5</c:v>
                </c:pt>
                <c:pt idx="206">
                  <c:v>6</c:v>
                </c:pt>
                <c:pt idx="207">
                  <c:v>7</c:v>
                </c:pt>
                <c:pt idx="208">
                  <c:v>8</c:v>
                </c:pt>
                <c:pt idx="209">
                  <c:v>4</c:v>
                </c:pt>
                <c:pt idx="210">
                  <c:v>10</c:v>
                </c:pt>
                <c:pt idx="211">
                  <c:v>12</c:v>
                </c:pt>
                <c:pt idx="212">
                  <c:v>1</c:v>
                </c:pt>
                <c:pt idx="213">
                  <c:v>2</c:v>
                </c:pt>
                <c:pt idx="214">
                  <c:v>3</c:v>
                </c:pt>
                <c:pt idx="215">
                  <c:v>4</c:v>
                </c:pt>
                <c:pt idx="216">
                  <c:v>5</c:v>
                </c:pt>
                <c:pt idx="217">
                  <c:v>6</c:v>
                </c:pt>
                <c:pt idx="218">
                  <c:v>7</c:v>
                </c:pt>
                <c:pt idx="219">
                  <c:v>121</c:v>
                </c:pt>
                <c:pt idx="220">
                  <c:v>0</c:v>
                </c:pt>
                <c:pt idx="221">
                  <c:v>132</c:v>
                </c:pt>
                <c:pt idx="222">
                  <c:v>0</c:v>
                </c:pt>
                <c:pt idx="223">
                  <c:v>4</c:v>
                </c:pt>
                <c:pt idx="224">
                  <c:v>8</c:v>
                </c:pt>
                <c:pt idx="225">
                  <c:v>0</c:v>
                </c:pt>
                <c:pt idx="226">
                  <c:v>72</c:v>
                </c:pt>
                <c:pt idx="227">
                  <c:v>74</c:v>
                </c:pt>
                <c:pt idx="228">
                  <c:v>78</c:v>
                </c:pt>
                <c:pt idx="229">
                  <c:v>80</c:v>
                </c:pt>
                <c:pt idx="230">
                  <c:v>87</c:v>
                </c:pt>
                <c:pt idx="231">
                  <c:v>93</c:v>
                </c:pt>
                <c:pt idx="232">
                  <c:v>95</c:v>
                </c:pt>
                <c:pt idx="233">
                  <c:v>97</c:v>
                </c:pt>
                <c:pt idx="234">
                  <c:v>99</c:v>
                </c:pt>
                <c:pt idx="235">
                  <c:v>0</c:v>
                </c:pt>
                <c:pt idx="236">
                  <c:v>115</c:v>
                </c:pt>
                <c:pt idx="237">
                  <c:v>140</c:v>
                </c:pt>
                <c:pt idx="238">
                  <c:v>144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157</c:v>
                </c:pt>
                <c:pt idx="243">
                  <c:v>0</c:v>
                </c:pt>
                <c:pt idx="244">
                  <c:v>166</c:v>
                </c:pt>
                <c:pt idx="245">
                  <c:v>168</c:v>
                </c:pt>
                <c:pt idx="246">
                  <c:v>170</c:v>
                </c:pt>
                <c:pt idx="247">
                  <c:v>0</c:v>
                </c:pt>
                <c:pt idx="248">
                  <c:v>176</c:v>
                </c:pt>
                <c:pt idx="249">
                  <c:v>0</c:v>
                </c:pt>
                <c:pt idx="250">
                  <c:v>0</c:v>
                </c:pt>
                <c:pt idx="251">
                  <c:v>15</c:v>
                </c:pt>
                <c:pt idx="252">
                  <c:v>19</c:v>
                </c:pt>
                <c:pt idx="253">
                  <c:v>21</c:v>
                </c:pt>
                <c:pt idx="254">
                  <c:v>23</c:v>
                </c:pt>
                <c:pt idx="255">
                  <c:v>25</c:v>
                </c:pt>
                <c:pt idx="256">
                  <c:v>0</c:v>
                </c:pt>
                <c:pt idx="257">
                  <c:v>34</c:v>
                </c:pt>
                <c:pt idx="258">
                  <c:v>38</c:v>
                </c:pt>
                <c:pt idx="259">
                  <c:v>40</c:v>
                </c:pt>
                <c:pt idx="260">
                  <c:v>48</c:v>
                </c:pt>
                <c:pt idx="261">
                  <c:v>0</c:v>
                </c:pt>
                <c:pt idx="262">
                  <c:v>54</c:v>
                </c:pt>
                <c:pt idx="263">
                  <c:v>152</c:v>
                </c:pt>
                <c:pt idx="264">
                  <c:v>156</c:v>
                </c:pt>
                <c:pt idx="265">
                  <c:v>158</c:v>
                </c:pt>
                <c:pt idx="266">
                  <c:v>11</c:v>
                </c:pt>
                <c:pt idx="267">
                  <c:v>33</c:v>
                </c:pt>
                <c:pt idx="268">
                  <c:v>36</c:v>
                </c:pt>
                <c:pt idx="269">
                  <c:v>0</c:v>
                </c:pt>
                <c:pt idx="270">
                  <c:v>38</c:v>
                </c:pt>
                <c:pt idx="271">
                  <c:v>42</c:v>
                </c:pt>
                <c:pt idx="272">
                  <c:v>0</c:v>
                </c:pt>
                <c:pt idx="273">
                  <c:v>46</c:v>
                </c:pt>
                <c:pt idx="274">
                  <c:v>52</c:v>
                </c:pt>
                <c:pt idx="275">
                  <c:v>56</c:v>
                </c:pt>
                <c:pt idx="276">
                  <c:v>58</c:v>
                </c:pt>
                <c:pt idx="277">
                  <c:v>0</c:v>
                </c:pt>
                <c:pt idx="278">
                  <c:v>62</c:v>
                </c:pt>
                <c:pt idx="279">
                  <c:v>63</c:v>
                </c:pt>
                <c:pt idx="280">
                  <c:v>64</c:v>
                </c:pt>
                <c:pt idx="281">
                  <c:v>66</c:v>
                </c:pt>
                <c:pt idx="282">
                  <c:v>68</c:v>
                </c:pt>
                <c:pt idx="283">
                  <c:v>0</c:v>
                </c:pt>
                <c:pt idx="284">
                  <c:v>70</c:v>
                </c:pt>
                <c:pt idx="285">
                  <c:v>72</c:v>
                </c:pt>
                <c:pt idx="286">
                  <c:v>76</c:v>
                </c:pt>
                <c:pt idx="287">
                  <c:v>94</c:v>
                </c:pt>
                <c:pt idx="288">
                  <c:v>96</c:v>
                </c:pt>
                <c:pt idx="289">
                  <c:v>102</c:v>
                </c:pt>
                <c:pt idx="290">
                  <c:v>104</c:v>
                </c:pt>
                <c:pt idx="291">
                  <c:v>112</c:v>
                </c:pt>
                <c:pt idx="292">
                  <c:v>114</c:v>
                </c:pt>
                <c:pt idx="293">
                  <c:v>116</c:v>
                </c:pt>
                <c:pt idx="294">
                  <c:v>117</c:v>
                </c:pt>
                <c:pt idx="295">
                  <c:v>118</c:v>
                </c:pt>
                <c:pt idx="296">
                  <c:v>119</c:v>
                </c:pt>
                <c:pt idx="297">
                  <c:v>141</c:v>
                </c:pt>
                <c:pt idx="298">
                  <c:v>181</c:v>
                </c:pt>
                <c:pt idx="299">
                  <c:v>183</c:v>
                </c:pt>
                <c:pt idx="300">
                  <c:v>185</c:v>
                </c:pt>
                <c:pt idx="301">
                  <c:v>224</c:v>
                </c:pt>
                <c:pt idx="302">
                  <c:v>132</c:v>
                </c:pt>
                <c:pt idx="303">
                  <c:v>287</c:v>
                </c:pt>
                <c:pt idx="304">
                  <c:v>8</c:v>
                </c:pt>
                <c:pt idx="305">
                  <c:v>0</c:v>
                </c:pt>
                <c:pt idx="306">
                  <c:v>137</c:v>
                </c:pt>
                <c:pt idx="307">
                  <c:v>56</c:v>
                </c:pt>
                <c:pt idx="308">
                  <c:v>60</c:v>
                </c:pt>
                <c:pt idx="309">
                  <c:v>0</c:v>
                </c:pt>
                <c:pt idx="310">
                  <c:v>65</c:v>
                </c:pt>
                <c:pt idx="311">
                  <c:v>74</c:v>
                </c:pt>
                <c:pt idx="312">
                  <c:v>76</c:v>
                </c:pt>
                <c:pt idx="313">
                  <c:v>0</c:v>
                </c:pt>
                <c:pt idx="314">
                  <c:v>0</c:v>
                </c:pt>
                <c:pt idx="315">
                  <c:v>2</c:v>
                </c:pt>
                <c:pt idx="316">
                  <c:v>3</c:v>
                </c:pt>
                <c:pt idx="317">
                  <c:v>4</c:v>
                </c:pt>
                <c:pt idx="318">
                  <c:v>6</c:v>
                </c:pt>
                <c:pt idx="319">
                  <c:v>8</c:v>
                </c:pt>
                <c:pt idx="320">
                  <c:v>10</c:v>
                </c:pt>
                <c:pt idx="321">
                  <c:v>12</c:v>
                </c:pt>
                <c:pt idx="322">
                  <c:v>0</c:v>
                </c:pt>
                <c:pt idx="323">
                  <c:v>11</c:v>
                </c:pt>
                <c:pt idx="324">
                  <c:v>13</c:v>
                </c:pt>
                <c:pt idx="325">
                  <c:v>12</c:v>
                </c:pt>
                <c:pt idx="326">
                  <c:v>7</c:v>
                </c:pt>
                <c:pt idx="327">
                  <c:v>9</c:v>
                </c:pt>
                <c:pt idx="328">
                  <c:v>175</c:v>
                </c:pt>
                <c:pt idx="329">
                  <c:v>179</c:v>
                </c:pt>
                <c:pt idx="330">
                  <c:v>0</c:v>
                </c:pt>
                <c:pt idx="331">
                  <c:v>185</c:v>
                </c:pt>
                <c:pt idx="332">
                  <c:v>0</c:v>
                </c:pt>
                <c:pt idx="333">
                  <c:v>204</c:v>
                </c:pt>
                <c:pt idx="334">
                  <c:v>0</c:v>
                </c:pt>
                <c:pt idx="335">
                  <c:v>0</c:v>
                </c:pt>
                <c:pt idx="336">
                  <c:v>43</c:v>
                </c:pt>
                <c:pt idx="337">
                  <c:v>0</c:v>
                </c:pt>
                <c:pt idx="338">
                  <c:v>0</c:v>
                </c:pt>
                <c:pt idx="339">
                  <c:v>20</c:v>
                </c:pt>
                <c:pt idx="340">
                  <c:v>22</c:v>
                </c:pt>
                <c:pt idx="341">
                  <c:v>24</c:v>
                </c:pt>
                <c:pt idx="342">
                  <c:v>26</c:v>
                </c:pt>
                <c:pt idx="343">
                  <c:v>28</c:v>
                </c:pt>
                <c:pt idx="344">
                  <c:v>47</c:v>
                </c:pt>
                <c:pt idx="345">
                  <c:v>0</c:v>
                </c:pt>
                <c:pt idx="346">
                  <c:v>0</c:v>
                </c:pt>
                <c:pt idx="347">
                  <c:v>51</c:v>
                </c:pt>
                <c:pt idx="348">
                  <c:v>0</c:v>
                </c:pt>
                <c:pt idx="349">
                  <c:v>52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56</c:v>
                </c:pt>
                <c:pt idx="354">
                  <c:v>0</c:v>
                </c:pt>
                <c:pt idx="355">
                  <c:v>60</c:v>
                </c:pt>
                <c:pt idx="356">
                  <c:v>62</c:v>
                </c:pt>
                <c:pt idx="357">
                  <c:v>0</c:v>
                </c:pt>
                <c:pt idx="358">
                  <c:v>66</c:v>
                </c:pt>
                <c:pt idx="359">
                  <c:v>0</c:v>
                </c:pt>
                <c:pt idx="360">
                  <c:v>137</c:v>
                </c:pt>
                <c:pt idx="361">
                  <c:v>138</c:v>
                </c:pt>
                <c:pt idx="362">
                  <c:v>0</c:v>
                </c:pt>
                <c:pt idx="363">
                  <c:v>0</c:v>
                </c:pt>
                <c:pt idx="364">
                  <c:v>143</c:v>
                </c:pt>
                <c:pt idx="365">
                  <c:v>147</c:v>
                </c:pt>
                <c:pt idx="366">
                  <c:v>155</c:v>
                </c:pt>
                <c:pt idx="367">
                  <c:v>0</c:v>
                </c:pt>
                <c:pt idx="368">
                  <c:v>163</c:v>
                </c:pt>
                <c:pt idx="369">
                  <c:v>164</c:v>
                </c:pt>
                <c:pt idx="370">
                  <c:v>165</c:v>
                </c:pt>
                <c:pt idx="371">
                  <c:v>166</c:v>
                </c:pt>
                <c:pt idx="372">
                  <c:v>0</c:v>
                </c:pt>
                <c:pt idx="373">
                  <c:v>0</c:v>
                </c:pt>
                <c:pt idx="374">
                  <c:v>168</c:v>
                </c:pt>
                <c:pt idx="375">
                  <c:v>0</c:v>
                </c:pt>
                <c:pt idx="376">
                  <c:v>175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26-448F-949C-0C426678A4B1}"/>
            </c:ext>
          </c:extLst>
        </c:ser>
        <c:ser>
          <c:idx val="1"/>
          <c:order val="1"/>
          <c:tx>
            <c:strRef>
              <c:f>КИРОВСКИЙ!$F$1:$F$5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категория благоустройства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КИРОВСКИЙ!$F$6:$F$383</c:f>
              <c:numCache>
                <c:formatCode>General</c:formatCode>
                <c:ptCount val="378"/>
                <c:pt idx="1">
                  <c:v>6</c:v>
                </c:pt>
                <c:pt idx="2">
                  <c:v>7</c:v>
                </c:pt>
                <c:pt idx="3">
                  <c:v>5</c:v>
                </c:pt>
                <c:pt idx="4">
                  <c:v>5</c:v>
                </c:pt>
                <c:pt idx="5" formatCode="@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5</c:v>
                </c:pt>
                <c:pt idx="17">
                  <c:v>5</c:v>
                </c:pt>
                <c:pt idx="18">
                  <c:v>7</c:v>
                </c:pt>
                <c:pt idx="19">
                  <c:v>7</c:v>
                </c:pt>
                <c:pt idx="20">
                  <c:v>6</c:v>
                </c:pt>
                <c:pt idx="21">
                  <c:v>6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5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5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5</c:v>
                </c:pt>
                <c:pt idx="77">
                  <c:v>5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5</c:v>
                </c:pt>
                <c:pt idx="84">
                  <c:v>7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7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7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7</c:v>
                </c:pt>
                <c:pt idx="118">
                  <c:v>7</c:v>
                </c:pt>
                <c:pt idx="119">
                  <c:v>6</c:v>
                </c:pt>
                <c:pt idx="120">
                  <c:v>5</c:v>
                </c:pt>
                <c:pt idx="121">
                  <c:v>5</c:v>
                </c:pt>
                <c:pt idx="122">
                  <c:v>7</c:v>
                </c:pt>
                <c:pt idx="123">
                  <c:v>5</c:v>
                </c:pt>
                <c:pt idx="124">
                  <c:v>7</c:v>
                </c:pt>
                <c:pt idx="125">
                  <c:v>7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7</c:v>
                </c:pt>
                <c:pt idx="133">
                  <c:v>5</c:v>
                </c:pt>
                <c:pt idx="134">
                  <c:v>5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5</c:v>
                </c:pt>
                <c:pt idx="140">
                  <c:v>7</c:v>
                </c:pt>
                <c:pt idx="141">
                  <c:v>7</c:v>
                </c:pt>
                <c:pt idx="142">
                  <c:v>5</c:v>
                </c:pt>
                <c:pt idx="143">
                  <c:v>5</c:v>
                </c:pt>
                <c:pt idx="144">
                  <c:v>6</c:v>
                </c:pt>
                <c:pt idx="145">
                  <c:v>5</c:v>
                </c:pt>
                <c:pt idx="146">
                  <c:v>5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7</c:v>
                </c:pt>
                <c:pt idx="152">
                  <c:v>7</c:v>
                </c:pt>
                <c:pt idx="153">
                  <c:v>5</c:v>
                </c:pt>
                <c:pt idx="154">
                  <c:v>5</c:v>
                </c:pt>
                <c:pt idx="155">
                  <c:v>7</c:v>
                </c:pt>
                <c:pt idx="156">
                  <c:v>5</c:v>
                </c:pt>
                <c:pt idx="157">
                  <c:v>7</c:v>
                </c:pt>
                <c:pt idx="158">
                  <c:v>5</c:v>
                </c:pt>
                <c:pt idx="159">
                  <c:v>5</c:v>
                </c:pt>
                <c:pt idx="160">
                  <c:v>6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6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6</c:v>
                </c:pt>
                <c:pt idx="174">
                  <c:v>5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7</c:v>
                </c:pt>
                <c:pt idx="184">
                  <c:v>7</c:v>
                </c:pt>
                <c:pt idx="185">
                  <c:v>7</c:v>
                </c:pt>
                <c:pt idx="186">
                  <c:v>7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2</c:v>
                </c:pt>
                <c:pt idx="196">
                  <c:v>2</c:v>
                </c:pt>
                <c:pt idx="197">
                  <c:v>7</c:v>
                </c:pt>
                <c:pt idx="198">
                  <c:v>5</c:v>
                </c:pt>
                <c:pt idx="199">
                  <c:v>5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  <c:pt idx="204">
                  <c:v>5</c:v>
                </c:pt>
                <c:pt idx="205">
                  <c:v>7</c:v>
                </c:pt>
                <c:pt idx="206">
                  <c:v>7</c:v>
                </c:pt>
                <c:pt idx="207">
                  <c:v>5</c:v>
                </c:pt>
                <c:pt idx="208">
                  <c:v>7</c:v>
                </c:pt>
                <c:pt idx="209">
                  <c:v>7</c:v>
                </c:pt>
                <c:pt idx="210">
                  <c:v>7</c:v>
                </c:pt>
                <c:pt idx="211">
                  <c:v>7</c:v>
                </c:pt>
                <c:pt idx="212">
                  <c:v>7</c:v>
                </c:pt>
                <c:pt idx="213">
                  <c:v>6</c:v>
                </c:pt>
                <c:pt idx="214">
                  <c:v>7</c:v>
                </c:pt>
                <c:pt idx="215">
                  <c:v>7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7</c:v>
                </c:pt>
                <c:pt idx="231">
                  <c:v>7</c:v>
                </c:pt>
                <c:pt idx="232">
                  <c:v>7</c:v>
                </c:pt>
                <c:pt idx="233">
                  <c:v>7</c:v>
                </c:pt>
                <c:pt idx="234">
                  <c:v>7</c:v>
                </c:pt>
                <c:pt idx="235">
                  <c:v>7</c:v>
                </c:pt>
                <c:pt idx="236">
                  <c:v>5</c:v>
                </c:pt>
                <c:pt idx="237">
                  <c:v>7</c:v>
                </c:pt>
                <c:pt idx="238">
                  <c:v>7</c:v>
                </c:pt>
                <c:pt idx="239">
                  <c:v>7</c:v>
                </c:pt>
                <c:pt idx="240">
                  <c:v>5</c:v>
                </c:pt>
                <c:pt idx="241">
                  <c:v>5</c:v>
                </c:pt>
                <c:pt idx="242">
                  <c:v>2</c:v>
                </c:pt>
                <c:pt idx="243">
                  <c:v>5</c:v>
                </c:pt>
                <c:pt idx="244">
                  <c:v>7</c:v>
                </c:pt>
                <c:pt idx="245">
                  <c:v>5</c:v>
                </c:pt>
                <c:pt idx="246">
                  <c:v>7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2</c:v>
                </c:pt>
                <c:pt idx="267">
                  <c:v>5</c:v>
                </c:pt>
                <c:pt idx="268">
                  <c:v>5</c:v>
                </c:pt>
                <c:pt idx="269">
                  <c:v>6</c:v>
                </c:pt>
                <c:pt idx="270">
                  <c:v>5</c:v>
                </c:pt>
                <c:pt idx="271">
                  <c:v>5</c:v>
                </c:pt>
                <c:pt idx="272">
                  <c:v>7</c:v>
                </c:pt>
                <c:pt idx="273">
                  <c:v>7</c:v>
                </c:pt>
                <c:pt idx="274">
                  <c:v>7</c:v>
                </c:pt>
                <c:pt idx="275">
                  <c:v>7</c:v>
                </c:pt>
                <c:pt idx="276">
                  <c:v>7</c:v>
                </c:pt>
                <c:pt idx="277">
                  <c:v>7</c:v>
                </c:pt>
                <c:pt idx="278">
                  <c:v>5</c:v>
                </c:pt>
                <c:pt idx="279">
                  <c:v>7</c:v>
                </c:pt>
                <c:pt idx="280">
                  <c:v>6</c:v>
                </c:pt>
                <c:pt idx="281">
                  <c:v>7</c:v>
                </c:pt>
                <c:pt idx="282">
                  <c:v>7</c:v>
                </c:pt>
                <c:pt idx="283">
                  <c:v>7</c:v>
                </c:pt>
                <c:pt idx="284">
                  <c:v>7</c:v>
                </c:pt>
                <c:pt idx="285">
                  <c:v>7</c:v>
                </c:pt>
                <c:pt idx="286">
                  <c:v>5</c:v>
                </c:pt>
                <c:pt idx="287">
                  <c:v>7</c:v>
                </c:pt>
                <c:pt idx="288">
                  <c:v>7</c:v>
                </c:pt>
                <c:pt idx="289">
                  <c:v>7</c:v>
                </c:pt>
                <c:pt idx="290">
                  <c:v>7</c:v>
                </c:pt>
                <c:pt idx="291">
                  <c:v>7</c:v>
                </c:pt>
                <c:pt idx="292">
                  <c:v>7</c:v>
                </c:pt>
                <c:pt idx="293">
                  <c:v>7</c:v>
                </c:pt>
                <c:pt idx="294">
                  <c:v>7</c:v>
                </c:pt>
                <c:pt idx="295">
                  <c:v>7</c:v>
                </c:pt>
                <c:pt idx="296">
                  <c:v>7</c:v>
                </c:pt>
                <c:pt idx="297">
                  <c:v>5</c:v>
                </c:pt>
                <c:pt idx="298">
                  <c:v>7</c:v>
                </c:pt>
                <c:pt idx="299">
                  <c:v>7</c:v>
                </c:pt>
                <c:pt idx="300">
                  <c:v>7</c:v>
                </c:pt>
                <c:pt idx="301">
                  <c:v>7</c:v>
                </c:pt>
                <c:pt idx="302">
                  <c:v>2</c:v>
                </c:pt>
                <c:pt idx="303">
                  <c:v>2</c:v>
                </c:pt>
                <c:pt idx="304">
                  <c:v>7</c:v>
                </c:pt>
                <c:pt idx="305">
                  <c:v>7</c:v>
                </c:pt>
                <c:pt idx="306">
                  <c:v>2</c:v>
                </c:pt>
                <c:pt idx="307">
                  <c:v>7</c:v>
                </c:pt>
                <c:pt idx="308">
                  <c:v>7</c:v>
                </c:pt>
                <c:pt idx="309">
                  <c:v>7</c:v>
                </c:pt>
                <c:pt idx="310">
                  <c:v>7</c:v>
                </c:pt>
                <c:pt idx="311">
                  <c:v>7</c:v>
                </c:pt>
                <c:pt idx="312">
                  <c:v>7</c:v>
                </c:pt>
                <c:pt idx="313">
                  <c:v>7</c:v>
                </c:pt>
                <c:pt idx="314">
                  <c:v>5</c:v>
                </c:pt>
                <c:pt idx="315">
                  <c:v>7</c:v>
                </c:pt>
                <c:pt idx="316">
                  <c:v>7</c:v>
                </c:pt>
                <c:pt idx="317">
                  <c:v>7</c:v>
                </c:pt>
                <c:pt idx="318">
                  <c:v>7</c:v>
                </c:pt>
                <c:pt idx="319">
                  <c:v>7</c:v>
                </c:pt>
                <c:pt idx="320">
                  <c:v>7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7</c:v>
                </c:pt>
                <c:pt idx="326">
                  <c:v>7</c:v>
                </c:pt>
                <c:pt idx="327">
                  <c:v>7</c:v>
                </c:pt>
                <c:pt idx="328">
                  <c:v>7</c:v>
                </c:pt>
                <c:pt idx="329">
                  <c:v>7</c:v>
                </c:pt>
                <c:pt idx="330">
                  <c:v>7</c:v>
                </c:pt>
                <c:pt idx="331">
                  <c:v>7</c:v>
                </c:pt>
                <c:pt idx="332">
                  <c:v>7</c:v>
                </c:pt>
                <c:pt idx="333">
                  <c:v>7</c:v>
                </c:pt>
                <c:pt idx="334">
                  <c:v>7</c:v>
                </c:pt>
                <c:pt idx="335">
                  <c:v>7</c:v>
                </c:pt>
                <c:pt idx="336">
                  <c:v>7</c:v>
                </c:pt>
                <c:pt idx="337">
                  <c:v>7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7</c:v>
                </c:pt>
                <c:pt idx="351">
                  <c:v>6</c:v>
                </c:pt>
                <c:pt idx="352">
                  <c:v>5</c:v>
                </c:pt>
                <c:pt idx="353">
                  <c:v>6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6</c:v>
                </c:pt>
                <c:pt idx="359">
                  <c:v>5</c:v>
                </c:pt>
                <c:pt idx="360">
                  <c:v>5</c:v>
                </c:pt>
                <c:pt idx="361">
                  <c:v>7</c:v>
                </c:pt>
                <c:pt idx="362">
                  <c:v>5</c:v>
                </c:pt>
                <c:pt idx="363">
                  <c:v>5</c:v>
                </c:pt>
                <c:pt idx="364">
                  <c:v>6</c:v>
                </c:pt>
                <c:pt idx="365">
                  <c:v>6</c:v>
                </c:pt>
                <c:pt idx="366">
                  <c:v>5</c:v>
                </c:pt>
                <c:pt idx="367">
                  <c:v>7</c:v>
                </c:pt>
                <c:pt idx="368">
                  <c:v>5</c:v>
                </c:pt>
                <c:pt idx="369">
                  <c:v>7</c:v>
                </c:pt>
                <c:pt idx="370">
                  <c:v>5</c:v>
                </c:pt>
                <c:pt idx="371">
                  <c:v>7</c:v>
                </c:pt>
                <c:pt idx="372">
                  <c:v>7</c:v>
                </c:pt>
                <c:pt idx="373">
                  <c:v>7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26-448F-949C-0C426678A4B1}"/>
            </c:ext>
          </c:extLst>
        </c:ser>
        <c:ser>
          <c:idx val="2"/>
          <c:order val="2"/>
          <c:tx>
            <c:strRef>
              <c:f>КИРОВСКИЙ!$G$1:$G$5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Плановые поступления средств на текущий ремонт в 2021г., тыс.руб. Всего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КИРОВСКИЙ!$G$6:$G$383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F26-448F-949C-0C426678A4B1}"/>
            </c:ext>
          </c:extLst>
        </c:ser>
        <c:ser>
          <c:idx val="3"/>
          <c:order val="3"/>
          <c:tx>
            <c:strRef>
              <c:f>КИРОВСКИЙ!$H$1:$H$5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Плановые поступления средств на текущий ремонт в 2021г., тыс.руб. в том числе: платежи населения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КИРОВСКИЙ!$H$6:$H$383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F26-448F-949C-0C426678A4B1}"/>
            </c:ext>
          </c:extLst>
        </c:ser>
        <c:ser>
          <c:idx val="4"/>
          <c:order val="4"/>
          <c:tx>
            <c:strRef>
              <c:f>КИРОВСКИЙ!$I$1:$I$5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Плановые поступления средств на текущий ремонт в 2021г., тыс.руб. в том числе: бюджет г.о. Самара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КИРОВСКИЙ!$I$6:$I$383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F26-448F-949C-0C426678A4B1}"/>
            </c:ext>
          </c:extLst>
        </c:ser>
        <c:ser>
          <c:idx val="5"/>
          <c:order val="5"/>
          <c:tx>
            <c:strRef>
              <c:f>КИРОВСКИЙ!$J$1:$J$5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остаток с 2020г в том числе: бюджет г.о. Самара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КИРОВСКИЙ!$J$6:$J$383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F26-448F-949C-0C426678A4B1}"/>
            </c:ext>
          </c:extLst>
        </c:ser>
        <c:ser>
          <c:idx val="6"/>
          <c:order val="6"/>
          <c:tx>
            <c:strRef>
              <c:f>КИРОВСКИЙ!$K$1:$K$5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Всего средств на текущий ремонт в 2021г,тыс.руб. в том числе: бюджет г.о. Самара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КИРОВСКИЙ!$K$6:$K$383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F26-448F-949C-0C426678A4B1}"/>
            </c:ext>
          </c:extLst>
        </c:ser>
        <c:ser>
          <c:idx val="7"/>
          <c:order val="7"/>
          <c:tx>
            <c:strRef>
              <c:f>КИРОВСКИЙ!$M$1:$M$5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Фактически произведенные работы с 01.01.2020 в том числе: бюджет г.о. Самара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КИРОВСКИЙ!$M$6:$M$383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F26-448F-949C-0C426678A4B1}"/>
            </c:ext>
          </c:extLst>
        </c:ser>
        <c:ser>
          <c:idx val="8"/>
          <c:order val="8"/>
          <c:tx>
            <c:strRef>
              <c:f>КИРОВСКИЙ!$N$1:$N$5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Итого фактич . остаток в том числе: бюджет г.о. Самара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КИРОВСКИЙ!$N$6:$N$383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26-448F-949C-0C426678A4B1}"/>
            </c:ext>
          </c:extLst>
        </c:ser>
        <c:ser>
          <c:idx val="9"/>
          <c:order val="9"/>
          <c:tx>
            <c:strRef>
              <c:f>КИРОВСКИЙ!$O$1:$O$5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Сумма запланированных работ, тыс.руб. в том числе: бюджет г.о. Самара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КИРОВСКИЙ!$O$6:$O$383</c:f>
              <c:numCache>
                <c:formatCode>0.00</c:formatCode>
                <c:ptCount val="378"/>
                <c:pt idx="1">
                  <c:v>10</c:v>
                </c:pt>
                <c:pt idx="2">
                  <c:v>374</c:v>
                </c:pt>
                <c:pt idx="3">
                  <c:v>390</c:v>
                </c:pt>
                <c:pt idx="4">
                  <c:v>429</c:v>
                </c:pt>
                <c:pt idx="5">
                  <c:v>153</c:v>
                </c:pt>
                <c:pt idx="6">
                  <c:v>76.8</c:v>
                </c:pt>
                <c:pt idx="7">
                  <c:v>128</c:v>
                </c:pt>
                <c:pt idx="8">
                  <c:v>77</c:v>
                </c:pt>
                <c:pt idx="9">
                  <c:v>99</c:v>
                </c:pt>
                <c:pt idx="10">
                  <c:v>90</c:v>
                </c:pt>
                <c:pt idx="11">
                  <c:v>117</c:v>
                </c:pt>
                <c:pt idx="12">
                  <c:v>30</c:v>
                </c:pt>
                <c:pt idx="13">
                  <c:v>90</c:v>
                </c:pt>
                <c:pt idx="14">
                  <c:v>191.8</c:v>
                </c:pt>
                <c:pt idx="15">
                  <c:v>0</c:v>
                </c:pt>
                <c:pt idx="16">
                  <c:v>0</c:v>
                </c:pt>
                <c:pt idx="17">
                  <c:v>212</c:v>
                </c:pt>
                <c:pt idx="18">
                  <c:v>70</c:v>
                </c:pt>
                <c:pt idx="19">
                  <c:v>168</c:v>
                </c:pt>
                <c:pt idx="20">
                  <c:v>15</c:v>
                </c:pt>
                <c:pt idx="21">
                  <c:v>55</c:v>
                </c:pt>
                <c:pt idx="22">
                  <c:v>69.599999999999994</c:v>
                </c:pt>
                <c:pt idx="23">
                  <c:v>216</c:v>
                </c:pt>
                <c:pt idx="24">
                  <c:v>49.6</c:v>
                </c:pt>
                <c:pt idx="25">
                  <c:v>120</c:v>
                </c:pt>
                <c:pt idx="26">
                  <c:v>79</c:v>
                </c:pt>
                <c:pt idx="27">
                  <c:v>174</c:v>
                </c:pt>
                <c:pt idx="28">
                  <c:v>139</c:v>
                </c:pt>
                <c:pt idx="29">
                  <c:v>175</c:v>
                </c:pt>
                <c:pt idx="30">
                  <c:v>203</c:v>
                </c:pt>
                <c:pt idx="31">
                  <c:v>126.6</c:v>
                </c:pt>
                <c:pt idx="32">
                  <c:v>0</c:v>
                </c:pt>
                <c:pt idx="33">
                  <c:v>203</c:v>
                </c:pt>
                <c:pt idx="34">
                  <c:v>110.6</c:v>
                </c:pt>
                <c:pt idx="35">
                  <c:v>5</c:v>
                </c:pt>
                <c:pt idx="36">
                  <c:v>6</c:v>
                </c:pt>
                <c:pt idx="37">
                  <c:v>0</c:v>
                </c:pt>
                <c:pt idx="38">
                  <c:v>60</c:v>
                </c:pt>
                <c:pt idx="39">
                  <c:v>0</c:v>
                </c:pt>
                <c:pt idx="40">
                  <c:v>51</c:v>
                </c:pt>
                <c:pt idx="41">
                  <c:v>0</c:v>
                </c:pt>
                <c:pt idx="42">
                  <c:v>21</c:v>
                </c:pt>
                <c:pt idx="43">
                  <c:v>68</c:v>
                </c:pt>
                <c:pt idx="44">
                  <c:v>34</c:v>
                </c:pt>
                <c:pt idx="45">
                  <c:v>34</c:v>
                </c:pt>
                <c:pt idx="46">
                  <c:v>68</c:v>
                </c:pt>
                <c:pt idx="47">
                  <c:v>64</c:v>
                </c:pt>
                <c:pt idx="48">
                  <c:v>68</c:v>
                </c:pt>
                <c:pt idx="49">
                  <c:v>15</c:v>
                </c:pt>
                <c:pt idx="50">
                  <c:v>47</c:v>
                </c:pt>
                <c:pt idx="51">
                  <c:v>30</c:v>
                </c:pt>
                <c:pt idx="52">
                  <c:v>9</c:v>
                </c:pt>
                <c:pt idx="53">
                  <c:v>32</c:v>
                </c:pt>
                <c:pt idx="54">
                  <c:v>19</c:v>
                </c:pt>
                <c:pt idx="55">
                  <c:v>25</c:v>
                </c:pt>
                <c:pt idx="56">
                  <c:v>64.599999999999994</c:v>
                </c:pt>
                <c:pt idx="57">
                  <c:v>180</c:v>
                </c:pt>
                <c:pt idx="58">
                  <c:v>10</c:v>
                </c:pt>
                <c:pt idx="59">
                  <c:v>88</c:v>
                </c:pt>
                <c:pt idx="60">
                  <c:v>33.799999999999997</c:v>
                </c:pt>
                <c:pt idx="61">
                  <c:v>46</c:v>
                </c:pt>
                <c:pt idx="62">
                  <c:v>472.5</c:v>
                </c:pt>
                <c:pt idx="63">
                  <c:v>255</c:v>
                </c:pt>
                <c:pt idx="64">
                  <c:v>481</c:v>
                </c:pt>
                <c:pt idx="65">
                  <c:v>415.9</c:v>
                </c:pt>
                <c:pt idx="66">
                  <c:v>75</c:v>
                </c:pt>
                <c:pt idx="67">
                  <c:v>193</c:v>
                </c:pt>
                <c:pt idx="68">
                  <c:v>139.6</c:v>
                </c:pt>
                <c:pt idx="69">
                  <c:v>59</c:v>
                </c:pt>
                <c:pt idx="70">
                  <c:v>110.6</c:v>
                </c:pt>
                <c:pt idx="71">
                  <c:v>134.80000000000001</c:v>
                </c:pt>
                <c:pt idx="72">
                  <c:v>0</c:v>
                </c:pt>
                <c:pt idx="73">
                  <c:v>288</c:v>
                </c:pt>
                <c:pt idx="74">
                  <c:v>26</c:v>
                </c:pt>
                <c:pt idx="75">
                  <c:v>160</c:v>
                </c:pt>
                <c:pt idx="76">
                  <c:v>0</c:v>
                </c:pt>
                <c:pt idx="77">
                  <c:v>166.8</c:v>
                </c:pt>
                <c:pt idx="78">
                  <c:v>189.6</c:v>
                </c:pt>
                <c:pt idx="79">
                  <c:v>69.599999999999994</c:v>
                </c:pt>
                <c:pt idx="80">
                  <c:v>129.19999999999999</c:v>
                </c:pt>
                <c:pt idx="81">
                  <c:v>82.5</c:v>
                </c:pt>
                <c:pt idx="82">
                  <c:v>91.4</c:v>
                </c:pt>
                <c:pt idx="83">
                  <c:v>50</c:v>
                </c:pt>
                <c:pt idx="84">
                  <c:v>195.8</c:v>
                </c:pt>
                <c:pt idx="85">
                  <c:v>76.8</c:v>
                </c:pt>
                <c:pt idx="86">
                  <c:v>50</c:v>
                </c:pt>
                <c:pt idx="87">
                  <c:v>12</c:v>
                </c:pt>
                <c:pt idx="88">
                  <c:v>65</c:v>
                </c:pt>
                <c:pt idx="89">
                  <c:v>326</c:v>
                </c:pt>
                <c:pt idx="90">
                  <c:v>69.599999999999994</c:v>
                </c:pt>
                <c:pt idx="91">
                  <c:v>145</c:v>
                </c:pt>
                <c:pt idx="92">
                  <c:v>425</c:v>
                </c:pt>
                <c:pt idx="93">
                  <c:v>26</c:v>
                </c:pt>
                <c:pt idx="94">
                  <c:v>0</c:v>
                </c:pt>
                <c:pt idx="95">
                  <c:v>90</c:v>
                </c:pt>
                <c:pt idx="96">
                  <c:v>32.5</c:v>
                </c:pt>
                <c:pt idx="97">
                  <c:v>129</c:v>
                </c:pt>
                <c:pt idx="98">
                  <c:v>83.8</c:v>
                </c:pt>
                <c:pt idx="99">
                  <c:v>95</c:v>
                </c:pt>
                <c:pt idx="100">
                  <c:v>245</c:v>
                </c:pt>
                <c:pt idx="101">
                  <c:v>215.8</c:v>
                </c:pt>
                <c:pt idx="102">
                  <c:v>180</c:v>
                </c:pt>
                <c:pt idx="103">
                  <c:v>251.8</c:v>
                </c:pt>
                <c:pt idx="104">
                  <c:v>0</c:v>
                </c:pt>
                <c:pt idx="105">
                  <c:v>155</c:v>
                </c:pt>
                <c:pt idx="106">
                  <c:v>123.8</c:v>
                </c:pt>
                <c:pt idx="107">
                  <c:v>140</c:v>
                </c:pt>
                <c:pt idx="108">
                  <c:v>34</c:v>
                </c:pt>
                <c:pt idx="109">
                  <c:v>75</c:v>
                </c:pt>
                <c:pt idx="110">
                  <c:v>166.8</c:v>
                </c:pt>
                <c:pt idx="111">
                  <c:v>0</c:v>
                </c:pt>
                <c:pt idx="112">
                  <c:v>26</c:v>
                </c:pt>
                <c:pt idx="113">
                  <c:v>0</c:v>
                </c:pt>
                <c:pt idx="114">
                  <c:v>157.30000000000001</c:v>
                </c:pt>
                <c:pt idx="115">
                  <c:v>205</c:v>
                </c:pt>
                <c:pt idx="116">
                  <c:v>125</c:v>
                </c:pt>
                <c:pt idx="117">
                  <c:v>241</c:v>
                </c:pt>
                <c:pt idx="118">
                  <c:v>25</c:v>
                </c:pt>
                <c:pt idx="119">
                  <c:v>90</c:v>
                </c:pt>
                <c:pt idx="120">
                  <c:v>69</c:v>
                </c:pt>
                <c:pt idx="121">
                  <c:v>142</c:v>
                </c:pt>
                <c:pt idx="122">
                  <c:v>0</c:v>
                </c:pt>
                <c:pt idx="123">
                  <c:v>90</c:v>
                </c:pt>
                <c:pt idx="124">
                  <c:v>0</c:v>
                </c:pt>
                <c:pt idx="125">
                  <c:v>24</c:v>
                </c:pt>
                <c:pt idx="126">
                  <c:v>0</c:v>
                </c:pt>
                <c:pt idx="127">
                  <c:v>270</c:v>
                </c:pt>
                <c:pt idx="128">
                  <c:v>270</c:v>
                </c:pt>
                <c:pt idx="129">
                  <c:v>156</c:v>
                </c:pt>
                <c:pt idx="130">
                  <c:v>61</c:v>
                </c:pt>
                <c:pt idx="131">
                  <c:v>168</c:v>
                </c:pt>
                <c:pt idx="132">
                  <c:v>0</c:v>
                </c:pt>
                <c:pt idx="133">
                  <c:v>25</c:v>
                </c:pt>
                <c:pt idx="134">
                  <c:v>20</c:v>
                </c:pt>
                <c:pt idx="135">
                  <c:v>27</c:v>
                </c:pt>
                <c:pt idx="136">
                  <c:v>28</c:v>
                </c:pt>
                <c:pt idx="137">
                  <c:v>35</c:v>
                </c:pt>
                <c:pt idx="138">
                  <c:v>37</c:v>
                </c:pt>
                <c:pt idx="139">
                  <c:v>119</c:v>
                </c:pt>
                <c:pt idx="140">
                  <c:v>21</c:v>
                </c:pt>
                <c:pt idx="141">
                  <c:v>57</c:v>
                </c:pt>
                <c:pt idx="142">
                  <c:v>222</c:v>
                </c:pt>
                <c:pt idx="143">
                  <c:v>322.39999999999998</c:v>
                </c:pt>
                <c:pt idx="144">
                  <c:v>380</c:v>
                </c:pt>
                <c:pt idx="145">
                  <c:v>57</c:v>
                </c:pt>
                <c:pt idx="146">
                  <c:v>93</c:v>
                </c:pt>
                <c:pt idx="147">
                  <c:v>254</c:v>
                </c:pt>
                <c:pt idx="148">
                  <c:v>110</c:v>
                </c:pt>
                <c:pt idx="149">
                  <c:v>210.1</c:v>
                </c:pt>
                <c:pt idx="150">
                  <c:v>165</c:v>
                </c:pt>
                <c:pt idx="151">
                  <c:v>91.8</c:v>
                </c:pt>
                <c:pt idx="152">
                  <c:v>9.6</c:v>
                </c:pt>
                <c:pt idx="153">
                  <c:v>206.8</c:v>
                </c:pt>
                <c:pt idx="154">
                  <c:v>90</c:v>
                </c:pt>
                <c:pt idx="155">
                  <c:v>180</c:v>
                </c:pt>
                <c:pt idx="156">
                  <c:v>72</c:v>
                </c:pt>
                <c:pt idx="157">
                  <c:v>168</c:v>
                </c:pt>
                <c:pt idx="158">
                  <c:v>76.8</c:v>
                </c:pt>
                <c:pt idx="159">
                  <c:v>0</c:v>
                </c:pt>
                <c:pt idx="160">
                  <c:v>45</c:v>
                </c:pt>
                <c:pt idx="161">
                  <c:v>124.6</c:v>
                </c:pt>
                <c:pt idx="162">
                  <c:v>60</c:v>
                </c:pt>
                <c:pt idx="163">
                  <c:v>94.6</c:v>
                </c:pt>
                <c:pt idx="164">
                  <c:v>106.8</c:v>
                </c:pt>
                <c:pt idx="165">
                  <c:v>150</c:v>
                </c:pt>
                <c:pt idx="166">
                  <c:v>105</c:v>
                </c:pt>
                <c:pt idx="167">
                  <c:v>65</c:v>
                </c:pt>
                <c:pt idx="168">
                  <c:v>150</c:v>
                </c:pt>
                <c:pt idx="169">
                  <c:v>110</c:v>
                </c:pt>
                <c:pt idx="170">
                  <c:v>206.8</c:v>
                </c:pt>
                <c:pt idx="171">
                  <c:v>32</c:v>
                </c:pt>
                <c:pt idx="172">
                  <c:v>49.6</c:v>
                </c:pt>
                <c:pt idx="173">
                  <c:v>90</c:v>
                </c:pt>
                <c:pt idx="174">
                  <c:v>0</c:v>
                </c:pt>
                <c:pt idx="175">
                  <c:v>95</c:v>
                </c:pt>
                <c:pt idx="176">
                  <c:v>65</c:v>
                </c:pt>
                <c:pt idx="177">
                  <c:v>168</c:v>
                </c:pt>
                <c:pt idx="178">
                  <c:v>23</c:v>
                </c:pt>
                <c:pt idx="179">
                  <c:v>130</c:v>
                </c:pt>
                <c:pt idx="180">
                  <c:v>141.80000000000001</c:v>
                </c:pt>
                <c:pt idx="181">
                  <c:v>0</c:v>
                </c:pt>
                <c:pt idx="182">
                  <c:v>0</c:v>
                </c:pt>
                <c:pt idx="183">
                  <c:v>56</c:v>
                </c:pt>
                <c:pt idx="184">
                  <c:v>42</c:v>
                </c:pt>
                <c:pt idx="185">
                  <c:v>45</c:v>
                </c:pt>
                <c:pt idx="186">
                  <c:v>32</c:v>
                </c:pt>
                <c:pt idx="187">
                  <c:v>180</c:v>
                </c:pt>
                <c:pt idx="188">
                  <c:v>110</c:v>
                </c:pt>
                <c:pt idx="189">
                  <c:v>100</c:v>
                </c:pt>
                <c:pt idx="190">
                  <c:v>91.2</c:v>
                </c:pt>
                <c:pt idx="191">
                  <c:v>391.8</c:v>
                </c:pt>
                <c:pt idx="192">
                  <c:v>215</c:v>
                </c:pt>
                <c:pt idx="193">
                  <c:v>291</c:v>
                </c:pt>
                <c:pt idx="194">
                  <c:v>443</c:v>
                </c:pt>
                <c:pt idx="195">
                  <c:v>1143</c:v>
                </c:pt>
                <c:pt idx="196">
                  <c:v>870.8</c:v>
                </c:pt>
                <c:pt idx="197">
                  <c:v>0</c:v>
                </c:pt>
                <c:pt idx="198">
                  <c:v>0</c:v>
                </c:pt>
                <c:pt idx="199">
                  <c:v>262</c:v>
                </c:pt>
                <c:pt idx="200">
                  <c:v>16</c:v>
                </c:pt>
                <c:pt idx="201">
                  <c:v>17</c:v>
                </c:pt>
                <c:pt idx="202">
                  <c:v>0</c:v>
                </c:pt>
                <c:pt idx="203">
                  <c:v>9</c:v>
                </c:pt>
                <c:pt idx="204">
                  <c:v>100</c:v>
                </c:pt>
                <c:pt idx="205">
                  <c:v>57</c:v>
                </c:pt>
                <c:pt idx="206">
                  <c:v>147</c:v>
                </c:pt>
                <c:pt idx="207">
                  <c:v>173</c:v>
                </c:pt>
                <c:pt idx="208">
                  <c:v>20</c:v>
                </c:pt>
                <c:pt idx="209">
                  <c:v>95</c:v>
                </c:pt>
                <c:pt idx="210">
                  <c:v>125</c:v>
                </c:pt>
                <c:pt idx="211">
                  <c:v>131</c:v>
                </c:pt>
                <c:pt idx="212">
                  <c:v>276.60000000000002</c:v>
                </c:pt>
                <c:pt idx="213">
                  <c:v>0</c:v>
                </c:pt>
                <c:pt idx="214">
                  <c:v>0</c:v>
                </c:pt>
                <c:pt idx="215">
                  <c:v>94.5</c:v>
                </c:pt>
                <c:pt idx="216">
                  <c:v>0</c:v>
                </c:pt>
                <c:pt idx="217">
                  <c:v>187</c:v>
                </c:pt>
                <c:pt idx="218">
                  <c:v>431.6</c:v>
                </c:pt>
                <c:pt idx="219">
                  <c:v>391.5</c:v>
                </c:pt>
                <c:pt idx="220">
                  <c:v>195.6</c:v>
                </c:pt>
                <c:pt idx="221">
                  <c:v>300</c:v>
                </c:pt>
                <c:pt idx="222">
                  <c:v>155</c:v>
                </c:pt>
                <c:pt idx="223">
                  <c:v>872</c:v>
                </c:pt>
                <c:pt idx="224">
                  <c:v>1944</c:v>
                </c:pt>
                <c:pt idx="225">
                  <c:v>560</c:v>
                </c:pt>
                <c:pt idx="226">
                  <c:v>187</c:v>
                </c:pt>
                <c:pt idx="227">
                  <c:v>88</c:v>
                </c:pt>
                <c:pt idx="228">
                  <c:v>45</c:v>
                </c:pt>
                <c:pt idx="229">
                  <c:v>80</c:v>
                </c:pt>
                <c:pt idx="230">
                  <c:v>59</c:v>
                </c:pt>
                <c:pt idx="231">
                  <c:v>23</c:v>
                </c:pt>
                <c:pt idx="232">
                  <c:v>54</c:v>
                </c:pt>
                <c:pt idx="233">
                  <c:v>52</c:v>
                </c:pt>
                <c:pt idx="234">
                  <c:v>47</c:v>
                </c:pt>
                <c:pt idx="235">
                  <c:v>15</c:v>
                </c:pt>
                <c:pt idx="236">
                  <c:v>90</c:v>
                </c:pt>
                <c:pt idx="237">
                  <c:v>110.6</c:v>
                </c:pt>
                <c:pt idx="238">
                  <c:v>139.6</c:v>
                </c:pt>
                <c:pt idx="239">
                  <c:v>0</c:v>
                </c:pt>
                <c:pt idx="240">
                  <c:v>17.5</c:v>
                </c:pt>
                <c:pt idx="241">
                  <c:v>0</c:v>
                </c:pt>
                <c:pt idx="242">
                  <c:v>1265</c:v>
                </c:pt>
                <c:pt idx="243">
                  <c:v>123.8</c:v>
                </c:pt>
                <c:pt idx="244">
                  <c:v>100</c:v>
                </c:pt>
                <c:pt idx="245">
                  <c:v>59</c:v>
                </c:pt>
                <c:pt idx="246">
                  <c:v>110</c:v>
                </c:pt>
                <c:pt idx="247">
                  <c:v>112</c:v>
                </c:pt>
                <c:pt idx="248">
                  <c:v>46</c:v>
                </c:pt>
                <c:pt idx="249">
                  <c:v>104.8</c:v>
                </c:pt>
                <c:pt idx="250">
                  <c:v>525</c:v>
                </c:pt>
                <c:pt idx="251">
                  <c:v>494.2</c:v>
                </c:pt>
                <c:pt idx="252">
                  <c:v>90</c:v>
                </c:pt>
                <c:pt idx="253">
                  <c:v>235</c:v>
                </c:pt>
                <c:pt idx="254">
                  <c:v>112.5</c:v>
                </c:pt>
                <c:pt idx="255">
                  <c:v>90</c:v>
                </c:pt>
                <c:pt idx="256">
                  <c:v>345</c:v>
                </c:pt>
                <c:pt idx="257">
                  <c:v>200.6</c:v>
                </c:pt>
                <c:pt idx="258">
                  <c:v>180</c:v>
                </c:pt>
                <c:pt idx="259">
                  <c:v>130</c:v>
                </c:pt>
                <c:pt idx="260">
                  <c:v>191.1</c:v>
                </c:pt>
                <c:pt idx="261">
                  <c:v>46</c:v>
                </c:pt>
                <c:pt idx="262">
                  <c:v>22.5</c:v>
                </c:pt>
                <c:pt idx="263">
                  <c:v>68</c:v>
                </c:pt>
                <c:pt idx="264">
                  <c:v>195</c:v>
                </c:pt>
                <c:pt idx="265">
                  <c:v>120</c:v>
                </c:pt>
                <c:pt idx="266">
                  <c:v>1125.5</c:v>
                </c:pt>
                <c:pt idx="267">
                  <c:v>99</c:v>
                </c:pt>
                <c:pt idx="268">
                  <c:v>0</c:v>
                </c:pt>
                <c:pt idx="269">
                  <c:v>172.6</c:v>
                </c:pt>
                <c:pt idx="270">
                  <c:v>181.8</c:v>
                </c:pt>
                <c:pt idx="271">
                  <c:v>33.799999999999997</c:v>
                </c:pt>
                <c:pt idx="272">
                  <c:v>90</c:v>
                </c:pt>
                <c:pt idx="273">
                  <c:v>139.6</c:v>
                </c:pt>
                <c:pt idx="274">
                  <c:v>49.6</c:v>
                </c:pt>
                <c:pt idx="275">
                  <c:v>20</c:v>
                </c:pt>
                <c:pt idx="276">
                  <c:v>110</c:v>
                </c:pt>
                <c:pt idx="277">
                  <c:v>200</c:v>
                </c:pt>
                <c:pt idx="278">
                  <c:v>90</c:v>
                </c:pt>
                <c:pt idx="279">
                  <c:v>5</c:v>
                </c:pt>
                <c:pt idx="280">
                  <c:v>252</c:v>
                </c:pt>
                <c:pt idx="281">
                  <c:v>49.6</c:v>
                </c:pt>
                <c:pt idx="282">
                  <c:v>124.6</c:v>
                </c:pt>
                <c:pt idx="283">
                  <c:v>151.6</c:v>
                </c:pt>
                <c:pt idx="284">
                  <c:v>0</c:v>
                </c:pt>
                <c:pt idx="285">
                  <c:v>200</c:v>
                </c:pt>
                <c:pt idx="286">
                  <c:v>106.9</c:v>
                </c:pt>
                <c:pt idx="287">
                  <c:v>58</c:v>
                </c:pt>
                <c:pt idx="288">
                  <c:v>33</c:v>
                </c:pt>
                <c:pt idx="289">
                  <c:v>34</c:v>
                </c:pt>
                <c:pt idx="290">
                  <c:v>112</c:v>
                </c:pt>
                <c:pt idx="291">
                  <c:v>134</c:v>
                </c:pt>
                <c:pt idx="292">
                  <c:v>180</c:v>
                </c:pt>
                <c:pt idx="293">
                  <c:v>121</c:v>
                </c:pt>
                <c:pt idx="294">
                  <c:v>196</c:v>
                </c:pt>
                <c:pt idx="295">
                  <c:v>227</c:v>
                </c:pt>
                <c:pt idx="296">
                  <c:v>176</c:v>
                </c:pt>
                <c:pt idx="297">
                  <c:v>76.8</c:v>
                </c:pt>
                <c:pt idx="298">
                  <c:v>59.6</c:v>
                </c:pt>
                <c:pt idx="299">
                  <c:v>130</c:v>
                </c:pt>
                <c:pt idx="300">
                  <c:v>105</c:v>
                </c:pt>
                <c:pt idx="301">
                  <c:v>67</c:v>
                </c:pt>
                <c:pt idx="302">
                  <c:v>504.66</c:v>
                </c:pt>
                <c:pt idx="303">
                  <c:v>249.4</c:v>
                </c:pt>
                <c:pt idx="304">
                  <c:v>211</c:v>
                </c:pt>
                <c:pt idx="305">
                  <c:v>90</c:v>
                </c:pt>
                <c:pt idx="306">
                  <c:v>961</c:v>
                </c:pt>
                <c:pt idx="307">
                  <c:v>141</c:v>
                </c:pt>
                <c:pt idx="308">
                  <c:v>20</c:v>
                </c:pt>
                <c:pt idx="309">
                  <c:v>50</c:v>
                </c:pt>
                <c:pt idx="310">
                  <c:v>0</c:v>
                </c:pt>
                <c:pt idx="311">
                  <c:v>6</c:v>
                </c:pt>
                <c:pt idx="312">
                  <c:v>189</c:v>
                </c:pt>
                <c:pt idx="313">
                  <c:v>162</c:v>
                </c:pt>
                <c:pt idx="314">
                  <c:v>300</c:v>
                </c:pt>
                <c:pt idx="315">
                  <c:v>0</c:v>
                </c:pt>
                <c:pt idx="316">
                  <c:v>192.4</c:v>
                </c:pt>
                <c:pt idx="317">
                  <c:v>0</c:v>
                </c:pt>
                <c:pt idx="318">
                  <c:v>0</c:v>
                </c:pt>
                <c:pt idx="319">
                  <c:v>80</c:v>
                </c:pt>
                <c:pt idx="320">
                  <c:v>94.6</c:v>
                </c:pt>
                <c:pt idx="321">
                  <c:v>0</c:v>
                </c:pt>
                <c:pt idx="322">
                  <c:v>0</c:v>
                </c:pt>
                <c:pt idx="323">
                  <c:v>33.799999999999997</c:v>
                </c:pt>
                <c:pt idx="324">
                  <c:v>0</c:v>
                </c:pt>
                <c:pt idx="325">
                  <c:v>53</c:v>
                </c:pt>
                <c:pt idx="326">
                  <c:v>0</c:v>
                </c:pt>
                <c:pt idx="327">
                  <c:v>14</c:v>
                </c:pt>
                <c:pt idx="328">
                  <c:v>0</c:v>
                </c:pt>
                <c:pt idx="329">
                  <c:v>65</c:v>
                </c:pt>
                <c:pt idx="330">
                  <c:v>155</c:v>
                </c:pt>
                <c:pt idx="331">
                  <c:v>16</c:v>
                </c:pt>
                <c:pt idx="332">
                  <c:v>90</c:v>
                </c:pt>
                <c:pt idx="333">
                  <c:v>76</c:v>
                </c:pt>
                <c:pt idx="334">
                  <c:v>20</c:v>
                </c:pt>
                <c:pt idx="335">
                  <c:v>200</c:v>
                </c:pt>
                <c:pt idx="336">
                  <c:v>5</c:v>
                </c:pt>
                <c:pt idx="337">
                  <c:v>10</c:v>
                </c:pt>
                <c:pt idx="338">
                  <c:v>659</c:v>
                </c:pt>
                <c:pt idx="339">
                  <c:v>90</c:v>
                </c:pt>
                <c:pt idx="340">
                  <c:v>200</c:v>
                </c:pt>
                <c:pt idx="341">
                  <c:v>234.8</c:v>
                </c:pt>
                <c:pt idx="342">
                  <c:v>115.2</c:v>
                </c:pt>
                <c:pt idx="343">
                  <c:v>40</c:v>
                </c:pt>
                <c:pt idx="344">
                  <c:v>130</c:v>
                </c:pt>
                <c:pt idx="345">
                  <c:v>142.1</c:v>
                </c:pt>
                <c:pt idx="346">
                  <c:v>50</c:v>
                </c:pt>
                <c:pt idx="347">
                  <c:v>150</c:v>
                </c:pt>
                <c:pt idx="348">
                  <c:v>138</c:v>
                </c:pt>
                <c:pt idx="349">
                  <c:v>186.8</c:v>
                </c:pt>
                <c:pt idx="350">
                  <c:v>138</c:v>
                </c:pt>
                <c:pt idx="351">
                  <c:v>69.599999999999994</c:v>
                </c:pt>
                <c:pt idx="352">
                  <c:v>209.6</c:v>
                </c:pt>
                <c:pt idx="353">
                  <c:v>33.799999999999997</c:v>
                </c:pt>
                <c:pt idx="354">
                  <c:v>22.5</c:v>
                </c:pt>
                <c:pt idx="355">
                  <c:v>201.8</c:v>
                </c:pt>
                <c:pt idx="356">
                  <c:v>52</c:v>
                </c:pt>
                <c:pt idx="357">
                  <c:v>145</c:v>
                </c:pt>
                <c:pt idx="358">
                  <c:v>219</c:v>
                </c:pt>
                <c:pt idx="359">
                  <c:v>78</c:v>
                </c:pt>
                <c:pt idx="360">
                  <c:v>140</c:v>
                </c:pt>
                <c:pt idx="361">
                  <c:v>101.4</c:v>
                </c:pt>
                <c:pt idx="362">
                  <c:v>168</c:v>
                </c:pt>
                <c:pt idx="363">
                  <c:v>156.80000000000001</c:v>
                </c:pt>
                <c:pt idx="364">
                  <c:v>90</c:v>
                </c:pt>
                <c:pt idx="365">
                  <c:v>212.6</c:v>
                </c:pt>
                <c:pt idx="366">
                  <c:v>230</c:v>
                </c:pt>
                <c:pt idx="367">
                  <c:v>139.6</c:v>
                </c:pt>
                <c:pt idx="368">
                  <c:v>55</c:v>
                </c:pt>
                <c:pt idx="369">
                  <c:v>49.6</c:v>
                </c:pt>
                <c:pt idx="370">
                  <c:v>28</c:v>
                </c:pt>
                <c:pt idx="371">
                  <c:v>155.6</c:v>
                </c:pt>
                <c:pt idx="372">
                  <c:v>142</c:v>
                </c:pt>
                <c:pt idx="373">
                  <c:v>103.8</c:v>
                </c:pt>
                <c:pt idx="374">
                  <c:v>147.6</c:v>
                </c:pt>
                <c:pt idx="375">
                  <c:v>36.9</c:v>
                </c:pt>
                <c:pt idx="376">
                  <c:v>6</c:v>
                </c:pt>
                <c:pt idx="377">
                  <c:v>50428.359999999986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F26-448F-949C-0C426678A4B1}"/>
            </c:ext>
          </c:extLst>
        </c:ser>
        <c:ser>
          <c:idx val="10"/>
          <c:order val="10"/>
          <c:tx>
            <c:strRef>
              <c:f>КИРОВСКИЙ!$P$1:$P$5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Ремонт подъездов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КИРОВСКИЙ!$P$6:$P$383</c:f>
              <c:numCache>
                <c:formatCode>@</c:formatCode>
                <c:ptCount val="378"/>
                <c:pt idx="1">
                  <c:v>11</c:v>
                </c:pt>
                <c:pt idx="13">
                  <c:v>0</c:v>
                </c:pt>
                <c:pt idx="19">
                  <c:v>0</c:v>
                </c:pt>
                <c:pt idx="22">
                  <c:v>0</c:v>
                </c:pt>
                <c:pt idx="37">
                  <c:v>0</c:v>
                </c:pt>
                <c:pt idx="39">
                  <c:v>0</c:v>
                </c:pt>
                <c:pt idx="41">
                  <c:v>0</c:v>
                </c:pt>
                <c:pt idx="57">
                  <c:v>0</c:v>
                </c:pt>
                <c:pt idx="63">
                  <c:v>0</c:v>
                </c:pt>
                <c:pt idx="65">
                  <c:v>0</c:v>
                </c:pt>
                <c:pt idx="68">
                  <c:v>0</c:v>
                </c:pt>
                <c:pt idx="71">
                  <c:v>0</c:v>
                </c:pt>
                <c:pt idx="73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89">
                  <c:v>0</c:v>
                </c:pt>
                <c:pt idx="95">
                  <c:v>0</c:v>
                </c:pt>
                <c:pt idx="100">
                  <c:v>0</c:v>
                </c:pt>
                <c:pt idx="102">
                  <c:v>0</c:v>
                </c:pt>
                <c:pt idx="105">
                  <c:v>0</c:v>
                </c:pt>
                <c:pt idx="110">
                  <c:v>0</c:v>
                </c:pt>
                <c:pt idx="115">
                  <c:v>0</c:v>
                </c:pt>
                <c:pt idx="117">
                  <c:v>0</c:v>
                </c:pt>
                <c:pt idx="121">
                  <c:v>0</c:v>
                </c:pt>
                <c:pt idx="126">
                  <c:v>0</c:v>
                </c:pt>
                <c:pt idx="127">
                  <c:v>0</c:v>
                </c:pt>
                <c:pt idx="131">
                  <c:v>0</c:v>
                </c:pt>
                <c:pt idx="142">
                  <c:v>0</c:v>
                </c:pt>
                <c:pt idx="148">
                  <c:v>0</c:v>
                </c:pt>
                <c:pt idx="150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7">
                  <c:v>0</c:v>
                </c:pt>
                <c:pt idx="166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3">
                  <c:v>0</c:v>
                </c:pt>
                <c:pt idx="177">
                  <c:v>0</c:v>
                </c:pt>
                <c:pt idx="181">
                  <c:v>0</c:v>
                </c:pt>
                <c:pt idx="182">
                  <c:v>0</c:v>
                </c:pt>
                <c:pt idx="187">
                  <c:v>0</c:v>
                </c:pt>
                <c:pt idx="192">
                  <c:v>0</c:v>
                </c:pt>
                <c:pt idx="193">
                  <c:v>0</c:v>
                </c:pt>
                <c:pt idx="195">
                  <c:v>0</c:v>
                </c:pt>
                <c:pt idx="198">
                  <c:v>0</c:v>
                </c:pt>
                <c:pt idx="199">
                  <c:v>0</c:v>
                </c:pt>
                <c:pt idx="211">
                  <c:v>0</c:v>
                </c:pt>
                <c:pt idx="212">
                  <c:v>0</c:v>
                </c:pt>
                <c:pt idx="214">
                  <c:v>0</c:v>
                </c:pt>
                <c:pt idx="216">
                  <c:v>0</c:v>
                </c:pt>
                <c:pt idx="217">
                  <c:v>0</c:v>
                </c:pt>
                <c:pt idx="221">
                  <c:v>0</c:v>
                </c:pt>
                <c:pt idx="222">
                  <c:v>0</c:v>
                </c:pt>
                <c:pt idx="225">
                  <c:v>0</c:v>
                </c:pt>
                <c:pt idx="238">
                  <c:v>0</c:v>
                </c:pt>
                <c:pt idx="242">
                  <c:v>0</c:v>
                </c:pt>
                <c:pt idx="246">
                  <c:v>0</c:v>
                </c:pt>
                <c:pt idx="250">
                  <c:v>0</c:v>
                </c:pt>
                <c:pt idx="252">
                  <c:v>0</c:v>
                </c:pt>
                <c:pt idx="253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5">
                  <c:v>0</c:v>
                </c:pt>
                <c:pt idx="266">
                  <c:v>0</c:v>
                </c:pt>
                <c:pt idx="270">
                  <c:v>0</c:v>
                </c:pt>
                <c:pt idx="272">
                  <c:v>0</c:v>
                </c:pt>
                <c:pt idx="273">
                  <c:v>0</c:v>
                </c:pt>
                <c:pt idx="276">
                  <c:v>0</c:v>
                </c:pt>
                <c:pt idx="280">
                  <c:v>0</c:v>
                </c:pt>
                <c:pt idx="299">
                  <c:v>0</c:v>
                </c:pt>
                <c:pt idx="300">
                  <c:v>0</c:v>
                </c:pt>
                <c:pt idx="305">
                  <c:v>0</c:v>
                </c:pt>
                <c:pt idx="306">
                  <c:v>0</c:v>
                </c:pt>
                <c:pt idx="314">
                  <c:v>0</c:v>
                </c:pt>
                <c:pt idx="315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1">
                  <c:v>0</c:v>
                </c:pt>
                <c:pt idx="322">
                  <c:v>0</c:v>
                </c:pt>
                <c:pt idx="326">
                  <c:v>0</c:v>
                </c:pt>
                <c:pt idx="329">
                  <c:v>0</c:v>
                </c:pt>
                <c:pt idx="330">
                  <c:v>0</c:v>
                </c:pt>
                <c:pt idx="332">
                  <c:v>0</c:v>
                </c:pt>
                <c:pt idx="338">
                  <c:v>0</c:v>
                </c:pt>
                <c:pt idx="340">
                  <c:v>0</c:v>
                </c:pt>
                <c:pt idx="341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57">
                  <c:v>0</c:v>
                </c:pt>
                <c:pt idx="358">
                  <c:v>0</c:v>
                </c:pt>
                <c:pt idx="360">
                  <c:v>0</c:v>
                </c:pt>
                <c:pt idx="362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7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F26-448F-949C-0C426678A4B1}"/>
            </c:ext>
          </c:extLst>
        </c:ser>
        <c:ser>
          <c:idx val="11"/>
          <c:order val="11"/>
          <c:tx>
            <c:strRef>
              <c:f>КИРОВСКИЙ!$Q$1:$Q$5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Ремонт подъездов План  шт.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КИРОВСКИЙ!$Q$6:$Q$383</c:f>
              <c:numCache>
                <c:formatCode>General</c:formatCode>
                <c:ptCount val="378"/>
                <c:pt idx="1">
                  <c:v>12</c:v>
                </c:pt>
                <c:pt idx="13" formatCode="0.00">
                  <c:v>1</c:v>
                </c:pt>
                <c:pt idx="14" formatCode="0.00">
                  <c:v>1</c:v>
                </c:pt>
                <c:pt idx="17" formatCode="0.00">
                  <c:v>1</c:v>
                </c:pt>
                <c:pt idx="19" formatCode="0.00">
                  <c:v>1</c:v>
                </c:pt>
                <c:pt idx="22" formatCode="0.00">
                  <c:v>1</c:v>
                </c:pt>
                <c:pt idx="57" formatCode="0.00">
                  <c:v>2</c:v>
                </c:pt>
                <c:pt idx="58" formatCode="0.00">
                  <c:v>1</c:v>
                </c:pt>
                <c:pt idx="63" formatCode="0.00">
                  <c:v>3</c:v>
                </c:pt>
                <c:pt idx="65" formatCode="0.00">
                  <c:v>2</c:v>
                </c:pt>
                <c:pt idx="68" formatCode="0.00">
                  <c:v>1</c:v>
                </c:pt>
                <c:pt idx="71" formatCode="0.00">
                  <c:v>1</c:v>
                </c:pt>
                <c:pt idx="73" formatCode="0.00">
                  <c:v>1</c:v>
                </c:pt>
                <c:pt idx="75" formatCode="0.00">
                  <c:v>1</c:v>
                </c:pt>
                <c:pt idx="77" formatCode="0.00">
                  <c:v>1</c:v>
                </c:pt>
                <c:pt idx="78" formatCode="0.00">
                  <c:v>1</c:v>
                </c:pt>
                <c:pt idx="89" formatCode="0.00">
                  <c:v>1</c:v>
                </c:pt>
                <c:pt idx="90" formatCode="0.00">
                  <c:v>1</c:v>
                </c:pt>
                <c:pt idx="95" formatCode="0.00">
                  <c:v>1</c:v>
                </c:pt>
                <c:pt idx="97" formatCode="0.00">
                  <c:v>1</c:v>
                </c:pt>
                <c:pt idx="99" formatCode="0.00">
                  <c:v>1</c:v>
                </c:pt>
                <c:pt idx="100" formatCode="0.00">
                  <c:v>2</c:v>
                </c:pt>
                <c:pt idx="102" formatCode="0.00">
                  <c:v>2</c:v>
                </c:pt>
                <c:pt idx="105" formatCode="0.00">
                  <c:v>1</c:v>
                </c:pt>
                <c:pt idx="106" formatCode="0.00">
                  <c:v>1</c:v>
                </c:pt>
                <c:pt idx="107" formatCode="0.00">
                  <c:v>1</c:v>
                </c:pt>
                <c:pt idx="110" formatCode="0.00">
                  <c:v>1</c:v>
                </c:pt>
                <c:pt idx="115" formatCode="0.00">
                  <c:v>1</c:v>
                </c:pt>
                <c:pt idx="117" formatCode="0.00">
                  <c:v>1</c:v>
                </c:pt>
                <c:pt idx="119" formatCode="0.00">
                  <c:v>1</c:v>
                </c:pt>
                <c:pt idx="121" formatCode="0.00">
                  <c:v>1</c:v>
                </c:pt>
                <c:pt idx="127" formatCode="0.00">
                  <c:v>3</c:v>
                </c:pt>
                <c:pt idx="131" formatCode="0.00">
                  <c:v>1</c:v>
                </c:pt>
                <c:pt idx="142" formatCode="0.00">
                  <c:v>2</c:v>
                </c:pt>
                <c:pt idx="148" formatCode="0.00">
                  <c:v>2</c:v>
                </c:pt>
                <c:pt idx="150" formatCode="0.00">
                  <c:v>1</c:v>
                </c:pt>
                <c:pt idx="153" formatCode="0.00">
                  <c:v>1</c:v>
                </c:pt>
                <c:pt idx="154" formatCode="0.00">
                  <c:v>1</c:v>
                </c:pt>
                <c:pt idx="155" formatCode="0.00">
                  <c:v>2</c:v>
                </c:pt>
                <c:pt idx="156" formatCode="0.00">
                  <c:v>1</c:v>
                </c:pt>
                <c:pt idx="157" formatCode="0.00">
                  <c:v>1</c:v>
                </c:pt>
                <c:pt idx="165" formatCode="0.00">
                  <c:v>1</c:v>
                </c:pt>
                <c:pt idx="166" formatCode="0.00">
                  <c:v>1</c:v>
                </c:pt>
                <c:pt idx="168" formatCode="0.00">
                  <c:v>1</c:v>
                </c:pt>
                <c:pt idx="169" formatCode="0.00">
                  <c:v>2</c:v>
                </c:pt>
                <c:pt idx="170" formatCode="0.00">
                  <c:v>1</c:v>
                </c:pt>
                <c:pt idx="173" formatCode="0.00">
                  <c:v>1</c:v>
                </c:pt>
                <c:pt idx="175" formatCode="0.00">
                  <c:v>1</c:v>
                </c:pt>
                <c:pt idx="177" formatCode="0.00">
                  <c:v>1</c:v>
                </c:pt>
                <c:pt idx="187" formatCode="0.00">
                  <c:v>2</c:v>
                </c:pt>
                <c:pt idx="188" formatCode="0.00">
                  <c:v>1</c:v>
                </c:pt>
                <c:pt idx="192" formatCode="0.00">
                  <c:v>1</c:v>
                </c:pt>
                <c:pt idx="193" formatCode="0.00">
                  <c:v>1</c:v>
                </c:pt>
                <c:pt idx="195" formatCode="0.00">
                  <c:v>1</c:v>
                </c:pt>
                <c:pt idx="199" formatCode="0.00">
                  <c:v>1</c:v>
                </c:pt>
                <c:pt idx="210" formatCode="0.00">
                  <c:v>1</c:v>
                </c:pt>
                <c:pt idx="211" formatCode="0.00">
                  <c:v>1</c:v>
                </c:pt>
                <c:pt idx="212" formatCode="0.00">
                  <c:v>1</c:v>
                </c:pt>
                <c:pt idx="217" formatCode="0.00">
                  <c:v>1</c:v>
                </c:pt>
                <c:pt idx="221" formatCode="0.00">
                  <c:v>3</c:v>
                </c:pt>
                <c:pt idx="222" formatCode="0.00">
                  <c:v>1</c:v>
                </c:pt>
                <c:pt idx="225" formatCode="0.00">
                  <c:v>1</c:v>
                </c:pt>
                <c:pt idx="236" formatCode="0.00">
                  <c:v>1</c:v>
                </c:pt>
                <c:pt idx="238" formatCode="0.00">
                  <c:v>1</c:v>
                </c:pt>
                <c:pt idx="242" formatCode="0.00">
                  <c:v>1</c:v>
                </c:pt>
                <c:pt idx="243" formatCode="0.00">
                  <c:v>1</c:v>
                </c:pt>
                <c:pt idx="246" formatCode="0.00">
                  <c:v>1</c:v>
                </c:pt>
                <c:pt idx="247" formatCode="0.00">
                  <c:v>3</c:v>
                </c:pt>
                <c:pt idx="250" formatCode="0.00">
                  <c:v>3</c:v>
                </c:pt>
                <c:pt idx="252" formatCode="0.00">
                  <c:v>1</c:v>
                </c:pt>
                <c:pt idx="253" formatCode="0.00">
                  <c:v>1</c:v>
                </c:pt>
                <c:pt idx="254" formatCode="0.00">
                  <c:v>3</c:v>
                </c:pt>
                <c:pt idx="255" formatCode="0.00">
                  <c:v>1</c:v>
                </c:pt>
                <c:pt idx="256" formatCode="0.00">
                  <c:v>3</c:v>
                </c:pt>
                <c:pt idx="257" formatCode="0.00">
                  <c:v>2</c:v>
                </c:pt>
                <c:pt idx="258" formatCode="0.00">
                  <c:v>1</c:v>
                </c:pt>
                <c:pt idx="259" formatCode="0.00">
                  <c:v>1</c:v>
                </c:pt>
                <c:pt idx="265" formatCode="0.00">
                  <c:v>2</c:v>
                </c:pt>
                <c:pt idx="266" formatCode="0.00">
                  <c:v>1</c:v>
                </c:pt>
                <c:pt idx="270" formatCode="0.00">
                  <c:v>1</c:v>
                </c:pt>
                <c:pt idx="272" formatCode="0.00">
                  <c:v>1</c:v>
                </c:pt>
                <c:pt idx="273" formatCode="0.00">
                  <c:v>1</c:v>
                </c:pt>
                <c:pt idx="276" formatCode="0.00">
                  <c:v>1</c:v>
                </c:pt>
                <c:pt idx="278" formatCode="0.00">
                  <c:v>1</c:v>
                </c:pt>
                <c:pt idx="280" formatCode="0.00">
                  <c:v>2</c:v>
                </c:pt>
                <c:pt idx="286" formatCode="0.00">
                  <c:v>1</c:v>
                </c:pt>
                <c:pt idx="299" formatCode="0.00">
                  <c:v>1</c:v>
                </c:pt>
                <c:pt idx="300" formatCode="0.00">
                  <c:v>1</c:v>
                </c:pt>
                <c:pt idx="305" formatCode="0.00">
                  <c:v>1</c:v>
                </c:pt>
                <c:pt idx="306" formatCode="0.00">
                  <c:v>1</c:v>
                </c:pt>
                <c:pt idx="314" formatCode="0.00">
                  <c:v>1</c:v>
                </c:pt>
                <c:pt idx="319" formatCode="0.00">
                  <c:v>1</c:v>
                </c:pt>
                <c:pt idx="329" formatCode="0.00">
                  <c:v>1</c:v>
                </c:pt>
                <c:pt idx="330" formatCode="0.00">
                  <c:v>1</c:v>
                </c:pt>
                <c:pt idx="332" formatCode="0.00">
                  <c:v>1</c:v>
                </c:pt>
                <c:pt idx="338" formatCode="0.00">
                  <c:v>4</c:v>
                </c:pt>
                <c:pt idx="339" formatCode="0.00">
                  <c:v>1</c:v>
                </c:pt>
                <c:pt idx="340" formatCode="0.00">
                  <c:v>2</c:v>
                </c:pt>
                <c:pt idx="341" formatCode="0.00">
                  <c:v>1</c:v>
                </c:pt>
                <c:pt idx="344" formatCode="0.00">
                  <c:v>1</c:v>
                </c:pt>
                <c:pt idx="345" formatCode="0.00">
                  <c:v>1</c:v>
                </c:pt>
                <c:pt idx="346" formatCode="0.00">
                  <c:v>1</c:v>
                </c:pt>
                <c:pt idx="347" formatCode="0.00">
                  <c:v>1</c:v>
                </c:pt>
                <c:pt idx="357" formatCode="0.00">
                  <c:v>1</c:v>
                </c:pt>
                <c:pt idx="358" formatCode="0.00">
                  <c:v>1</c:v>
                </c:pt>
                <c:pt idx="360" formatCode="0.00">
                  <c:v>2</c:v>
                </c:pt>
                <c:pt idx="362" formatCode="0.00">
                  <c:v>1</c:v>
                </c:pt>
                <c:pt idx="364" formatCode="0.00">
                  <c:v>1</c:v>
                </c:pt>
                <c:pt idx="365" formatCode="0.00">
                  <c:v>1</c:v>
                </c:pt>
                <c:pt idx="366" formatCode="0.00">
                  <c:v>1</c:v>
                </c:pt>
                <c:pt idx="367" formatCode="0.00">
                  <c:v>1</c:v>
                </c:pt>
                <c:pt idx="372" formatCode="0.00">
                  <c:v>1</c:v>
                </c:pt>
                <c:pt idx="377" formatCode="#,##0.00">
                  <c:v>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F26-448F-949C-0C426678A4B1}"/>
            </c:ext>
          </c:extLst>
        </c:ser>
        <c:ser>
          <c:idx val="12"/>
          <c:order val="12"/>
          <c:tx>
            <c:strRef>
              <c:f>КИРОВСКИЙ!$R$1:$R$5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Ремонт подъездов План  № п-да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КИРОВСКИЙ!$R$6:$R$383</c:f>
              <c:numCache>
                <c:formatCode>@</c:formatCode>
                <c:ptCount val="378"/>
                <c:pt idx="13">
                  <c:v>2</c:v>
                </c:pt>
                <c:pt idx="14">
                  <c:v>2</c:v>
                </c:pt>
                <c:pt idx="17">
                  <c:v>2</c:v>
                </c:pt>
                <c:pt idx="19">
                  <c:v>1</c:v>
                </c:pt>
                <c:pt idx="22">
                  <c:v>0</c:v>
                </c:pt>
                <c:pt idx="57">
                  <c:v>1.2</c:v>
                </c:pt>
                <c:pt idx="58">
                  <c:v>0</c:v>
                </c:pt>
                <c:pt idx="63">
                  <c:v>0</c:v>
                </c:pt>
                <c:pt idx="65">
                  <c:v>0</c:v>
                </c:pt>
                <c:pt idx="68">
                  <c:v>1</c:v>
                </c:pt>
                <c:pt idx="71">
                  <c:v>1</c:v>
                </c:pt>
                <c:pt idx="73">
                  <c:v>0</c:v>
                </c:pt>
                <c:pt idx="75">
                  <c:v>1</c:v>
                </c:pt>
                <c:pt idx="77">
                  <c:v>1</c:v>
                </c:pt>
                <c:pt idx="78">
                  <c:v>0</c:v>
                </c:pt>
                <c:pt idx="89">
                  <c:v>1</c:v>
                </c:pt>
                <c:pt idx="90">
                  <c:v>0</c:v>
                </c:pt>
                <c:pt idx="95">
                  <c:v>2</c:v>
                </c:pt>
                <c:pt idx="97">
                  <c:v>1</c:v>
                </c:pt>
                <c:pt idx="99">
                  <c:v>1</c:v>
                </c:pt>
                <c:pt idx="100">
                  <c:v>0</c:v>
                </c:pt>
                <c:pt idx="102">
                  <c:v>1.2</c:v>
                </c:pt>
                <c:pt idx="105">
                  <c:v>1</c:v>
                </c:pt>
                <c:pt idx="106">
                  <c:v>1</c:v>
                </c:pt>
                <c:pt idx="107">
                  <c:v>2</c:v>
                </c:pt>
                <c:pt idx="110">
                  <c:v>1</c:v>
                </c:pt>
                <c:pt idx="115">
                  <c:v>2</c:v>
                </c:pt>
                <c:pt idx="117">
                  <c:v>0</c:v>
                </c:pt>
                <c:pt idx="119">
                  <c:v>2</c:v>
                </c:pt>
                <c:pt idx="121">
                  <c:v>1</c:v>
                </c:pt>
                <c:pt idx="127">
                  <c:v>0</c:v>
                </c:pt>
                <c:pt idx="131">
                  <c:v>2</c:v>
                </c:pt>
                <c:pt idx="142">
                  <c:v>0</c:v>
                </c:pt>
                <c:pt idx="148">
                  <c:v>0</c:v>
                </c:pt>
                <c:pt idx="150">
                  <c:v>1</c:v>
                </c:pt>
                <c:pt idx="153">
                  <c:v>2</c:v>
                </c:pt>
                <c:pt idx="154">
                  <c:v>2</c:v>
                </c:pt>
                <c:pt idx="155">
                  <c:v>1.2</c:v>
                </c:pt>
                <c:pt idx="156">
                  <c:v>1</c:v>
                </c:pt>
                <c:pt idx="157">
                  <c:v>2</c:v>
                </c:pt>
                <c:pt idx="165">
                  <c:v>1</c:v>
                </c:pt>
                <c:pt idx="166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1</c:v>
                </c:pt>
                <c:pt idx="173">
                  <c:v>1</c:v>
                </c:pt>
                <c:pt idx="175">
                  <c:v>1</c:v>
                </c:pt>
                <c:pt idx="177">
                  <c:v>1</c:v>
                </c:pt>
                <c:pt idx="187">
                  <c:v>1.2</c:v>
                </c:pt>
                <c:pt idx="188">
                  <c:v>1</c:v>
                </c:pt>
                <c:pt idx="192">
                  <c:v>1</c:v>
                </c:pt>
                <c:pt idx="193">
                  <c:v>0</c:v>
                </c:pt>
                <c:pt idx="195">
                  <c:v>1</c:v>
                </c:pt>
                <c:pt idx="199">
                  <c:v>3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7">
                  <c:v>1</c:v>
                </c:pt>
                <c:pt idx="221">
                  <c:v>0</c:v>
                </c:pt>
                <c:pt idx="222">
                  <c:v>1</c:v>
                </c:pt>
                <c:pt idx="225">
                  <c:v>0</c:v>
                </c:pt>
                <c:pt idx="236">
                  <c:v>1</c:v>
                </c:pt>
                <c:pt idx="238">
                  <c:v>1</c:v>
                </c:pt>
                <c:pt idx="242">
                  <c:v>1</c:v>
                </c:pt>
                <c:pt idx="243">
                  <c:v>1</c:v>
                </c:pt>
                <c:pt idx="246">
                  <c:v>0</c:v>
                </c:pt>
                <c:pt idx="247">
                  <c:v>0</c:v>
                </c:pt>
                <c:pt idx="250">
                  <c:v>0</c:v>
                </c:pt>
                <c:pt idx="252">
                  <c:v>2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2</c:v>
                </c:pt>
                <c:pt idx="259">
                  <c:v>0</c:v>
                </c:pt>
                <c:pt idx="265">
                  <c:v>0</c:v>
                </c:pt>
                <c:pt idx="266">
                  <c:v>1</c:v>
                </c:pt>
                <c:pt idx="270">
                  <c:v>0</c:v>
                </c:pt>
                <c:pt idx="272">
                  <c:v>0</c:v>
                </c:pt>
                <c:pt idx="273">
                  <c:v>0</c:v>
                </c:pt>
                <c:pt idx="276">
                  <c:v>0</c:v>
                </c:pt>
                <c:pt idx="278">
                  <c:v>0</c:v>
                </c:pt>
                <c:pt idx="280">
                  <c:v>0</c:v>
                </c:pt>
                <c:pt idx="286">
                  <c:v>0</c:v>
                </c:pt>
                <c:pt idx="299">
                  <c:v>0</c:v>
                </c:pt>
                <c:pt idx="300">
                  <c:v>0</c:v>
                </c:pt>
                <c:pt idx="305">
                  <c:v>0</c:v>
                </c:pt>
                <c:pt idx="306">
                  <c:v>0</c:v>
                </c:pt>
                <c:pt idx="314">
                  <c:v>0</c:v>
                </c:pt>
                <c:pt idx="319">
                  <c:v>0</c:v>
                </c:pt>
                <c:pt idx="329">
                  <c:v>0</c:v>
                </c:pt>
                <c:pt idx="330">
                  <c:v>0</c:v>
                </c:pt>
                <c:pt idx="332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57">
                  <c:v>0</c:v>
                </c:pt>
                <c:pt idx="358">
                  <c:v>0</c:v>
                </c:pt>
                <c:pt idx="360">
                  <c:v>0</c:v>
                </c:pt>
                <c:pt idx="362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72">
                  <c:v>0</c:v>
                </c:pt>
                <c:pt idx="377">
                  <c:v>65.800000000000011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F26-448F-949C-0C426678A4B1}"/>
            </c:ext>
          </c:extLst>
        </c:ser>
        <c:ser>
          <c:idx val="13"/>
          <c:order val="13"/>
          <c:tx>
            <c:strRef>
              <c:f>КИРОВСКИЙ!$S$1:$S$5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Ремонт подъездов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КИРОВСКИЙ!$S$6:$S$383</c:f>
              <c:numCache>
                <c:formatCode>#,##0.00</c:formatCode>
                <c:ptCount val="378"/>
                <c:pt idx="1">
                  <c:v>13</c:v>
                </c:pt>
                <c:pt idx="13">
                  <c:v>90000</c:v>
                </c:pt>
                <c:pt idx="14">
                  <c:v>90000</c:v>
                </c:pt>
                <c:pt idx="17">
                  <c:v>200000</c:v>
                </c:pt>
                <c:pt idx="19">
                  <c:v>90000</c:v>
                </c:pt>
                <c:pt idx="22">
                  <c:v>20000</c:v>
                </c:pt>
                <c:pt idx="57">
                  <c:v>180000</c:v>
                </c:pt>
                <c:pt idx="58">
                  <c:v>10000</c:v>
                </c:pt>
                <c:pt idx="63">
                  <c:v>255000</c:v>
                </c:pt>
                <c:pt idx="65">
                  <c:v>105000</c:v>
                </c:pt>
                <c:pt idx="68">
                  <c:v>90000</c:v>
                </c:pt>
                <c:pt idx="71">
                  <c:v>90000</c:v>
                </c:pt>
                <c:pt idx="73">
                  <c:v>110000</c:v>
                </c:pt>
                <c:pt idx="75">
                  <c:v>90000</c:v>
                </c:pt>
                <c:pt idx="77">
                  <c:v>90000</c:v>
                </c:pt>
                <c:pt idx="78">
                  <c:v>110000</c:v>
                </c:pt>
                <c:pt idx="89">
                  <c:v>90000</c:v>
                </c:pt>
                <c:pt idx="90">
                  <c:v>20000</c:v>
                </c:pt>
                <c:pt idx="95">
                  <c:v>90000</c:v>
                </c:pt>
                <c:pt idx="97">
                  <c:v>90000</c:v>
                </c:pt>
                <c:pt idx="99">
                  <c:v>90000</c:v>
                </c:pt>
                <c:pt idx="100">
                  <c:v>230000</c:v>
                </c:pt>
                <c:pt idx="102">
                  <c:v>180000</c:v>
                </c:pt>
                <c:pt idx="105">
                  <c:v>90000</c:v>
                </c:pt>
                <c:pt idx="106">
                  <c:v>90000</c:v>
                </c:pt>
                <c:pt idx="107">
                  <c:v>90000</c:v>
                </c:pt>
                <c:pt idx="110">
                  <c:v>90000</c:v>
                </c:pt>
                <c:pt idx="115">
                  <c:v>90000</c:v>
                </c:pt>
                <c:pt idx="117">
                  <c:v>110000</c:v>
                </c:pt>
                <c:pt idx="119">
                  <c:v>90000</c:v>
                </c:pt>
                <c:pt idx="121">
                  <c:v>90000</c:v>
                </c:pt>
                <c:pt idx="127">
                  <c:v>270000</c:v>
                </c:pt>
                <c:pt idx="131">
                  <c:v>90000</c:v>
                </c:pt>
                <c:pt idx="142">
                  <c:v>180000</c:v>
                </c:pt>
                <c:pt idx="148">
                  <c:v>110000</c:v>
                </c:pt>
                <c:pt idx="150">
                  <c:v>90000</c:v>
                </c:pt>
                <c:pt idx="153">
                  <c:v>90000</c:v>
                </c:pt>
                <c:pt idx="154">
                  <c:v>90000</c:v>
                </c:pt>
                <c:pt idx="155">
                  <c:v>180000</c:v>
                </c:pt>
                <c:pt idx="156">
                  <c:v>72000</c:v>
                </c:pt>
                <c:pt idx="157">
                  <c:v>90000</c:v>
                </c:pt>
                <c:pt idx="165">
                  <c:v>90000</c:v>
                </c:pt>
                <c:pt idx="166">
                  <c:v>20000</c:v>
                </c:pt>
                <c:pt idx="168">
                  <c:v>90000</c:v>
                </c:pt>
                <c:pt idx="169">
                  <c:v>60000</c:v>
                </c:pt>
                <c:pt idx="170">
                  <c:v>90000</c:v>
                </c:pt>
                <c:pt idx="173">
                  <c:v>90000</c:v>
                </c:pt>
                <c:pt idx="175">
                  <c:v>90000</c:v>
                </c:pt>
                <c:pt idx="177">
                  <c:v>90000</c:v>
                </c:pt>
                <c:pt idx="187">
                  <c:v>180000</c:v>
                </c:pt>
                <c:pt idx="188">
                  <c:v>90000</c:v>
                </c:pt>
                <c:pt idx="192">
                  <c:v>125000</c:v>
                </c:pt>
                <c:pt idx="193">
                  <c:v>195000</c:v>
                </c:pt>
                <c:pt idx="195">
                  <c:v>700000</c:v>
                </c:pt>
                <c:pt idx="199">
                  <c:v>150000</c:v>
                </c:pt>
                <c:pt idx="210">
                  <c:v>110000</c:v>
                </c:pt>
                <c:pt idx="211">
                  <c:v>90000</c:v>
                </c:pt>
                <c:pt idx="212">
                  <c:v>90000</c:v>
                </c:pt>
                <c:pt idx="217">
                  <c:v>90000</c:v>
                </c:pt>
                <c:pt idx="221">
                  <c:v>270000</c:v>
                </c:pt>
                <c:pt idx="222">
                  <c:v>90000</c:v>
                </c:pt>
                <c:pt idx="225">
                  <c:v>550000</c:v>
                </c:pt>
                <c:pt idx="236">
                  <c:v>90000</c:v>
                </c:pt>
                <c:pt idx="238">
                  <c:v>90000</c:v>
                </c:pt>
                <c:pt idx="242">
                  <c:v>700000</c:v>
                </c:pt>
                <c:pt idx="243">
                  <c:v>90000</c:v>
                </c:pt>
                <c:pt idx="246">
                  <c:v>110000</c:v>
                </c:pt>
                <c:pt idx="247">
                  <c:v>45000</c:v>
                </c:pt>
                <c:pt idx="250">
                  <c:v>180000</c:v>
                </c:pt>
                <c:pt idx="252">
                  <c:v>90000</c:v>
                </c:pt>
                <c:pt idx="253">
                  <c:v>200000</c:v>
                </c:pt>
                <c:pt idx="254">
                  <c:v>60000</c:v>
                </c:pt>
                <c:pt idx="255">
                  <c:v>90000</c:v>
                </c:pt>
                <c:pt idx="256">
                  <c:v>330000</c:v>
                </c:pt>
                <c:pt idx="257">
                  <c:v>90000</c:v>
                </c:pt>
                <c:pt idx="258">
                  <c:v>80000</c:v>
                </c:pt>
                <c:pt idx="259">
                  <c:v>110000</c:v>
                </c:pt>
                <c:pt idx="265">
                  <c:v>40000</c:v>
                </c:pt>
                <c:pt idx="266">
                  <c:v>450000</c:v>
                </c:pt>
                <c:pt idx="270">
                  <c:v>90000</c:v>
                </c:pt>
                <c:pt idx="272">
                  <c:v>90000</c:v>
                </c:pt>
                <c:pt idx="273">
                  <c:v>90000</c:v>
                </c:pt>
                <c:pt idx="276">
                  <c:v>90000</c:v>
                </c:pt>
                <c:pt idx="278">
                  <c:v>90000</c:v>
                </c:pt>
                <c:pt idx="280">
                  <c:v>180000</c:v>
                </c:pt>
                <c:pt idx="286">
                  <c:v>90000</c:v>
                </c:pt>
                <c:pt idx="299">
                  <c:v>90000</c:v>
                </c:pt>
                <c:pt idx="300">
                  <c:v>90000</c:v>
                </c:pt>
                <c:pt idx="305">
                  <c:v>90000</c:v>
                </c:pt>
                <c:pt idx="306">
                  <c:v>220000</c:v>
                </c:pt>
                <c:pt idx="314">
                  <c:v>200000</c:v>
                </c:pt>
                <c:pt idx="319">
                  <c:v>20000</c:v>
                </c:pt>
                <c:pt idx="329">
                  <c:v>15000</c:v>
                </c:pt>
                <c:pt idx="330">
                  <c:v>90000</c:v>
                </c:pt>
                <c:pt idx="332">
                  <c:v>90000</c:v>
                </c:pt>
                <c:pt idx="338">
                  <c:v>612000</c:v>
                </c:pt>
                <c:pt idx="339">
                  <c:v>90000</c:v>
                </c:pt>
                <c:pt idx="340">
                  <c:v>180000</c:v>
                </c:pt>
                <c:pt idx="341">
                  <c:v>90000</c:v>
                </c:pt>
                <c:pt idx="344">
                  <c:v>90000</c:v>
                </c:pt>
                <c:pt idx="345">
                  <c:v>90000</c:v>
                </c:pt>
                <c:pt idx="346">
                  <c:v>50000</c:v>
                </c:pt>
                <c:pt idx="347">
                  <c:v>110000</c:v>
                </c:pt>
                <c:pt idx="357">
                  <c:v>90000</c:v>
                </c:pt>
                <c:pt idx="358">
                  <c:v>180000</c:v>
                </c:pt>
                <c:pt idx="360">
                  <c:v>140000</c:v>
                </c:pt>
                <c:pt idx="362">
                  <c:v>90000</c:v>
                </c:pt>
                <c:pt idx="364">
                  <c:v>90000</c:v>
                </c:pt>
                <c:pt idx="365">
                  <c:v>90000</c:v>
                </c:pt>
                <c:pt idx="366">
                  <c:v>90000</c:v>
                </c:pt>
                <c:pt idx="367">
                  <c:v>90000</c:v>
                </c:pt>
                <c:pt idx="372">
                  <c:v>90000</c:v>
                </c:pt>
                <c:pt idx="377">
                  <c:v>14494000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F26-448F-949C-0C426678A4B1}"/>
            </c:ext>
          </c:extLst>
        </c:ser>
        <c:ser>
          <c:idx val="14"/>
          <c:order val="14"/>
          <c:tx>
            <c:strRef>
              <c:f>КИРОВСКИЙ!$T$1:$T$5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Ремонт подъездов факт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КИРОВСКИЙ!$T$6:$T$383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F26-448F-949C-0C426678A4B1}"/>
            </c:ext>
          </c:extLst>
        </c:ser>
        <c:ser>
          <c:idx val="15"/>
          <c:order val="15"/>
          <c:tx>
            <c:strRef>
              <c:f>КИРОВСКИЙ!$U$1:$U$5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Ремонт подъездов факт шт.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КИРОВСКИЙ!$U$6:$U$383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F26-448F-949C-0C426678A4B1}"/>
            </c:ext>
          </c:extLst>
        </c:ser>
        <c:ser>
          <c:idx val="16"/>
          <c:order val="16"/>
          <c:tx>
            <c:strRef>
              <c:f>КИРОВСКИЙ!$V$1:$V$5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Ремонт подъездов факт № п-да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КИРОВСКИЙ!$V$6:$V$383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F26-448F-949C-0C426678A4B1}"/>
            </c:ext>
          </c:extLst>
        </c:ser>
        <c:ser>
          <c:idx val="17"/>
          <c:order val="17"/>
          <c:tx>
            <c:strRef>
              <c:f>КИРОВСКИЙ!$W$1:$W$5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Ремонт подъездов факт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КИРОВСКИЙ!$W$6:$W$383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F26-448F-949C-0C426678A4B1}"/>
            </c:ext>
          </c:extLst>
        </c:ser>
        <c:ser>
          <c:idx val="18"/>
          <c:order val="18"/>
          <c:tx>
            <c:strRef>
              <c:f>КИРОВСКИЙ!$X$1:$X$5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Утепление стен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КИРОВСКИЙ!$X$6:$X$383</c:f>
              <c:numCache>
                <c:formatCode>@</c:formatCode>
                <c:ptCount val="378"/>
                <c:pt idx="1">
                  <c:v>17</c:v>
                </c:pt>
                <c:pt idx="2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F26-448F-949C-0C426678A4B1}"/>
            </c:ext>
          </c:extLst>
        </c:ser>
        <c:ser>
          <c:idx val="19"/>
          <c:order val="19"/>
          <c:tx>
            <c:strRef>
              <c:f>КИРОВСКИЙ!$Y$1:$Y$5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Утепление стен План   кв. м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КИРОВСКИЙ!$Y$6:$Y$383</c:f>
              <c:numCache>
                <c:formatCode>General</c:formatCode>
                <c:ptCount val="378"/>
                <c:pt idx="1">
                  <c:v>18</c:v>
                </c:pt>
                <c:pt idx="190" formatCode="0.00">
                  <c:v>24</c:v>
                </c:pt>
                <c:pt idx="219" formatCode="0.00">
                  <c:v>90</c:v>
                </c:pt>
                <c:pt idx="377" formatCode="#,##0.00">
                  <c:v>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F26-448F-949C-0C426678A4B1}"/>
            </c:ext>
          </c:extLst>
        </c:ser>
        <c:ser>
          <c:idx val="20"/>
          <c:order val="20"/>
          <c:tx>
            <c:strRef>
              <c:f>КИРОВСКИЙ!$Z$1:$Z$5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Утепление стен План  № кв.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КИРОВСКИЙ!$Z$6:$Z$383</c:f>
              <c:numCache>
                <c:formatCode>General</c:formatCode>
                <c:ptCount val="378"/>
                <c:pt idx="190" formatCode="0.00">
                  <c:v>1</c:v>
                </c:pt>
                <c:pt idx="219" formatCode="0.0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F26-448F-949C-0C426678A4B1}"/>
            </c:ext>
          </c:extLst>
        </c:ser>
        <c:ser>
          <c:idx val="21"/>
          <c:order val="21"/>
          <c:tx>
            <c:strRef>
              <c:f>КИРОВСКИЙ!$AA$1:$AA$5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3800 Утепление стен План   тыс.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КИРОВСКИЙ!$AA$6:$AA$383</c:f>
              <c:numCache>
                <c:formatCode>General</c:formatCode>
                <c:ptCount val="378"/>
                <c:pt idx="1">
                  <c:v>19</c:v>
                </c:pt>
                <c:pt idx="190" formatCode="0.00">
                  <c:v>91200</c:v>
                </c:pt>
                <c:pt idx="219" formatCode="0.00">
                  <c:v>342000</c:v>
                </c:pt>
                <c:pt idx="377" formatCode="#,##0.00">
                  <c:v>433200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F26-448F-949C-0C426678A4B1}"/>
            </c:ext>
          </c:extLst>
        </c:ser>
        <c:ser>
          <c:idx val="22"/>
          <c:order val="22"/>
          <c:tx>
            <c:strRef>
              <c:f>КИРОВСКИЙ!$AB$1:$AB$5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3800 Утепление стен Факт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КИРОВСКИЙ!$AB$6:$AB$383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BF26-448F-949C-0C426678A4B1}"/>
            </c:ext>
          </c:extLst>
        </c:ser>
        <c:ser>
          <c:idx val="23"/>
          <c:order val="23"/>
          <c:tx>
            <c:strRef>
              <c:f>КИРОВСКИЙ!$AC$1:$AC$5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3800 Утепление стен Факт  кв. м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КИРОВСКИЙ!$AC$6:$AC$383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BF26-448F-949C-0C426678A4B1}"/>
            </c:ext>
          </c:extLst>
        </c:ser>
        <c:ser>
          <c:idx val="24"/>
          <c:order val="24"/>
          <c:tx>
            <c:strRef>
              <c:f>КИРОВСКИЙ!$AD$1:$AD$5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3800 Утепление стен Факт № кв.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КИРОВСКИЙ!$AD$6:$AD$383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BF26-448F-949C-0C426678A4B1}"/>
            </c:ext>
          </c:extLst>
        </c:ser>
        <c:ser>
          <c:idx val="25"/>
          <c:order val="25"/>
          <c:tx>
            <c:strRef>
              <c:f>КИРОВСКИЙ!$AE$1:$AE$5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3800 Утепление стен Факт  тыс.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КИРОВСКИЙ!$AE$6:$AE$383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BF26-448F-949C-0C426678A4B1}"/>
            </c:ext>
          </c:extLst>
        </c:ser>
        <c:ser>
          <c:idx val="26"/>
          <c:order val="26"/>
          <c:tx>
            <c:strRef>
              <c:f>КИРОВСКИЙ!$AF$1:$AF$5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3800 Межпанельные швы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КИРОВСКИЙ!$AF$6:$AF$383</c:f>
              <c:numCache>
                <c:formatCode>@</c:formatCode>
                <c:ptCount val="378"/>
                <c:pt idx="1">
                  <c:v>23</c:v>
                </c:pt>
                <c:pt idx="191">
                  <c:v>0</c:v>
                </c:pt>
                <c:pt idx="192">
                  <c:v>0</c:v>
                </c:pt>
                <c:pt idx="26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BF26-448F-949C-0C426678A4B1}"/>
            </c:ext>
          </c:extLst>
        </c:ser>
        <c:ser>
          <c:idx val="27"/>
          <c:order val="27"/>
          <c:tx>
            <c:strRef>
              <c:f>КИРОВСКИЙ!$AG$1:$AG$5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3800 Межпанельные швы План 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КИРОВСКИЙ!$AG$6:$AG$383</c:f>
              <c:numCache>
                <c:formatCode>General</c:formatCode>
                <c:ptCount val="378"/>
                <c:pt idx="1">
                  <c:v>24</c:v>
                </c:pt>
                <c:pt idx="143" formatCode="0.00">
                  <c:v>24</c:v>
                </c:pt>
                <c:pt idx="191" formatCode="0.00">
                  <c:v>96</c:v>
                </c:pt>
                <c:pt idx="192" formatCode="0.00">
                  <c:v>120</c:v>
                </c:pt>
                <c:pt idx="266" formatCode="0.00">
                  <c:v>24</c:v>
                </c:pt>
                <c:pt idx="377" formatCode="#,##0.00">
                  <c:v>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BF26-448F-949C-0C426678A4B1}"/>
            </c:ext>
          </c:extLst>
        </c:ser>
        <c:ser>
          <c:idx val="28"/>
          <c:order val="28"/>
          <c:tx>
            <c:strRef>
              <c:f>КИРОВСКИЙ!$AH$1:$AH$5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3800 Межпанельные швы План  №кв.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КИРОВСКИЙ!$AH$6:$AH$383</c:f>
              <c:numCache>
                <c:formatCode>General</c:formatCode>
                <c:ptCount val="378"/>
                <c:pt idx="143" formatCode="0.00">
                  <c:v>59</c:v>
                </c:pt>
                <c:pt idx="191" formatCode="0.00">
                  <c:v>0</c:v>
                </c:pt>
                <c:pt idx="266" formatCode="0.00">
                  <c:v>56</c:v>
                </c:pt>
                <c:pt idx="377" formatCode="#,##0.00">
                  <c:v>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BF26-448F-949C-0C426678A4B1}"/>
            </c:ext>
          </c:extLst>
        </c:ser>
        <c:ser>
          <c:idx val="29"/>
          <c:order val="29"/>
          <c:tx>
            <c:strRef>
              <c:f>КИРОВСКИЙ!$AI$1:$AI$5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Межпанельные швы План 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КИРОВСКИЙ!$AI$6:$AI$383</c:f>
              <c:numCache>
                <c:formatCode>General</c:formatCode>
                <c:ptCount val="378"/>
                <c:pt idx="1">
                  <c:v>25</c:v>
                </c:pt>
                <c:pt idx="143" formatCode="0.00">
                  <c:v>18000</c:v>
                </c:pt>
                <c:pt idx="191" formatCode="0.00">
                  <c:v>72000</c:v>
                </c:pt>
                <c:pt idx="192" formatCode="0.00">
                  <c:v>90000</c:v>
                </c:pt>
                <c:pt idx="266" formatCode="0.00">
                  <c:v>18000</c:v>
                </c:pt>
                <c:pt idx="377" formatCode="#,##0.00">
                  <c:v>198000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BF26-448F-949C-0C426678A4B1}"/>
            </c:ext>
          </c:extLst>
        </c:ser>
        <c:ser>
          <c:idx val="30"/>
          <c:order val="30"/>
          <c:tx>
            <c:strRef>
              <c:f>КИРОВСКИЙ!$AJ$1:$AJ$5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Межпанельные швы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КИРОВСКИЙ!$AJ$6:$AJ$383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BF26-448F-949C-0C426678A4B1}"/>
            </c:ext>
          </c:extLst>
        </c:ser>
        <c:ser>
          <c:idx val="31"/>
          <c:order val="31"/>
          <c:tx>
            <c:strRef>
              <c:f>КИРОВСКИЙ!$AK$1:$AK$5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Межпанельные швы План 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КИРОВСКИЙ!$AK$6:$AK$383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BF26-448F-949C-0C426678A4B1}"/>
            </c:ext>
          </c:extLst>
        </c:ser>
        <c:ser>
          <c:idx val="32"/>
          <c:order val="32"/>
          <c:tx>
            <c:strRef>
              <c:f>КИРОВСКИЙ!$AL$1:$AL$5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Межпанельные швы План  №кв.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КИРОВСКИЙ!$AL$6:$AL$383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BF26-448F-949C-0C426678A4B1}"/>
            </c:ext>
          </c:extLst>
        </c:ser>
        <c:ser>
          <c:idx val="33"/>
          <c:order val="33"/>
          <c:tx>
            <c:strRef>
              <c:f>КИРОВСКИЙ!$AM$1:$AM$5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Межпанельные швы План 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КИРОВСКИЙ!$AM$6:$AM$383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BF26-448F-949C-0C426678A4B1}"/>
            </c:ext>
          </c:extLst>
        </c:ser>
        <c:ser>
          <c:idx val="34"/>
          <c:order val="34"/>
          <c:tx>
            <c:strRef>
              <c:f>КИРОВСКИЙ!$AN$1:$AN$5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Ремонт кровли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КИРОВСКИЙ!$AN$6:$AN$383</c:f>
              <c:numCache>
                <c:formatCode>@</c:formatCode>
                <c:ptCount val="378"/>
                <c:pt idx="1">
                  <c:v>29</c:v>
                </c:pt>
                <c:pt idx="2">
                  <c:v>0</c:v>
                </c:pt>
                <c:pt idx="19">
                  <c:v>0</c:v>
                </c:pt>
                <c:pt idx="34">
                  <c:v>0</c:v>
                </c:pt>
                <c:pt idx="60">
                  <c:v>0</c:v>
                </c:pt>
                <c:pt idx="62">
                  <c:v>0</c:v>
                </c:pt>
                <c:pt idx="64">
                  <c:v>0</c:v>
                </c:pt>
                <c:pt idx="70">
                  <c:v>0</c:v>
                </c:pt>
                <c:pt idx="73">
                  <c:v>0</c:v>
                </c:pt>
                <c:pt idx="74">
                  <c:v>0</c:v>
                </c:pt>
                <c:pt idx="81">
                  <c:v>0</c:v>
                </c:pt>
                <c:pt idx="82">
                  <c:v>0</c:v>
                </c:pt>
                <c:pt idx="88">
                  <c:v>0</c:v>
                </c:pt>
                <c:pt idx="89">
                  <c:v>0</c:v>
                </c:pt>
                <c:pt idx="91">
                  <c:v>0</c:v>
                </c:pt>
                <c:pt idx="93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105">
                  <c:v>0</c:v>
                </c:pt>
                <c:pt idx="106">
                  <c:v>0</c:v>
                </c:pt>
                <c:pt idx="108">
                  <c:v>0</c:v>
                </c:pt>
                <c:pt idx="112">
                  <c:v>0</c:v>
                </c:pt>
                <c:pt idx="115">
                  <c:v>0</c:v>
                </c:pt>
                <c:pt idx="120">
                  <c:v>0</c:v>
                </c:pt>
                <c:pt idx="121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49">
                  <c:v>0</c:v>
                </c:pt>
                <c:pt idx="157">
                  <c:v>0</c:v>
                </c:pt>
                <c:pt idx="176">
                  <c:v>0</c:v>
                </c:pt>
                <c:pt idx="177">
                  <c:v>0</c:v>
                </c:pt>
                <c:pt idx="193">
                  <c:v>0</c:v>
                </c:pt>
                <c:pt idx="196">
                  <c:v>0</c:v>
                </c:pt>
                <c:pt idx="207">
                  <c:v>0</c:v>
                </c:pt>
                <c:pt idx="215">
                  <c:v>0</c:v>
                </c:pt>
                <c:pt idx="217">
                  <c:v>0</c:v>
                </c:pt>
                <c:pt idx="218">
                  <c:v>0</c:v>
                </c:pt>
                <c:pt idx="243">
                  <c:v>0</c:v>
                </c:pt>
                <c:pt idx="245">
                  <c:v>0</c:v>
                </c:pt>
                <c:pt idx="247">
                  <c:v>0</c:v>
                </c:pt>
                <c:pt idx="257">
                  <c:v>0</c:v>
                </c:pt>
                <c:pt idx="260">
                  <c:v>0</c:v>
                </c:pt>
                <c:pt idx="271">
                  <c:v>0</c:v>
                </c:pt>
                <c:pt idx="280">
                  <c:v>0</c:v>
                </c:pt>
                <c:pt idx="286">
                  <c:v>0</c:v>
                </c:pt>
                <c:pt idx="302">
                  <c:v>0</c:v>
                </c:pt>
                <c:pt idx="323">
                  <c:v>0</c:v>
                </c:pt>
                <c:pt idx="348">
                  <c:v>0</c:v>
                </c:pt>
                <c:pt idx="349">
                  <c:v>0</c:v>
                </c:pt>
                <c:pt idx="353">
                  <c:v>0</c:v>
                </c:pt>
                <c:pt idx="356">
                  <c:v>0</c:v>
                </c:pt>
                <c:pt idx="358">
                  <c:v>0</c:v>
                </c:pt>
                <c:pt idx="359">
                  <c:v>0</c:v>
                </c:pt>
                <c:pt idx="362">
                  <c:v>0</c:v>
                </c:pt>
                <c:pt idx="363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BF26-448F-949C-0C426678A4B1}"/>
            </c:ext>
          </c:extLst>
        </c:ser>
        <c:ser>
          <c:idx val="35"/>
          <c:order val="35"/>
          <c:tx>
            <c:strRef>
              <c:f>КИРОВСКИЙ!$AO$1:$AO$5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Ремонт кровли План  вид кровли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КИРОВСКИЙ!$AO$6:$AO$383</c:f>
              <c:numCache>
                <c:formatCode>General</c:formatCode>
                <c:ptCount val="378"/>
                <c:pt idx="2" formatCode="0.00">
                  <c:v>0</c:v>
                </c:pt>
                <c:pt idx="19" formatCode="0.00">
                  <c:v>0</c:v>
                </c:pt>
                <c:pt idx="34" formatCode="0.00">
                  <c:v>0</c:v>
                </c:pt>
                <c:pt idx="60" formatCode="0.00">
                  <c:v>0</c:v>
                </c:pt>
                <c:pt idx="62" formatCode="0.00">
                  <c:v>0</c:v>
                </c:pt>
                <c:pt idx="64" formatCode="0.00">
                  <c:v>0</c:v>
                </c:pt>
                <c:pt idx="70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1" formatCode="0.00">
                  <c:v>0</c:v>
                </c:pt>
                <c:pt idx="93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8" formatCode="0.00">
                  <c:v>0</c:v>
                </c:pt>
                <c:pt idx="112" formatCode="0.00">
                  <c:v>0</c:v>
                </c:pt>
                <c:pt idx="115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49" formatCode="0.00">
                  <c:v>0</c:v>
                </c:pt>
                <c:pt idx="157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93" formatCode="0.00">
                  <c:v>0</c:v>
                </c:pt>
                <c:pt idx="196" formatCode="0.00">
                  <c:v>0</c:v>
                </c:pt>
                <c:pt idx="207" formatCode="0.00">
                  <c:v>0</c:v>
                </c:pt>
                <c:pt idx="215" formatCode="0.00">
                  <c:v>0</c:v>
                </c:pt>
                <c:pt idx="217" formatCode="0.00">
                  <c:v>0</c:v>
                </c:pt>
                <c:pt idx="218" formatCode="@">
                  <c:v>0</c:v>
                </c:pt>
                <c:pt idx="243" formatCode="0.00">
                  <c:v>0</c:v>
                </c:pt>
                <c:pt idx="245" formatCode="0.00">
                  <c:v>0</c:v>
                </c:pt>
                <c:pt idx="247" formatCode="0.00">
                  <c:v>0</c:v>
                </c:pt>
                <c:pt idx="257" formatCode="0.00">
                  <c:v>0</c:v>
                </c:pt>
                <c:pt idx="260" formatCode="0.00">
                  <c:v>0</c:v>
                </c:pt>
                <c:pt idx="271" formatCode="0.00">
                  <c:v>0</c:v>
                </c:pt>
                <c:pt idx="280" formatCode="0.00">
                  <c:v>0</c:v>
                </c:pt>
                <c:pt idx="286" formatCode="0.00">
                  <c:v>0</c:v>
                </c:pt>
                <c:pt idx="302" formatCode="0.00">
                  <c:v>0</c:v>
                </c:pt>
                <c:pt idx="323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3" formatCode="0.00">
                  <c:v>0</c:v>
                </c:pt>
                <c:pt idx="356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72" formatCode="0.00">
                  <c:v>0</c:v>
                </c:pt>
                <c:pt idx="373" formatCode="0.00">
                  <c:v>0</c:v>
                </c:pt>
                <c:pt idx="374" formatCode="0.00">
                  <c:v>0</c:v>
                </c:pt>
                <c:pt idx="375" formatCode="0.0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BF26-448F-949C-0C426678A4B1}"/>
            </c:ext>
          </c:extLst>
        </c:ser>
        <c:ser>
          <c:idx val="36"/>
          <c:order val="36"/>
          <c:tx>
            <c:strRef>
              <c:f>КИРОВСКИЙ!$AP$1:$AP$5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Ремонт кровли План   кв. м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КИРОВСКИЙ!$AP$6:$AP$383</c:f>
              <c:numCache>
                <c:formatCode>General</c:formatCode>
                <c:ptCount val="378"/>
                <c:pt idx="1">
                  <c:v>30</c:v>
                </c:pt>
                <c:pt idx="2" formatCode="0.00">
                  <c:v>280</c:v>
                </c:pt>
                <c:pt idx="19" formatCode="0.00">
                  <c:v>60</c:v>
                </c:pt>
                <c:pt idx="34" formatCode="0.00">
                  <c:v>26</c:v>
                </c:pt>
                <c:pt idx="60" formatCode="0.00">
                  <c:v>26</c:v>
                </c:pt>
                <c:pt idx="62" formatCode="0.00">
                  <c:v>200</c:v>
                </c:pt>
                <c:pt idx="64" formatCode="0.00">
                  <c:v>100</c:v>
                </c:pt>
                <c:pt idx="70" formatCode="0.00">
                  <c:v>26</c:v>
                </c:pt>
                <c:pt idx="73" formatCode="0.00">
                  <c:v>60</c:v>
                </c:pt>
                <c:pt idx="74" formatCode="0.00">
                  <c:v>20</c:v>
                </c:pt>
                <c:pt idx="81" formatCode="0.00">
                  <c:v>50</c:v>
                </c:pt>
                <c:pt idx="82" formatCode="0.00">
                  <c:v>28</c:v>
                </c:pt>
                <c:pt idx="88" formatCode="0.00">
                  <c:v>50</c:v>
                </c:pt>
                <c:pt idx="89" formatCode="0.00">
                  <c:v>120</c:v>
                </c:pt>
                <c:pt idx="91" formatCode="0.00">
                  <c:v>50</c:v>
                </c:pt>
                <c:pt idx="93" formatCode="0.00">
                  <c:v>20</c:v>
                </c:pt>
                <c:pt idx="96" formatCode="0.00">
                  <c:v>25</c:v>
                </c:pt>
                <c:pt idx="97" formatCode="0.00">
                  <c:v>30</c:v>
                </c:pt>
                <c:pt idx="98" formatCode="0.00">
                  <c:v>26</c:v>
                </c:pt>
                <c:pt idx="105" formatCode="0.00">
                  <c:v>50</c:v>
                </c:pt>
                <c:pt idx="106" formatCode="0.00">
                  <c:v>26</c:v>
                </c:pt>
                <c:pt idx="108" formatCode="0.00">
                  <c:v>20</c:v>
                </c:pt>
                <c:pt idx="112" formatCode="0.00">
                  <c:v>20</c:v>
                </c:pt>
                <c:pt idx="115" formatCode="0.00">
                  <c:v>50</c:v>
                </c:pt>
                <c:pt idx="120" formatCode="0.00">
                  <c:v>30</c:v>
                </c:pt>
                <c:pt idx="121" formatCode="0.00">
                  <c:v>40</c:v>
                </c:pt>
                <c:pt idx="129" formatCode="0.00">
                  <c:v>120</c:v>
                </c:pt>
                <c:pt idx="130" formatCode="0.00">
                  <c:v>20</c:v>
                </c:pt>
                <c:pt idx="131" formatCode="0.00">
                  <c:v>60</c:v>
                </c:pt>
                <c:pt idx="149" formatCode="0.00">
                  <c:v>60</c:v>
                </c:pt>
                <c:pt idx="157" formatCode="0.00">
                  <c:v>60</c:v>
                </c:pt>
                <c:pt idx="176" formatCode="0.00">
                  <c:v>50</c:v>
                </c:pt>
                <c:pt idx="177" formatCode="0.00">
                  <c:v>60</c:v>
                </c:pt>
                <c:pt idx="193" formatCode="0.00">
                  <c:v>120</c:v>
                </c:pt>
                <c:pt idx="196" formatCode="0.00">
                  <c:v>126</c:v>
                </c:pt>
                <c:pt idx="207" formatCode="0.00">
                  <c:v>60</c:v>
                </c:pt>
                <c:pt idx="215" formatCode="0.00">
                  <c:v>15</c:v>
                </c:pt>
                <c:pt idx="217" formatCode="0.00">
                  <c:v>40</c:v>
                </c:pt>
                <c:pt idx="218" formatCode="0.00">
                  <c:v>332</c:v>
                </c:pt>
                <c:pt idx="243" formatCode="0.00">
                  <c:v>26</c:v>
                </c:pt>
                <c:pt idx="245" formatCode="0.00">
                  <c:v>30</c:v>
                </c:pt>
                <c:pt idx="247" formatCode="0.00">
                  <c:v>40</c:v>
                </c:pt>
                <c:pt idx="257" formatCode="0.00">
                  <c:v>26</c:v>
                </c:pt>
                <c:pt idx="260" formatCode="0.00">
                  <c:v>77</c:v>
                </c:pt>
                <c:pt idx="271" formatCode="0.00">
                  <c:v>26</c:v>
                </c:pt>
                <c:pt idx="280" formatCode="0.00">
                  <c:v>40</c:v>
                </c:pt>
                <c:pt idx="286" formatCode="0.00">
                  <c:v>13</c:v>
                </c:pt>
                <c:pt idx="302" formatCode="0.00">
                  <c:v>40</c:v>
                </c:pt>
                <c:pt idx="323" formatCode="0.00">
                  <c:v>26</c:v>
                </c:pt>
                <c:pt idx="348" formatCode="0.00">
                  <c:v>40</c:v>
                </c:pt>
                <c:pt idx="349" formatCode="0.00">
                  <c:v>20</c:v>
                </c:pt>
                <c:pt idx="353" formatCode="0.00">
                  <c:v>26</c:v>
                </c:pt>
                <c:pt idx="356" formatCode="0.00">
                  <c:v>40</c:v>
                </c:pt>
                <c:pt idx="358" formatCode="0.00">
                  <c:v>30</c:v>
                </c:pt>
                <c:pt idx="359" formatCode="0.00">
                  <c:v>60</c:v>
                </c:pt>
                <c:pt idx="362" formatCode="0.00">
                  <c:v>60</c:v>
                </c:pt>
                <c:pt idx="363" formatCode="0.00">
                  <c:v>26</c:v>
                </c:pt>
                <c:pt idx="372" formatCode="0.00">
                  <c:v>40</c:v>
                </c:pt>
                <c:pt idx="373" formatCode="0.00">
                  <c:v>26</c:v>
                </c:pt>
                <c:pt idx="374" formatCode="0.00">
                  <c:v>60</c:v>
                </c:pt>
                <c:pt idx="375" formatCode="0.00">
                  <c:v>13</c:v>
                </c:pt>
                <c:pt idx="377" formatCode="#,##0.00">
                  <c:v>3341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BF26-448F-949C-0C426678A4B1}"/>
            </c:ext>
          </c:extLst>
        </c:ser>
        <c:ser>
          <c:idx val="37"/>
          <c:order val="37"/>
          <c:tx>
            <c:strRef>
              <c:f>КИРОВСКИЙ!$AQ$1:$AQ$5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Ремонт кровли План  № кв.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КИРОВСКИЙ!$AQ$6:$AQ$383</c:f>
              <c:numCache>
                <c:formatCode>@</c:formatCode>
                <c:ptCount val="378"/>
                <c:pt idx="2">
                  <c:v>0</c:v>
                </c:pt>
                <c:pt idx="19">
                  <c:v>0</c:v>
                </c:pt>
                <c:pt idx="34">
                  <c:v>0</c:v>
                </c:pt>
                <c:pt idx="60">
                  <c:v>0</c:v>
                </c:pt>
                <c:pt idx="62">
                  <c:v>0</c:v>
                </c:pt>
                <c:pt idx="64">
                  <c:v>0</c:v>
                </c:pt>
                <c:pt idx="70">
                  <c:v>0</c:v>
                </c:pt>
                <c:pt idx="73">
                  <c:v>0</c:v>
                </c:pt>
                <c:pt idx="74">
                  <c:v>0</c:v>
                </c:pt>
                <c:pt idx="81">
                  <c:v>0</c:v>
                </c:pt>
                <c:pt idx="82">
                  <c:v>0</c:v>
                </c:pt>
                <c:pt idx="88">
                  <c:v>18</c:v>
                </c:pt>
                <c:pt idx="89">
                  <c:v>0</c:v>
                </c:pt>
                <c:pt idx="91">
                  <c:v>0</c:v>
                </c:pt>
                <c:pt idx="93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105">
                  <c:v>0</c:v>
                </c:pt>
                <c:pt idx="106">
                  <c:v>0</c:v>
                </c:pt>
                <c:pt idx="108">
                  <c:v>0</c:v>
                </c:pt>
                <c:pt idx="112">
                  <c:v>0</c:v>
                </c:pt>
                <c:pt idx="115">
                  <c:v>0</c:v>
                </c:pt>
                <c:pt idx="120">
                  <c:v>0</c:v>
                </c:pt>
                <c:pt idx="121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49">
                  <c:v>0</c:v>
                </c:pt>
                <c:pt idx="157">
                  <c:v>0</c:v>
                </c:pt>
                <c:pt idx="176">
                  <c:v>0</c:v>
                </c:pt>
                <c:pt idx="177">
                  <c:v>0</c:v>
                </c:pt>
                <c:pt idx="193">
                  <c:v>0</c:v>
                </c:pt>
                <c:pt idx="196">
                  <c:v>0</c:v>
                </c:pt>
                <c:pt idx="207">
                  <c:v>0</c:v>
                </c:pt>
                <c:pt idx="215">
                  <c:v>0</c:v>
                </c:pt>
                <c:pt idx="217">
                  <c:v>0</c:v>
                </c:pt>
                <c:pt idx="218">
                  <c:v>0</c:v>
                </c:pt>
                <c:pt idx="243">
                  <c:v>0</c:v>
                </c:pt>
                <c:pt idx="245">
                  <c:v>0</c:v>
                </c:pt>
                <c:pt idx="247">
                  <c:v>0</c:v>
                </c:pt>
                <c:pt idx="257">
                  <c:v>0</c:v>
                </c:pt>
                <c:pt idx="260">
                  <c:v>0</c:v>
                </c:pt>
                <c:pt idx="271">
                  <c:v>0</c:v>
                </c:pt>
                <c:pt idx="280">
                  <c:v>0</c:v>
                </c:pt>
                <c:pt idx="286">
                  <c:v>0</c:v>
                </c:pt>
                <c:pt idx="302">
                  <c:v>0</c:v>
                </c:pt>
                <c:pt idx="323">
                  <c:v>0</c:v>
                </c:pt>
                <c:pt idx="348">
                  <c:v>0</c:v>
                </c:pt>
                <c:pt idx="349">
                  <c:v>0</c:v>
                </c:pt>
                <c:pt idx="353">
                  <c:v>0</c:v>
                </c:pt>
                <c:pt idx="356">
                  <c:v>0</c:v>
                </c:pt>
                <c:pt idx="358">
                  <c:v>0</c:v>
                </c:pt>
                <c:pt idx="359">
                  <c:v>0</c:v>
                </c:pt>
                <c:pt idx="362">
                  <c:v>0</c:v>
                </c:pt>
                <c:pt idx="363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BF26-448F-949C-0C426678A4B1}"/>
            </c:ext>
          </c:extLst>
        </c:ser>
        <c:ser>
          <c:idx val="38"/>
          <c:order val="38"/>
          <c:tx>
            <c:strRef>
              <c:f>КИРОВСКИЙ!$AR$1:$AR$5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Ремонт кровли План 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КИРОВСКИЙ!$AR$6:$AR$383</c:f>
              <c:numCache>
                <c:formatCode>#,##0.00</c:formatCode>
                <c:ptCount val="378"/>
                <c:pt idx="1">
                  <c:v>31</c:v>
                </c:pt>
                <c:pt idx="2">
                  <c:v>364000</c:v>
                </c:pt>
                <c:pt idx="19">
                  <c:v>78000</c:v>
                </c:pt>
                <c:pt idx="34">
                  <c:v>33800</c:v>
                </c:pt>
                <c:pt idx="60">
                  <c:v>33800</c:v>
                </c:pt>
                <c:pt idx="62">
                  <c:v>260000</c:v>
                </c:pt>
                <c:pt idx="64">
                  <c:v>130000</c:v>
                </c:pt>
                <c:pt idx="70">
                  <c:v>33800</c:v>
                </c:pt>
                <c:pt idx="73">
                  <c:v>78000</c:v>
                </c:pt>
                <c:pt idx="74">
                  <c:v>26000</c:v>
                </c:pt>
                <c:pt idx="81">
                  <c:v>65000</c:v>
                </c:pt>
                <c:pt idx="82">
                  <c:v>36400</c:v>
                </c:pt>
                <c:pt idx="88">
                  <c:v>65000</c:v>
                </c:pt>
                <c:pt idx="89">
                  <c:v>156000</c:v>
                </c:pt>
                <c:pt idx="91">
                  <c:v>65000</c:v>
                </c:pt>
                <c:pt idx="93">
                  <c:v>26000</c:v>
                </c:pt>
                <c:pt idx="96">
                  <c:v>32500</c:v>
                </c:pt>
                <c:pt idx="97">
                  <c:v>39000</c:v>
                </c:pt>
                <c:pt idx="98">
                  <c:v>33800</c:v>
                </c:pt>
                <c:pt idx="105">
                  <c:v>65000</c:v>
                </c:pt>
                <c:pt idx="106">
                  <c:v>33800</c:v>
                </c:pt>
                <c:pt idx="108">
                  <c:v>26000</c:v>
                </c:pt>
                <c:pt idx="112">
                  <c:v>26000</c:v>
                </c:pt>
                <c:pt idx="115">
                  <c:v>65000</c:v>
                </c:pt>
                <c:pt idx="120">
                  <c:v>39000</c:v>
                </c:pt>
                <c:pt idx="121">
                  <c:v>52000</c:v>
                </c:pt>
                <c:pt idx="129">
                  <c:v>156000</c:v>
                </c:pt>
                <c:pt idx="130">
                  <c:v>26000</c:v>
                </c:pt>
                <c:pt idx="131">
                  <c:v>78000</c:v>
                </c:pt>
                <c:pt idx="149">
                  <c:v>78000</c:v>
                </c:pt>
                <c:pt idx="157">
                  <c:v>78000</c:v>
                </c:pt>
                <c:pt idx="176">
                  <c:v>65000</c:v>
                </c:pt>
                <c:pt idx="177">
                  <c:v>78000</c:v>
                </c:pt>
                <c:pt idx="193">
                  <c:v>96000</c:v>
                </c:pt>
                <c:pt idx="196">
                  <c:v>100800</c:v>
                </c:pt>
                <c:pt idx="207">
                  <c:v>78000</c:v>
                </c:pt>
                <c:pt idx="215">
                  <c:v>19500</c:v>
                </c:pt>
                <c:pt idx="217">
                  <c:v>52000</c:v>
                </c:pt>
                <c:pt idx="218">
                  <c:v>431600</c:v>
                </c:pt>
                <c:pt idx="243">
                  <c:v>33800</c:v>
                </c:pt>
                <c:pt idx="245">
                  <c:v>39000</c:v>
                </c:pt>
                <c:pt idx="247">
                  <c:v>52000</c:v>
                </c:pt>
                <c:pt idx="257">
                  <c:v>33800</c:v>
                </c:pt>
                <c:pt idx="260">
                  <c:v>100100</c:v>
                </c:pt>
                <c:pt idx="271">
                  <c:v>33800</c:v>
                </c:pt>
                <c:pt idx="280">
                  <c:v>52000</c:v>
                </c:pt>
                <c:pt idx="286">
                  <c:v>16900</c:v>
                </c:pt>
                <c:pt idx="302">
                  <c:v>32000</c:v>
                </c:pt>
                <c:pt idx="323">
                  <c:v>33800</c:v>
                </c:pt>
                <c:pt idx="348">
                  <c:v>52000</c:v>
                </c:pt>
                <c:pt idx="349">
                  <c:v>26000</c:v>
                </c:pt>
                <c:pt idx="353">
                  <c:v>33800</c:v>
                </c:pt>
                <c:pt idx="356">
                  <c:v>52000</c:v>
                </c:pt>
                <c:pt idx="358">
                  <c:v>39000</c:v>
                </c:pt>
                <c:pt idx="359">
                  <c:v>78000</c:v>
                </c:pt>
                <c:pt idx="362">
                  <c:v>78000</c:v>
                </c:pt>
                <c:pt idx="363">
                  <c:v>33800</c:v>
                </c:pt>
                <c:pt idx="372">
                  <c:v>52000</c:v>
                </c:pt>
                <c:pt idx="373">
                  <c:v>33800</c:v>
                </c:pt>
                <c:pt idx="374">
                  <c:v>78000</c:v>
                </c:pt>
                <c:pt idx="375">
                  <c:v>16900</c:v>
                </c:pt>
                <c:pt idx="377">
                  <c:v>4200300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BF26-448F-949C-0C426678A4B1}"/>
            </c:ext>
          </c:extLst>
        </c:ser>
        <c:ser>
          <c:idx val="39"/>
          <c:order val="39"/>
          <c:tx>
            <c:strRef>
              <c:f>КИРОВСКИЙ!$AS$1:$AS$5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Ремонт кровли факт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КИРОВСКИЙ!$AS$6:$AS$383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BF26-448F-949C-0C426678A4B1}"/>
            </c:ext>
          </c:extLst>
        </c:ser>
        <c:ser>
          <c:idx val="40"/>
          <c:order val="40"/>
          <c:tx>
            <c:strRef>
              <c:f>КИРОВСКИЙ!$AT$1:$AT$5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Ремонт кровли факт вид кровли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КИРОВСКИЙ!$AT$6:$AT$383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8-BF26-448F-949C-0C426678A4B1}"/>
            </c:ext>
          </c:extLst>
        </c:ser>
        <c:ser>
          <c:idx val="41"/>
          <c:order val="41"/>
          <c:tx>
            <c:strRef>
              <c:f>КИРОВСКИЙ!$AU$1:$AU$5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Ремонт кровли факт  кв. м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КИРОВСКИЙ!$AU$6:$AU$383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9-BF26-448F-949C-0C426678A4B1}"/>
            </c:ext>
          </c:extLst>
        </c:ser>
        <c:ser>
          <c:idx val="42"/>
          <c:order val="42"/>
          <c:tx>
            <c:strRef>
              <c:f>КИРОВСКИЙ!$AV$1:$AV$5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Ремонт кровли факт № кв.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КИРОВСКИЙ!$AV$6:$AV$383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A-BF26-448F-949C-0C426678A4B1}"/>
            </c:ext>
          </c:extLst>
        </c:ser>
        <c:ser>
          <c:idx val="43"/>
          <c:order val="43"/>
          <c:tx>
            <c:strRef>
              <c:f>КИРОВСКИЙ!$AX$1:$AX$5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ХВС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КИРОВСКИЙ!$AX$6:$AX$383</c:f>
              <c:numCache>
                <c:formatCode>@</c:formatCode>
                <c:ptCount val="378"/>
                <c:pt idx="1">
                  <c:v>35</c:v>
                </c:pt>
                <c:pt idx="3">
                  <c:v>0</c:v>
                </c:pt>
                <c:pt idx="4">
                  <c:v>0</c:v>
                </c:pt>
                <c:pt idx="17">
                  <c:v>0</c:v>
                </c:pt>
                <c:pt idx="62">
                  <c:v>0</c:v>
                </c:pt>
                <c:pt idx="64">
                  <c:v>0</c:v>
                </c:pt>
                <c:pt idx="65">
                  <c:v>0</c:v>
                </c:pt>
                <c:pt idx="78">
                  <c:v>0</c:v>
                </c:pt>
                <c:pt idx="117">
                  <c:v>0</c:v>
                </c:pt>
                <c:pt idx="143">
                  <c:v>0</c:v>
                </c:pt>
                <c:pt idx="146">
                  <c:v>0</c:v>
                </c:pt>
                <c:pt idx="152">
                  <c:v>0</c:v>
                </c:pt>
                <c:pt idx="170">
                  <c:v>0</c:v>
                </c:pt>
                <c:pt idx="179">
                  <c:v>0</c:v>
                </c:pt>
                <c:pt idx="194">
                  <c:v>0</c:v>
                </c:pt>
                <c:pt idx="196">
                  <c:v>0</c:v>
                </c:pt>
                <c:pt idx="217">
                  <c:v>0</c:v>
                </c:pt>
                <c:pt idx="219">
                  <c:v>0</c:v>
                </c:pt>
                <c:pt idx="250">
                  <c:v>0</c:v>
                </c:pt>
                <c:pt idx="251">
                  <c:v>0</c:v>
                </c:pt>
                <c:pt idx="266">
                  <c:v>0</c:v>
                </c:pt>
                <c:pt idx="302">
                  <c:v>0</c:v>
                </c:pt>
                <c:pt idx="306">
                  <c:v>0</c:v>
                </c:pt>
                <c:pt idx="316">
                  <c:v>0</c:v>
                </c:pt>
                <c:pt idx="330">
                  <c:v>0</c:v>
                </c:pt>
                <c:pt idx="350">
                  <c:v>0</c:v>
                </c:pt>
                <c:pt idx="36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B-BF26-448F-949C-0C426678A4B1}"/>
            </c:ext>
          </c:extLst>
        </c:ser>
        <c:ser>
          <c:idx val="44"/>
          <c:order val="44"/>
          <c:tx>
            <c:strRef>
              <c:f>КИРОВСКИЙ!$AY$1:$AY$5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ХВС План 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КИРОВСКИЙ!$AY$6:$AY$383</c:f>
              <c:numCache>
                <c:formatCode>General</c:formatCode>
                <c:ptCount val="378"/>
                <c:pt idx="1">
                  <c:v>36</c:v>
                </c:pt>
                <c:pt idx="3" formatCode="0.00">
                  <c:v>156</c:v>
                </c:pt>
                <c:pt idx="4" formatCode="0.00">
                  <c:v>132</c:v>
                </c:pt>
                <c:pt idx="17" formatCode="0.00">
                  <c:v>0</c:v>
                </c:pt>
                <c:pt idx="62" formatCode="0.00">
                  <c:v>0</c:v>
                </c:pt>
                <c:pt idx="64" formatCode="0.00">
                  <c:v>88</c:v>
                </c:pt>
                <c:pt idx="65" formatCode="0.00">
                  <c:v>22</c:v>
                </c:pt>
                <c:pt idx="78" formatCode="0.00">
                  <c:v>0</c:v>
                </c:pt>
                <c:pt idx="117" formatCode="0.00">
                  <c:v>0</c:v>
                </c:pt>
                <c:pt idx="143" formatCode="0.00">
                  <c:v>88</c:v>
                </c:pt>
                <c:pt idx="146" formatCode="0.00">
                  <c:v>44</c:v>
                </c:pt>
                <c:pt idx="152" formatCode="0.00">
                  <c:v>0</c:v>
                </c:pt>
                <c:pt idx="170" formatCode="0.00">
                  <c:v>20</c:v>
                </c:pt>
                <c:pt idx="179" formatCode="0.00">
                  <c:v>44</c:v>
                </c:pt>
                <c:pt idx="194" formatCode="0.00">
                  <c:v>66</c:v>
                </c:pt>
                <c:pt idx="196" formatCode="0.00">
                  <c:v>0</c:v>
                </c:pt>
                <c:pt idx="217" formatCode="0.00">
                  <c:v>0</c:v>
                </c:pt>
                <c:pt idx="219" formatCode="@">
                  <c:v>0</c:v>
                </c:pt>
                <c:pt idx="250" formatCode="0.00">
                  <c:v>88</c:v>
                </c:pt>
                <c:pt idx="251" formatCode="0.00">
                  <c:v>66</c:v>
                </c:pt>
                <c:pt idx="266" formatCode="0.00">
                  <c:v>0</c:v>
                </c:pt>
                <c:pt idx="302" formatCode="0.00">
                  <c:v>0</c:v>
                </c:pt>
                <c:pt idx="306" formatCode="0.00">
                  <c:v>0</c:v>
                </c:pt>
                <c:pt idx="316" formatCode="0.00">
                  <c:v>0</c:v>
                </c:pt>
                <c:pt idx="330" formatCode="0.00">
                  <c:v>10</c:v>
                </c:pt>
                <c:pt idx="350" formatCode="0.00">
                  <c:v>0</c:v>
                </c:pt>
                <c:pt idx="365" formatCode="0.00">
                  <c:v>22</c:v>
                </c:pt>
                <c:pt idx="377" formatCode="#,##0.00">
                  <c:v>846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BF26-448F-949C-0C426678A4B1}"/>
            </c:ext>
          </c:extLst>
        </c:ser>
        <c:ser>
          <c:idx val="45"/>
          <c:order val="45"/>
          <c:tx>
            <c:strRef>
              <c:f>КИРОВСКИЙ!$AZ$1:$AZ$5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ХВС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КИРОВСКИЙ!$AZ$6:$AZ$383</c:f>
              <c:numCache>
                <c:formatCode>#,##0.00</c:formatCode>
                <c:ptCount val="378"/>
                <c:pt idx="1">
                  <c:v>37</c:v>
                </c:pt>
                <c:pt idx="3">
                  <c:v>390000</c:v>
                </c:pt>
                <c:pt idx="4">
                  <c:v>264000</c:v>
                </c:pt>
                <c:pt idx="17">
                  <c:v>12000</c:v>
                </c:pt>
                <c:pt idx="62">
                  <c:v>102000</c:v>
                </c:pt>
                <c:pt idx="64">
                  <c:v>176000</c:v>
                </c:pt>
                <c:pt idx="65">
                  <c:v>44000</c:v>
                </c:pt>
                <c:pt idx="78">
                  <c:v>30000</c:v>
                </c:pt>
                <c:pt idx="117">
                  <c:v>6000</c:v>
                </c:pt>
                <c:pt idx="143">
                  <c:v>220000</c:v>
                </c:pt>
                <c:pt idx="146">
                  <c:v>88000</c:v>
                </c:pt>
                <c:pt idx="152">
                  <c:v>6000</c:v>
                </c:pt>
                <c:pt idx="170">
                  <c:v>40000</c:v>
                </c:pt>
                <c:pt idx="179">
                  <c:v>110000</c:v>
                </c:pt>
                <c:pt idx="194">
                  <c:v>165000</c:v>
                </c:pt>
                <c:pt idx="196">
                  <c:v>25000</c:v>
                </c:pt>
                <c:pt idx="217">
                  <c:v>5000</c:v>
                </c:pt>
                <c:pt idx="219">
                  <c:v>30000</c:v>
                </c:pt>
                <c:pt idx="250">
                  <c:v>220000</c:v>
                </c:pt>
                <c:pt idx="251">
                  <c:v>165000</c:v>
                </c:pt>
                <c:pt idx="266">
                  <c:v>67500</c:v>
                </c:pt>
                <c:pt idx="302">
                  <c:v>25000</c:v>
                </c:pt>
                <c:pt idx="306">
                  <c:v>246000</c:v>
                </c:pt>
                <c:pt idx="316">
                  <c:v>14000</c:v>
                </c:pt>
                <c:pt idx="330">
                  <c:v>20000</c:v>
                </c:pt>
                <c:pt idx="350">
                  <c:v>56000</c:v>
                </c:pt>
                <c:pt idx="365">
                  <c:v>44000</c:v>
                </c:pt>
                <c:pt idx="377">
                  <c:v>2570500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BF26-448F-949C-0C426678A4B1}"/>
            </c:ext>
          </c:extLst>
        </c:ser>
        <c:ser>
          <c:idx val="46"/>
          <c:order val="46"/>
          <c:tx>
            <c:strRef>
              <c:f>КИРОВСКИЙ!$BA$1:$BA$5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ХВС факт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КИРОВСКИЙ!$BA$6:$BA$383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E-BF26-448F-949C-0C426678A4B1}"/>
            </c:ext>
          </c:extLst>
        </c:ser>
        <c:ser>
          <c:idx val="47"/>
          <c:order val="47"/>
          <c:tx>
            <c:strRef>
              <c:f>КИРОВСКИЙ!$BB$1:$BB$5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ХВС факт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КИРОВСКИЙ!$BB$6:$BB$383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F-BF26-448F-949C-0C426678A4B1}"/>
            </c:ext>
          </c:extLst>
        </c:ser>
        <c:ser>
          <c:idx val="48"/>
          <c:order val="48"/>
          <c:tx>
            <c:strRef>
              <c:f>КИРОВСКИЙ!$BC$1:$BC$5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ХВС факт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КИРОВСКИЙ!$BC$6:$BC$383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0-BF26-448F-949C-0C426678A4B1}"/>
            </c:ext>
          </c:extLst>
        </c:ser>
        <c:ser>
          <c:idx val="49"/>
          <c:order val="49"/>
          <c:tx>
            <c:strRef>
              <c:f>КИРОВСКИЙ!$BD$1:$BD$5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ГВС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КИРОВСКИЙ!$BD$6:$BD$383</c:f>
              <c:numCache>
                <c:formatCode>@</c:formatCode>
                <c:ptCount val="378"/>
                <c:pt idx="1">
                  <c:v>41</c:v>
                </c:pt>
                <c:pt idx="4">
                  <c:v>0</c:v>
                </c:pt>
                <c:pt idx="189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302">
                  <c:v>0</c:v>
                </c:pt>
                <c:pt idx="30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1-BF26-448F-949C-0C426678A4B1}"/>
            </c:ext>
          </c:extLst>
        </c:ser>
        <c:ser>
          <c:idx val="50"/>
          <c:order val="50"/>
          <c:tx>
            <c:strRef>
              <c:f>КИРОВСКИЙ!$BE$1:$BE$5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ГВС План 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КИРОВСКИЙ!$BE$6:$BE$383</c:f>
              <c:numCache>
                <c:formatCode>General</c:formatCode>
                <c:ptCount val="378"/>
                <c:pt idx="1">
                  <c:v>42</c:v>
                </c:pt>
                <c:pt idx="4" formatCode="0.00">
                  <c:v>66</c:v>
                </c:pt>
                <c:pt idx="189" formatCode="0.00">
                  <c:v>0</c:v>
                </c:pt>
                <c:pt idx="194" formatCode="0.00">
                  <c:v>66</c:v>
                </c:pt>
                <c:pt idx="195" formatCode="0.00">
                  <c:v>40</c:v>
                </c:pt>
                <c:pt idx="196" formatCode="0.00">
                  <c:v>0</c:v>
                </c:pt>
                <c:pt idx="302" formatCode="0.00">
                  <c:v>0</c:v>
                </c:pt>
                <c:pt idx="306" formatCode="0.00">
                  <c:v>0</c:v>
                </c:pt>
                <c:pt idx="377" formatCode="#,##0.00">
                  <c:v>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2-BF26-448F-949C-0C426678A4B1}"/>
            </c:ext>
          </c:extLst>
        </c:ser>
        <c:ser>
          <c:idx val="51"/>
          <c:order val="51"/>
          <c:tx>
            <c:strRef>
              <c:f>КИРОВСКИЙ!$BF$1:$BF$5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ГВС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КИРОВСКИЙ!$BF$6:$BF$383</c:f>
              <c:numCache>
                <c:formatCode>General</c:formatCode>
                <c:ptCount val="378"/>
                <c:pt idx="1">
                  <c:v>43</c:v>
                </c:pt>
                <c:pt idx="4" formatCode="0.00">
                  <c:v>165000</c:v>
                </c:pt>
                <c:pt idx="189" formatCode="0.00">
                  <c:v>100000</c:v>
                </c:pt>
                <c:pt idx="194" formatCode="0.00">
                  <c:v>165000</c:v>
                </c:pt>
                <c:pt idx="195" formatCode="0.00">
                  <c:v>100000</c:v>
                </c:pt>
                <c:pt idx="196" formatCode="0.00">
                  <c:v>25000</c:v>
                </c:pt>
                <c:pt idx="302" formatCode="0.00">
                  <c:v>25000</c:v>
                </c:pt>
                <c:pt idx="306" formatCode="0.00">
                  <c:v>217500</c:v>
                </c:pt>
                <c:pt idx="377" formatCode="#,##0.00">
                  <c:v>797500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3-BF26-448F-949C-0C426678A4B1}"/>
            </c:ext>
          </c:extLst>
        </c:ser>
        <c:ser>
          <c:idx val="52"/>
          <c:order val="52"/>
          <c:tx>
            <c:strRef>
              <c:f>КИРОВСКИЙ!$BG$1:$BG$5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ГВС факт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КИРОВСКИЙ!$BG$6:$BG$383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4-BF26-448F-949C-0C426678A4B1}"/>
            </c:ext>
          </c:extLst>
        </c:ser>
        <c:ser>
          <c:idx val="53"/>
          <c:order val="53"/>
          <c:tx>
            <c:strRef>
              <c:f>КИРОВСКИЙ!$BH$1:$BH$5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ГВС факт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КИРОВСКИЙ!$BH$6:$BH$383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5-BF26-448F-949C-0C426678A4B1}"/>
            </c:ext>
          </c:extLst>
        </c:ser>
        <c:ser>
          <c:idx val="54"/>
          <c:order val="54"/>
          <c:tx>
            <c:strRef>
              <c:f>КИРОВСКИЙ!$BI$1:$BI$5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ГВС факт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КИРОВСКИЙ!$BI$6:$BI$383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6-BF26-448F-949C-0C426678A4B1}"/>
            </c:ext>
          </c:extLst>
        </c:ser>
        <c:ser>
          <c:idx val="55"/>
          <c:order val="55"/>
          <c:tx>
            <c:strRef>
              <c:f>КИРОВСКИЙ!$BJ$1:$BJ$5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отопления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КИРОВСКИЙ!$BJ$6:$BJ$383</c:f>
              <c:numCache>
                <c:formatCode>@</c:formatCode>
                <c:ptCount val="378"/>
                <c:pt idx="1">
                  <c:v>47</c:v>
                </c:pt>
                <c:pt idx="64">
                  <c:v>0</c:v>
                </c:pt>
                <c:pt idx="81">
                  <c:v>0</c:v>
                </c:pt>
                <c:pt idx="103">
                  <c:v>0</c:v>
                </c:pt>
                <c:pt idx="167">
                  <c:v>0</c:v>
                </c:pt>
                <c:pt idx="179">
                  <c:v>0</c:v>
                </c:pt>
                <c:pt idx="194">
                  <c:v>0</c:v>
                </c:pt>
                <c:pt idx="204">
                  <c:v>0</c:v>
                </c:pt>
                <c:pt idx="217">
                  <c:v>0</c:v>
                </c:pt>
                <c:pt idx="223">
                  <c:v>0</c:v>
                </c:pt>
                <c:pt idx="224">
                  <c:v>0</c:v>
                </c:pt>
                <c:pt idx="228">
                  <c:v>0</c:v>
                </c:pt>
                <c:pt idx="240">
                  <c:v>0</c:v>
                </c:pt>
                <c:pt idx="242">
                  <c:v>0</c:v>
                </c:pt>
                <c:pt idx="250">
                  <c:v>0</c:v>
                </c:pt>
                <c:pt idx="258">
                  <c:v>0</c:v>
                </c:pt>
                <c:pt idx="282">
                  <c:v>0</c:v>
                </c:pt>
                <c:pt idx="306">
                  <c:v>0</c:v>
                </c:pt>
                <c:pt idx="309">
                  <c:v>0</c:v>
                </c:pt>
                <c:pt idx="316">
                  <c:v>0</c:v>
                </c:pt>
                <c:pt idx="330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7-BF26-448F-949C-0C426678A4B1}"/>
            </c:ext>
          </c:extLst>
        </c:ser>
        <c:ser>
          <c:idx val="56"/>
          <c:order val="56"/>
          <c:tx>
            <c:strRef>
              <c:f>КИРОВСКИЙ!$BK$1:$BK$5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отопления План 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КИРОВСКИЙ!$BK$6:$BK$383</c:f>
              <c:numCache>
                <c:formatCode>General</c:formatCode>
                <c:ptCount val="378"/>
                <c:pt idx="1">
                  <c:v>48</c:v>
                </c:pt>
                <c:pt idx="64" formatCode="0.00">
                  <c:v>50</c:v>
                </c:pt>
                <c:pt idx="81" formatCode="0.00">
                  <c:v>0</c:v>
                </c:pt>
                <c:pt idx="103" formatCode="0.00">
                  <c:v>20</c:v>
                </c:pt>
                <c:pt idx="167" formatCode="0.00">
                  <c:v>6</c:v>
                </c:pt>
                <c:pt idx="179" formatCode="0.00">
                  <c:v>0</c:v>
                </c:pt>
                <c:pt idx="194" formatCode="0.00">
                  <c:v>0</c:v>
                </c:pt>
                <c:pt idx="204" formatCode="0.00">
                  <c:v>40</c:v>
                </c:pt>
                <c:pt idx="217" formatCode="0.00">
                  <c:v>0</c:v>
                </c:pt>
                <c:pt idx="223" formatCode="0.00">
                  <c:v>212</c:v>
                </c:pt>
                <c:pt idx="224" formatCode="0.00">
                  <c:v>212</c:v>
                </c:pt>
                <c:pt idx="228" formatCode="0.00">
                  <c:v>0</c:v>
                </c:pt>
                <c:pt idx="240" formatCode="0.00">
                  <c:v>7</c:v>
                </c:pt>
                <c:pt idx="242" formatCode="0.00">
                  <c:v>150</c:v>
                </c:pt>
                <c:pt idx="250" formatCode="0.00">
                  <c:v>0</c:v>
                </c:pt>
                <c:pt idx="258" formatCode="0.00">
                  <c:v>40</c:v>
                </c:pt>
                <c:pt idx="282" formatCode="0.00">
                  <c:v>30</c:v>
                </c:pt>
                <c:pt idx="306" formatCode="0.00">
                  <c:v>0</c:v>
                </c:pt>
                <c:pt idx="309" formatCode="0.00">
                  <c:v>20</c:v>
                </c:pt>
                <c:pt idx="316" formatCode="0.00">
                  <c:v>40</c:v>
                </c:pt>
                <c:pt idx="330" formatCode="0.00">
                  <c:v>10</c:v>
                </c:pt>
                <c:pt idx="365" formatCode="0.00">
                  <c:v>20</c:v>
                </c:pt>
                <c:pt idx="366" formatCode="0.00">
                  <c:v>40</c:v>
                </c:pt>
                <c:pt idx="377" formatCode="#,##0.00">
                  <c:v>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8-BF26-448F-949C-0C426678A4B1}"/>
            </c:ext>
          </c:extLst>
        </c:ser>
        <c:ser>
          <c:idx val="57"/>
          <c:order val="57"/>
          <c:tx>
            <c:strRef>
              <c:f>КИРОВСКИЙ!$BL$1:$BL$5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отопления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КИРОВСКИЙ!$BL$6:$BL$383</c:f>
              <c:numCache>
                <c:formatCode>#,##0.00</c:formatCode>
                <c:ptCount val="378"/>
                <c:pt idx="1">
                  <c:v>49</c:v>
                </c:pt>
                <c:pt idx="64">
                  <c:v>175000</c:v>
                </c:pt>
                <c:pt idx="81">
                  <c:v>17500</c:v>
                </c:pt>
                <c:pt idx="103">
                  <c:v>50000</c:v>
                </c:pt>
                <c:pt idx="167">
                  <c:v>15000</c:v>
                </c:pt>
                <c:pt idx="179">
                  <c:v>20000</c:v>
                </c:pt>
                <c:pt idx="194">
                  <c:v>50000</c:v>
                </c:pt>
                <c:pt idx="204">
                  <c:v>100000</c:v>
                </c:pt>
                <c:pt idx="217">
                  <c:v>20000</c:v>
                </c:pt>
                <c:pt idx="223">
                  <c:v>742000</c:v>
                </c:pt>
                <c:pt idx="224">
                  <c:v>742000</c:v>
                </c:pt>
                <c:pt idx="228">
                  <c:v>45000</c:v>
                </c:pt>
                <c:pt idx="240">
                  <c:v>17500</c:v>
                </c:pt>
                <c:pt idx="242">
                  <c:v>525000</c:v>
                </c:pt>
                <c:pt idx="250">
                  <c:v>25000</c:v>
                </c:pt>
                <c:pt idx="258">
                  <c:v>100000</c:v>
                </c:pt>
                <c:pt idx="282">
                  <c:v>75000</c:v>
                </c:pt>
                <c:pt idx="306">
                  <c:v>170000</c:v>
                </c:pt>
                <c:pt idx="309">
                  <c:v>50000</c:v>
                </c:pt>
                <c:pt idx="316">
                  <c:v>100000</c:v>
                </c:pt>
                <c:pt idx="330">
                  <c:v>25000</c:v>
                </c:pt>
                <c:pt idx="365">
                  <c:v>50000</c:v>
                </c:pt>
                <c:pt idx="366">
                  <c:v>100000</c:v>
                </c:pt>
                <c:pt idx="377">
                  <c:v>3214000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9-BF26-448F-949C-0C426678A4B1}"/>
            </c:ext>
          </c:extLst>
        </c:ser>
        <c:ser>
          <c:idx val="58"/>
          <c:order val="58"/>
          <c:tx>
            <c:strRef>
              <c:f>КИРОВСКИЙ!$BM$1:$BM$5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отопления факт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КИРОВСКИЙ!$BM$6:$BM$383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A-BF26-448F-949C-0C426678A4B1}"/>
            </c:ext>
          </c:extLst>
        </c:ser>
        <c:ser>
          <c:idx val="59"/>
          <c:order val="59"/>
          <c:tx>
            <c:strRef>
              <c:f>КИРОВСКИЙ!$BN$1:$BN$5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отопления факт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КИРОВСКИЙ!$BN$6:$BN$383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B-BF26-448F-949C-0C426678A4B1}"/>
            </c:ext>
          </c:extLst>
        </c:ser>
        <c:ser>
          <c:idx val="60"/>
          <c:order val="60"/>
          <c:tx>
            <c:strRef>
              <c:f>КИРОВСКИЙ!$BO$1:$BO$5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отопления факт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КИРОВСКИЙ!$BO$6:$BO$383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C-BF26-448F-949C-0C426678A4B1}"/>
            </c:ext>
          </c:extLst>
        </c:ser>
        <c:ser>
          <c:idx val="61"/>
          <c:order val="61"/>
          <c:tx>
            <c:strRef>
              <c:f>КИРОВСКИЙ!$BP$1:$BP$5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канализации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КИРОВСКИЙ!$BP$6:$BP$383</c:f>
              <c:numCache>
                <c:formatCode>@</c:formatCode>
                <c:ptCount val="378"/>
                <c:pt idx="1">
                  <c:v>53</c:v>
                </c:pt>
                <c:pt idx="62">
                  <c:v>0</c:v>
                </c:pt>
                <c:pt idx="65">
                  <c:v>0</c:v>
                </c:pt>
                <c:pt idx="152">
                  <c:v>0</c:v>
                </c:pt>
                <c:pt idx="195">
                  <c:v>0</c:v>
                </c:pt>
                <c:pt idx="211">
                  <c:v>0</c:v>
                </c:pt>
                <c:pt idx="219">
                  <c:v>0</c:v>
                </c:pt>
                <c:pt idx="316">
                  <c:v>0</c:v>
                </c:pt>
                <c:pt idx="350">
                  <c:v>0</c:v>
                </c:pt>
                <c:pt idx="352">
                  <c:v>0</c:v>
                </c:pt>
                <c:pt idx="354">
                  <c:v>0</c:v>
                </c:pt>
                <c:pt idx="355">
                  <c:v>0</c:v>
                </c:pt>
                <c:pt idx="36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D-BF26-448F-949C-0C426678A4B1}"/>
            </c:ext>
          </c:extLst>
        </c:ser>
        <c:ser>
          <c:idx val="62"/>
          <c:order val="62"/>
          <c:tx>
            <c:strRef>
              <c:f>КИРОВСКИЙ!$BQ$1:$BQ$5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750 Внутридомовые сети канализации План 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КИРОВСКИЙ!$BQ$6:$BQ$383</c:f>
              <c:numCache>
                <c:formatCode>General</c:formatCode>
                <c:ptCount val="378"/>
                <c:pt idx="1">
                  <c:v>54</c:v>
                </c:pt>
                <c:pt idx="62" formatCode="0.00">
                  <c:v>0</c:v>
                </c:pt>
                <c:pt idx="65" formatCode="0.00">
                  <c:v>0</c:v>
                </c:pt>
                <c:pt idx="152" formatCode="0.00">
                  <c:v>0</c:v>
                </c:pt>
                <c:pt idx="195" formatCode="0.00">
                  <c:v>0</c:v>
                </c:pt>
                <c:pt idx="211" formatCode="0.00">
                  <c:v>20</c:v>
                </c:pt>
                <c:pt idx="219" formatCode="0.00">
                  <c:v>0</c:v>
                </c:pt>
                <c:pt idx="316" formatCode="0.00">
                  <c:v>0</c:v>
                </c:pt>
                <c:pt idx="350" formatCode="0.00">
                  <c:v>0</c:v>
                </c:pt>
                <c:pt idx="352" formatCode="0.00">
                  <c:v>0</c:v>
                </c:pt>
                <c:pt idx="354" formatCode="0.00">
                  <c:v>15</c:v>
                </c:pt>
                <c:pt idx="355" formatCode="0.00">
                  <c:v>30</c:v>
                </c:pt>
                <c:pt idx="365" formatCode="0.00">
                  <c:v>22</c:v>
                </c:pt>
                <c:pt idx="377" formatCode="#,##0.00">
                  <c:v>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E-BF26-448F-949C-0C426678A4B1}"/>
            </c:ext>
          </c:extLst>
        </c:ser>
        <c:ser>
          <c:idx val="63"/>
          <c:order val="63"/>
          <c:tx>
            <c:strRef>
              <c:f>КИРОВСКИЙ!$BR$1:$BR$5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Внутридомовые сети канализации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КИРОВСКИЙ!$BR$6:$BR$383</c:f>
              <c:numCache>
                <c:formatCode>#,##0.00</c:formatCode>
                <c:ptCount val="378"/>
                <c:pt idx="1">
                  <c:v>55</c:v>
                </c:pt>
                <c:pt idx="62" formatCode="0.00">
                  <c:v>110500</c:v>
                </c:pt>
                <c:pt idx="65" formatCode="0.00">
                  <c:v>6500</c:v>
                </c:pt>
                <c:pt idx="152">
                  <c:v>3600</c:v>
                </c:pt>
                <c:pt idx="195" formatCode="0.00">
                  <c:v>83200</c:v>
                </c:pt>
                <c:pt idx="211" formatCode="0.00">
                  <c:v>26000</c:v>
                </c:pt>
                <c:pt idx="219" formatCode="0.00">
                  <c:v>19500</c:v>
                </c:pt>
                <c:pt idx="316" formatCode="0.00">
                  <c:v>8400</c:v>
                </c:pt>
                <c:pt idx="350" formatCode="0.00">
                  <c:v>42000</c:v>
                </c:pt>
                <c:pt idx="352" formatCode="0.00">
                  <c:v>42000</c:v>
                </c:pt>
                <c:pt idx="354" formatCode="0.00">
                  <c:v>22500</c:v>
                </c:pt>
                <c:pt idx="355" formatCode="0.00">
                  <c:v>45000</c:v>
                </c:pt>
                <c:pt idx="365" formatCode="0.00">
                  <c:v>28600</c:v>
                </c:pt>
                <c:pt idx="377">
                  <c:v>437800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F-BF26-448F-949C-0C426678A4B1}"/>
            </c:ext>
          </c:extLst>
        </c:ser>
        <c:ser>
          <c:idx val="64"/>
          <c:order val="64"/>
          <c:tx>
            <c:strRef>
              <c:f>КИРОВСКИЙ!$BS$1:$BS$5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Внутридомовые сети канализации факт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КИРОВСКИЙ!$BS$6:$BS$383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0-BF26-448F-949C-0C426678A4B1}"/>
            </c:ext>
          </c:extLst>
        </c:ser>
        <c:ser>
          <c:idx val="65"/>
          <c:order val="65"/>
          <c:tx>
            <c:strRef>
              <c:f>КИРОВСКИЙ!$BT$1:$BT$5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Внутридомовые сети канализации факт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КИРОВСКИЙ!$BT$6:$BT$383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1-BF26-448F-949C-0C426678A4B1}"/>
            </c:ext>
          </c:extLst>
        </c:ser>
        <c:ser>
          <c:idx val="66"/>
          <c:order val="66"/>
          <c:tx>
            <c:strRef>
              <c:f>КИРОВСКИЙ!$BU$1:$BU$5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Внутридомовые сети канализации факт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КИРОВСКИЙ!$BU$6:$BU$383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2-BF26-448F-949C-0C426678A4B1}"/>
            </c:ext>
          </c:extLst>
        </c:ser>
        <c:ser>
          <c:idx val="67"/>
          <c:order val="67"/>
          <c:tx>
            <c:strRef>
              <c:f>КИРОВСКИЙ!$BV$1:$BV$5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Ввод отопления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КИРОВСКИЙ!$BV$6:$BV$383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3-BF26-448F-949C-0C426678A4B1}"/>
            </c:ext>
          </c:extLst>
        </c:ser>
        <c:ser>
          <c:idx val="68"/>
          <c:order val="68"/>
          <c:tx>
            <c:strRef>
              <c:f>КИРОВСКИЙ!$BW$1:$BW$5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Ввод отопления План 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КИРОВСКИЙ!$BW$6:$BW$383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4-BF26-448F-949C-0C426678A4B1}"/>
            </c:ext>
          </c:extLst>
        </c:ser>
        <c:ser>
          <c:idx val="69"/>
          <c:order val="69"/>
          <c:tx>
            <c:strRef>
              <c:f>КИРОВСКИЙ!$BX$1:$BX$5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Ввод отопления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КИРОВСКИЙ!$BX$6:$BX$383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5-BF26-448F-949C-0C426678A4B1}"/>
            </c:ext>
          </c:extLst>
        </c:ser>
        <c:ser>
          <c:idx val="70"/>
          <c:order val="70"/>
          <c:tx>
            <c:strRef>
              <c:f>КИРОВСКИЙ!$BY$1:$BY$5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Ввод отопления Факт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КИРОВСКИЙ!$BY$6:$BY$383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6-BF26-448F-949C-0C426678A4B1}"/>
            </c:ext>
          </c:extLst>
        </c:ser>
        <c:ser>
          <c:idx val="71"/>
          <c:order val="71"/>
          <c:tx>
            <c:strRef>
              <c:f>КИРОВСКИЙ!$BZ$1:$BZ$5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Ввод отопления Факт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КИРОВСКИЙ!$BZ$6:$BZ$383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7-BF26-448F-949C-0C426678A4B1}"/>
            </c:ext>
          </c:extLst>
        </c:ser>
        <c:ser>
          <c:idx val="72"/>
          <c:order val="72"/>
          <c:tx>
            <c:strRef>
              <c:f>КИРОВСКИЙ!$CA$1:$CA$5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Ввод отопления Факт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КИРОВСКИЙ!$CA$6:$CA$383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8-BF26-448F-949C-0C426678A4B1}"/>
            </c:ext>
          </c:extLst>
        </c:ser>
        <c:ser>
          <c:idx val="73"/>
          <c:order val="73"/>
          <c:tx>
            <c:strRef>
              <c:f>КИРОВСКИЙ!$CB$1:$CB$5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Ввод ХВС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КИРОВСКИЙ!$CB$6:$CB$383</c:f>
              <c:numCache>
                <c:formatCode>General</c:formatCode>
                <c:ptCount val="378"/>
                <c:pt idx="1">
                  <c:v>65</c:v>
                </c:pt>
                <c:pt idx="212" formatCode="0.00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9-BF26-448F-949C-0C426678A4B1}"/>
            </c:ext>
          </c:extLst>
        </c:ser>
        <c:ser>
          <c:idx val="74"/>
          <c:order val="74"/>
          <c:tx>
            <c:strRef>
              <c:f>КИРОВСКИЙ!$CC$1:$CC$5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Ввод ХВС План 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КИРОВСКИЙ!$CC$6:$CC$383</c:f>
              <c:numCache>
                <c:formatCode>General</c:formatCode>
                <c:ptCount val="378"/>
                <c:pt idx="1">
                  <c:v>66</c:v>
                </c:pt>
                <c:pt idx="212" formatCode="0.00">
                  <c:v>6</c:v>
                </c:pt>
                <c:pt idx="377" formatCode="#,##0.00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A-BF26-448F-949C-0C426678A4B1}"/>
            </c:ext>
          </c:extLst>
        </c:ser>
        <c:ser>
          <c:idx val="75"/>
          <c:order val="75"/>
          <c:tx>
            <c:strRef>
              <c:f>КИРОВСКИЙ!$CD$1:$CD$5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Ввод ХВС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КИРОВСКИЙ!$CD$6:$CD$383</c:f>
              <c:numCache>
                <c:formatCode>General</c:formatCode>
                <c:ptCount val="378"/>
                <c:pt idx="1">
                  <c:v>67</c:v>
                </c:pt>
                <c:pt idx="212" formatCode="0.00">
                  <c:v>12000</c:v>
                </c:pt>
                <c:pt idx="377" formatCode="#,##0.00">
                  <c:v>12000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B-BF26-448F-949C-0C426678A4B1}"/>
            </c:ext>
          </c:extLst>
        </c:ser>
        <c:ser>
          <c:idx val="76"/>
          <c:order val="76"/>
          <c:tx>
            <c:strRef>
              <c:f>КИРОВСКИЙ!$CE$1:$CE$5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Ввод ХВС факт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КИРОВСКИЙ!$CE$6:$CE$383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C-BF26-448F-949C-0C426678A4B1}"/>
            </c:ext>
          </c:extLst>
        </c:ser>
        <c:ser>
          <c:idx val="77"/>
          <c:order val="77"/>
          <c:tx>
            <c:strRef>
              <c:f>КИРОВСКИЙ!$CF$1:$CF$5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Ввод ХВС факт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КИРОВСКИЙ!$CF$6:$CF$383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D-BF26-448F-949C-0C426678A4B1}"/>
            </c:ext>
          </c:extLst>
        </c:ser>
        <c:ser>
          <c:idx val="78"/>
          <c:order val="78"/>
          <c:tx>
            <c:strRef>
              <c:f>КИРОВСКИЙ!$CG$1:$CG$5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Ввод ХВС факт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КИРОВСКИЙ!$CG$6:$CG$383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E-BF26-448F-949C-0C426678A4B1}"/>
            </c:ext>
          </c:extLst>
        </c:ser>
        <c:ser>
          <c:idx val="79"/>
          <c:order val="79"/>
          <c:tx>
            <c:strRef>
              <c:f>КИРОВСКИЙ!$CH$1:$CH$5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Канализационный выпуск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КИРОВСКИЙ!$CH$6:$CH$383</c:f>
              <c:numCache>
                <c:formatCode>@</c:formatCode>
                <c:ptCount val="378"/>
                <c:pt idx="1">
                  <c:v>71</c:v>
                </c:pt>
                <c:pt idx="103">
                  <c:v>0</c:v>
                </c:pt>
                <c:pt idx="114">
                  <c:v>0</c:v>
                </c:pt>
                <c:pt idx="149">
                  <c:v>0</c:v>
                </c:pt>
                <c:pt idx="25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F-BF26-448F-949C-0C426678A4B1}"/>
            </c:ext>
          </c:extLst>
        </c:ser>
        <c:ser>
          <c:idx val="80"/>
          <c:order val="80"/>
          <c:tx>
            <c:strRef>
              <c:f>КИРОВСКИЙ!$CI$1:$CI$5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1 200,00 Канализационный выпуск План 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КИРОВСКИЙ!$CI$6:$CI$383</c:f>
              <c:numCache>
                <c:formatCode>General</c:formatCode>
                <c:ptCount val="378"/>
                <c:pt idx="1">
                  <c:v>72</c:v>
                </c:pt>
                <c:pt idx="103" formatCode="0.00">
                  <c:v>6</c:v>
                </c:pt>
                <c:pt idx="114" formatCode="0.00">
                  <c:v>7</c:v>
                </c:pt>
                <c:pt idx="149" formatCode="0.00">
                  <c:v>7</c:v>
                </c:pt>
                <c:pt idx="254" formatCode="0.00">
                  <c:v>7</c:v>
                </c:pt>
                <c:pt idx="377" formatCode="#,##0.00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0-BF26-448F-949C-0C426678A4B1}"/>
            </c:ext>
          </c:extLst>
        </c:ser>
        <c:ser>
          <c:idx val="81"/>
          <c:order val="81"/>
          <c:tx>
            <c:strRef>
              <c:f>КИРОВСКИЙ!$CJ$1:$CJ$5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Канализационный выпуск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КИРОВСКИЙ!$CJ$6:$CJ$383</c:f>
              <c:numCache>
                <c:formatCode>#,##0.00</c:formatCode>
                <c:ptCount val="378"/>
                <c:pt idx="1">
                  <c:v>73</c:v>
                </c:pt>
                <c:pt idx="103" formatCode="0.00">
                  <c:v>45000</c:v>
                </c:pt>
                <c:pt idx="114" formatCode="0.00">
                  <c:v>52500</c:v>
                </c:pt>
                <c:pt idx="149" formatCode="0.00">
                  <c:v>52500</c:v>
                </c:pt>
                <c:pt idx="254" formatCode="0.00">
                  <c:v>52500</c:v>
                </c:pt>
                <c:pt idx="377">
                  <c:v>202500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1-BF26-448F-949C-0C426678A4B1}"/>
            </c:ext>
          </c:extLst>
        </c:ser>
        <c:ser>
          <c:idx val="82"/>
          <c:order val="82"/>
          <c:tx>
            <c:strRef>
              <c:f>КИРОВСКИЙ!$CK$1:$CK$5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Канализационный выпуск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КИРОВСКИЙ!$CK$6:$CK$383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2-BF26-448F-949C-0C426678A4B1}"/>
            </c:ext>
          </c:extLst>
        </c:ser>
        <c:ser>
          <c:idx val="83"/>
          <c:order val="83"/>
          <c:tx>
            <c:strRef>
              <c:f>КИРОВСКИЙ!$CL$1:$CL$5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Канализационный выпуск План 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КИРОВСКИЙ!$CL$6:$CL$383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3-BF26-448F-949C-0C426678A4B1}"/>
            </c:ext>
          </c:extLst>
        </c:ser>
        <c:ser>
          <c:idx val="84"/>
          <c:order val="84"/>
          <c:tx>
            <c:strRef>
              <c:f>КИРОВСКИЙ!$CM$1:$CM$5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Канализационный выпуск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КИРОВСКИЙ!$CM$6:$CM$383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4-BF26-448F-949C-0C426678A4B1}"/>
            </c:ext>
          </c:extLst>
        </c:ser>
        <c:ser>
          <c:idx val="85"/>
          <c:order val="85"/>
          <c:tx>
            <c:strRef>
              <c:f>КИРОВСКИЙ!$CN$1:$CN$5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Электроснабжение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КИРОВСКИЙ!$CN$6:$CN$383</c:f>
              <c:numCache>
                <c:formatCode>@</c:formatCode>
                <c:ptCount val="378"/>
                <c:pt idx="14">
                  <c:v>0</c:v>
                </c:pt>
                <c:pt idx="18">
                  <c:v>0</c:v>
                </c:pt>
                <c:pt idx="38">
                  <c:v>0</c:v>
                </c:pt>
                <c:pt idx="65">
                  <c:v>0</c:v>
                </c:pt>
                <c:pt idx="73">
                  <c:v>0</c:v>
                </c:pt>
                <c:pt idx="75">
                  <c:v>0</c:v>
                </c:pt>
                <c:pt idx="84">
                  <c:v>0</c:v>
                </c:pt>
                <c:pt idx="107">
                  <c:v>0</c:v>
                </c:pt>
                <c:pt idx="115">
                  <c:v>0</c:v>
                </c:pt>
                <c:pt idx="116">
                  <c:v>0</c:v>
                </c:pt>
                <c:pt idx="142">
                  <c:v>0</c:v>
                </c:pt>
                <c:pt idx="150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75">
                  <c:v>0</c:v>
                </c:pt>
                <c:pt idx="199">
                  <c:v>0</c:v>
                </c:pt>
                <c:pt idx="224">
                  <c:v>0</c:v>
                </c:pt>
                <c:pt idx="225">
                  <c:v>0</c:v>
                </c:pt>
                <c:pt idx="244">
                  <c:v>0</c:v>
                </c:pt>
                <c:pt idx="250">
                  <c:v>0</c:v>
                </c:pt>
                <c:pt idx="265">
                  <c:v>0</c:v>
                </c:pt>
                <c:pt idx="266">
                  <c:v>0</c:v>
                </c:pt>
                <c:pt idx="283">
                  <c:v>0</c:v>
                </c:pt>
                <c:pt idx="299">
                  <c:v>0</c:v>
                </c:pt>
                <c:pt idx="302">
                  <c:v>0</c:v>
                </c:pt>
                <c:pt idx="306">
                  <c:v>0</c:v>
                </c:pt>
                <c:pt idx="314">
                  <c:v>0</c:v>
                </c:pt>
                <c:pt idx="316">
                  <c:v>0</c:v>
                </c:pt>
                <c:pt idx="329">
                  <c:v>0</c:v>
                </c:pt>
                <c:pt idx="345">
                  <c:v>0</c:v>
                </c:pt>
                <c:pt idx="347">
                  <c:v>0</c:v>
                </c:pt>
                <c:pt idx="350">
                  <c:v>0</c:v>
                </c:pt>
                <c:pt idx="355">
                  <c:v>0</c:v>
                </c:pt>
                <c:pt idx="363">
                  <c:v>0</c:v>
                </c:pt>
                <c:pt idx="37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5-BF26-448F-949C-0C426678A4B1}"/>
            </c:ext>
          </c:extLst>
        </c:ser>
        <c:ser>
          <c:idx val="86"/>
          <c:order val="86"/>
          <c:tx>
            <c:strRef>
              <c:f>КИРОВСКИЙ!$CO$1:$CO$5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Электроснабжение План 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КИРОВСКИЙ!$CO$6:$CO$383</c:f>
              <c:numCache>
                <c:formatCode>General</c:formatCode>
                <c:ptCount val="378"/>
                <c:pt idx="14" formatCode="0.00">
                  <c:v>0</c:v>
                </c:pt>
                <c:pt idx="18" formatCode="0.00">
                  <c:v>0</c:v>
                </c:pt>
                <c:pt idx="38" formatCode="0.00">
                  <c:v>0</c:v>
                </c:pt>
                <c:pt idx="65" formatCode="0.00">
                  <c:v>0</c:v>
                </c:pt>
                <c:pt idx="73" formatCode="0.00">
                  <c:v>0</c:v>
                </c:pt>
                <c:pt idx="75" formatCode="0.00">
                  <c:v>0</c:v>
                </c:pt>
                <c:pt idx="84" formatCode="0.00">
                  <c:v>0</c:v>
                </c:pt>
                <c:pt idx="107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42" formatCode="0.00">
                  <c:v>0</c:v>
                </c:pt>
                <c:pt idx="150" formatCode="0.00">
                  <c:v>0</c:v>
                </c:pt>
                <c:pt idx="160" formatCode="0.00">
                  <c:v>0</c:v>
                </c:pt>
                <c:pt idx="161" formatCode="0.00">
                  <c:v>150</c:v>
                </c:pt>
                <c:pt idx="162" formatCode="0.00">
                  <c:v>150</c:v>
                </c:pt>
                <c:pt idx="175" formatCode="0.00">
                  <c:v>0</c:v>
                </c:pt>
                <c:pt idx="199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44" formatCode="0.00">
                  <c:v>0</c:v>
                </c:pt>
                <c:pt idx="250" formatCode="0.00">
                  <c:v>0</c:v>
                </c:pt>
                <c:pt idx="265" formatCode="0.00">
                  <c:v>0</c:v>
                </c:pt>
                <c:pt idx="266">
                  <c:v>0</c:v>
                </c:pt>
                <c:pt idx="283" formatCode="0.00">
                  <c:v>100</c:v>
                </c:pt>
                <c:pt idx="299" formatCode="0.00">
                  <c:v>100</c:v>
                </c:pt>
                <c:pt idx="302" formatCode="0.00">
                  <c:v>0</c:v>
                </c:pt>
                <c:pt idx="306" formatCode="0.00">
                  <c:v>0</c:v>
                </c:pt>
                <c:pt idx="314" formatCode="0.00">
                  <c:v>0</c:v>
                </c:pt>
                <c:pt idx="316" formatCode="0.00">
                  <c:v>100</c:v>
                </c:pt>
                <c:pt idx="329" formatCode="0.00">
                  <c:v>100</c:v>
                </c:pt>
                <c:pt idx="345" formatCode="0.00">
                  <c:v>0</c:v>
                </c:pt>
                <c:pt idx="347" formatCode="0.00">
                  <c:v>0</c:v>
                </c:pt>
                <c:pt idx="350" formatCode="0.00">
                  <c:v>0</c:v>
                </c:pt>
                <c:pt idx="355" formatCode="0.00">
                  <c:v>0</c:v>
                </c:pt>
                <c:pt idx="363" formatCode="0.00">
                  <c:v>0</c:v>
                </c:pt>
                <c:pt idx="373" formatCode="0.00">
                  <c:v>0</c:v>
                </c:pt>
                <c:pt idx="377" formatCode="#,##0.00">
                  <c:v>700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6-BF26-448F-949C-0C426678A4B1}"/>
            </c:ext>
          </c:extLst>
        </c:ser>
        <c:ser>
          <c:idx val="87"/>
          <c:order val="87"/>
          <c:tx>
            <c:strRef>
              <c:f>КИРОВСКИЙ!$CP$1:$CP$5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Электроснабжение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КИРОВСКИЙ!$CP$6:$CP$383</c:f>
              <c:numCache>
                <c:formatCode>#,##0.00</c:formatCode>
                <c:ptCount val="378"/>
                <c:pt idx="14">
                  <c:v>25000</c:v>
                </c:pt>
                <c:pt idx="18">
                  <c:v>70000</c:v>
                </c:pt>
                <c:pt idx="38">
                  <c:v>10000</c:v>
                </c:pt>
                <c:pt idx="65">
                  <c:v>120000</c:v>
                </c:pt>
                <c:pt idx="73">
                  <c:v>100000</c:v>
                </c:pt>
                <c:pt idx="75">
                  <c:v>70000</c:v>
                </c:pt>
                <c:pt idx="84">
                  <c:v>5000</c:v>
                </c:pt>
                <c:pt idx="107">
                  <c:v>50000</c:v>
                </c:pt>
                <c:pt idx="115">
                  <c:v>50000</c:v>
                </c:pt>
                <c:pt idx="116">
                  <c:v>10000</c:v>
                </c:pt>
                <c:pt idx="142">
                  <c:v>42000</c:v>
                </c:pt>
                <c:pt idx="150">
                  <c:v>70000</c:v>
                </c:pt>
                <c:pt idx="160">
                  <c:v>5000</c:v>
                </c:pt>
                <c:pt idx="161">
                  <c:v>60000</c:v>
                </c:pt>
                <c:pt idx="162">
                  <c:v>60000</c:v>
                </c:pt>
                <c:pt idx="175">
                  <c:v>5000</c:v>
                </c:pt>
                <c:pt idx="199">
                  <c:v>40000</c:v>
                </c:pt>
                <c:pt idx="224">
                  <c:v>1000000</c:v>
                </c:pt>
                <c:pt idx="225">
                  <c:v>10000</c:v>
                </c:pt>
                <c:pt idx="244">
                  <c:v>70000</c:v>
                </c:pt>
                <c:pt idx="250">
                  <c:v>100000</c:v>
                </c:pt>
                <c:pt idx="265">
                  <c:v>50000</c:v>
                </c:pt>
                <c:pt idx="266">
                  <c:v>500000</c:v>
                </c:pt>
                <c:pt idx="283">
                  <c:v>40000</c:v>
                </c:pt>
                <c:pt idx="299">
                  <c:v>40000</c:v>
                </c:pt>
                <c:pt idx="302">
                  <c:v>161000</c:v>
                </c:pt>
                <c:pt idx="306">
                  <c:v>3000</c:v>
                </c:pt>
                <c:pt idx="314">
                  <c:v>100000</c:v>
                </c:pt>
                <c:pt idx="316">
                  <c:v>50000</c:v>
                </c:pt>
                <c:pt idx="329">
                  <c:v>50000</c:v>
                </c:pt>
                <c:pt idx="345">
                  <c:v>2500</c:v>
                </c:pt>
                <c:pt idx="347">
                  <c:v>30000</c:v>
                </c:pt>
                <c:pt idx="350">
                  <c:v>40000</c:v>
                </c:pt>
                <c:pt idx="355">
                  <c:v>40000</c:v>
                </c:pt>
                <c:pt idx="363">
                  <c:v>48000</c:v>
                </c:pt>
                <c:pt idx="373">
                  <c:v>70000</c:v>
                </c:pt>
                <c:pt idx="377">
                  <c:v>3196500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7-BF26-448F-949C-0C426678A4B1}"/>
            </c:ext>
          </c:extLst>
        </c:ser>
        <c:ser>
          <c:idx val="88"/>
          <c:order val="88"/>
          <c:tx>
            <c:strRef>
              <c:f>КИРОВСКИЙ!$CQ$1:$CQ$5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Электроснабжение факт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КИРОВСКИЙ!$CQ$6:$CQ$383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8-BF26-448F-949C-0C426678A4B1}"/>
            </c:ext>
          </c:extLst>
        </c:ser>
        <c:ser>
          <c:idx val="89"/>
          <c:order val="89"/>
          <c:tx>
            <c:strRef>
              <c:f>КИРОВСКИЙ!$CR$1:$CR$5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Электроснабжение факт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КИРОВСКИЙ!$CR$6:$CR$383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9-BF26-448F-949C-0C426678A4B1}"/>
            </c:ext>
          </c:extLst>
        </c:ser>
        <c:ser>
          <c:idx val="90"/>
          <c:order val="90"/>
          <c:tx>
            <c:strRef>
              <c:f>КИРОВСКИЙ!$CS$1:$CS$5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Электроснабжение факт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КИРОВСКИЙ!$CS$6:$CS$383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A-BF26-448F-949C-0C426678A4B1}"/>
            </c:ext>
          </c:extLst>
        </c:ser>
        <c:ser>
          <c:idx val="91"/>
          <c:order val="91"/>
          <c:tx>
            <c:strRef>
              <c:f>КИРОВСКИЙ!$CT$1:$CT$5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Козырьковое и фасадное освещение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КИРОВСКИЙ!$CT$6:$CT$383</c:f>
              <c:numCache>
                <c:formatCode>General</c:formatCode>
                <c:ptCount val="378"/>
                <c:pt idx="1">
                  <c:v>83</c:v>
                </c:pt>
                <c:pt idx="65" formatCode="0.00">
                  <c:v>3</c:v>
                </c:pt>
                <c:pt idx="160" formatCode="0.00">
                  <c:v>4</c:v>
                </c:pt>
                <c:pt idx="269" formatCode="0.00">
                  <c:v>10</c:v>
                </c:pt>
                <c:pt idx="302" formatCode="0.00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B-BF26-448F-949C-0C426678A4B1}"/>
            </c:ext>
          </c:extLst>
        </c:ser>
        <c:ser>
          <c:idx val="92"/>
          <c:order val="92"/>
          <c:tx>
            <c:strRef>
              <c:f>КИРОВСКИЙ!$CU$1:$CU$5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Козырьковое и фасадное освещение План  шт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КИРОВСКИЙ!$CU$6:$CU$383</c:f>
              <c:numCache>
                <c:formatCode>General</c:formatCode>
                <c:ptCount val="378"/>
                <c:pt idx="1">
                  <c:v>84</c:v>
                </c:pt>
                <c:pt idx="65" formatCode="0.00">
                  <c:v>3</c:v>
                </c:pt>
                <c:pt idx="160" formatCode="0.00">
                  <c:v>1</c:v>
                </c:pt>
                <c:pt idx="269" formatCode="0.00">
                  <c:v>0</c:v>
                </c:pt>
                <c:pt idx="302" formatCode="0.00">
                  <c:v>1</c:v>
                </c:pt>
                <c:pt idx="377" formatCode="#,##0.00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C-BF26-448F-949C-0C426678A4B1}"/>
            </c:ext>
          </c:extLst>
        </c:ser>
        <c:ser>
          <c:idx val="93"/>
          <c:order val="93"/>
          <c:tx>
            <c:strRef>
              <c:f>КИРОВСКИЙ!$CV$1:$CV$5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Козырьковое и фасадное освещение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КИРОВСКИЙ!$CV$6:$CV$383</c:f>
              <c:numCache>
                <c:formatCode>General</c:formatCode>
                <c:ptCount val="378"/>
                <c:pt idx="1">
                  <c:v>85</c:v>
                </c:pt>
                <c:pt idx="65" formatCode="0.00">
                  <c:v>15000</c:v>
                </c:pt>
                <c:pt idx="160" formatCode="0.00">
                  <c:v>5000</c:v>
                </c:pt>
                <c:pt idx="269" formatCode="0.00">
                  <c:v>5000</c:v>
                </c:pt>
                <c:pt idx="302" formatCode="0.00">
                  <c:v>10000</c:v>
                </c:pt>
                <c:pt idx="377" formatCode="#,##0.00">
                  <c:v>35000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D-BF26-448F-949C-0C426678A4B1}"/>
            </c:ext>
          </c:extLst>
        </c:ser>
        <c:ser>
          <c:idx val="94"/>
          <c:order val="94"/>
          <c:tx>
            <c:strRef>
              <c:f>КИРОВСКИЙ!$CW$1:$CW$5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Козырьковое и фасадное освещение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КИРОВСКИЙ!$CW$6:$CW$383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E-BF26-448F-949C-0C426678A4B1}"/>
            </c:ext>
          </c:extLst>
        </c:ser>
        <c:ser>
          <c:idx val="95"/>
          <c:order val="95"/>
          <c:tx>
            <c:strRef>
              <c:f>КИРОВСКИЙ!$CX$1:$CX$5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Козырьковое и фасадное освещение План  м/п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КИРОВСКИЙ!$CX$6:$CX$383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F-BF26-448F-949C-0C426678A4B1}"/>
            </c:ext>
          </c:extLst>
        </c:ser>
        <c:ser>
          <c:idx val="96"/>
          <c:order val="96"/>
          <c:tx>
            <c:strRef>
              <c:f>КИРОВСКИЙ!$CY$1:$CY$5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Козырьковое и фасадное освещение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КИРОВСКИЙ!$CY$6:$CY$383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0-BF26-448F-949C-0C426678A4B1}"/>
            </c:ext>
          </c:extLst>
        </c:ser>
        <c:ser>
          <c:idx val="97"/>
          <c:order val="97"/>
          <c:tx>
            <c:strRef>
              <c:f>КИРОВСКИЙ!$CZ$1:$CZ$5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Отмостки, входы, тротуары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КИРОВСКИЙ!$CZ$6:$CZ$383</c:f>
              <c:numCache>
                <c:formatCode>General</c:formatCode>
                <c:ptCount val="378"/>
                <c:pt idx="1">
                  <c:v>89</c:v>
                </c:pt>
                <c:pt idx="84" formatCode="0.00">
                  <c:v>9</c:v>
                </c:pt>
                <c:pt idx="101" formatCode="0.00">
                  <c:v>8</c:v>
                </c:pt>
                <c:pt idx="191" formatCode="0.00">
                  <c:v>4</c:v>
                </c:pt>
                <c:pt idx="194" formatCode="0.00">
                  <c:v>4</c:v>
                </c:pt>
                <c:pt idx="199" formatCode="0.00">
                  <c:v>6</c:v>
                </c:pt>
                <c:pt idx="215" formatCode="0.00">
                  <c:v>6</c:v>
                </c:pt>
                <c:pt idx="220" formatCode="0.00">
                  <c:v>9</c:v>
                </c:pt>
                <c:pt idx="224" formatCode="0.00">
                  <c:v>5</c:v>
                </c:pt>
                <c:pt idx="237" formatCode="0.00">
                  <c:v>6</c:v>
                </c:pt>
                <c:pt idx="251" formatCode="0.00">
                  <c:v>5</c:v>
                </c:pt>
                <c:pt idx="269" formatCode="0.00">
                  <c:v>9</c:v>
                </c:pt>
                <c:pt idx="283" formatCode="0.00">
                  <c:v>9</c:v>
                </c:pt>
                <c:pt idx="302" formatCode="0.00">
                  <c:v>5</c:v>
                </c:pt>
                <c:pt idx="303" formatCode="0.00">
                  <c:v>6</c:v>
                </c:pt>
                <c:pt idx="348" formatCode="0.00">
                  <c:v>10</c:v>
                </c:pt>
                <c:pt idx="349" formatCode="0.00">
                  <c:v>10</c:v>
                </c:pt>
                <c:pt idx="352" formatCode="0.00">
                  <c:v>8</c:v>
                </c:pt>
                <c:pt idx="361" formatCode="0.00">
                  <c:v>10</c:v>
                </c:pt>
                <c:pt idx="363" formatCode="0.00">
                  <c:v>10</c:v>
                </c:pt>
                <c:pt idx="371" formatCode="0.00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1-BF26-448F-949C-0C426678A4B1}"/>
            </c:ext>
          </c:extLst>
        </c:ser>
        <c:ser>
          <c:idx val="98"/>
          <c:order val="98"/>
          <c:tx>
            <c:strRef>
              <c:f>КИРОВСКИЙ!$DA$1:$DA$5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6 000,00 Отмостки, входы, тротуары План   кв. м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КИРОВСКИЙ!$DA$6:$DA$383</c:f>
              <c:numCache>
                <c:formatCode>General</c:formatCode>
                <c:ptCount val="378"/>
                <c:pt idx="1">
                  <c:v>90</c:v>
                </c:pt>
                <c:pt idx="84" formatCode="0.00">
                  <c:v>106</c:v>
                </c:pt>
                <c:pt idx="101" formatCode="0.00">
                  <c:v>81</c:v>
                </c:pt>
                <c:pt idx="191" formatCode="0.00">
                  <c:v>161</c:v>
                </c:pt>
                <c:pt idx="194" formatCode="0.00">
                  <c:v>35</c:v>
                </c:pt>
                <c:pt idx="199" formatCode="0.00">
                  <c:v>0</c:v>
                </c:pt>
                <c:pt idx="215" formatCode="0.00">
                  <c:v>30</c:v>
                </c:pt>
                <c:pt idx="220" formatCode="0.00">
                  <c:v>66</c:v>
                </c:pt>
                <c:pt idx="224" formatCode="0.00">
                  <c:v>90</c:v>
                </c:pt>
                <c:pt idx="237" formatCode="0.00">
                  <c:v>20</c:v>
                </c:pt>
                <c:pt idx="251" formatCode="0.00">
                  <c:v>108</c:v>
                </c:pt>
                <c:pt idx="269" formatCode="0.00">
                  <c:v>82</c:v>
                </c:pt>
                <c:pt idx="283" formatCode="0.00">
                  <c:v>62</c:v>
                </c:pt>
                <c:pt idx="302" formatCode="0.00">
                  <c:v>0</c:v>
                </c:pt>
                <c:pt idx="303" formatCode="0.00">
                  <c:v>108</c:v>
                </c:pt>
                <c:pt idx="348" formatCode="0.00">
                  <c:v>45</c:v>
                </c:pt>
                <c:pt idx="349" formatCode="0.00">
                  <c:v>20</c:v>
                </c:pt>
                <c:pt idx="352" formatCode="0.00">
                  <c:v>82</c:v>
                </c:pt>
                <c:pt idx="361" formatCode="0.00">
                  <c:v>48</c:v>
                </c:pt>
                <c:pt idx="363" formatCode="0.00">
                  <c:v>25</c:v>
                </c:pt>
                <c:pt idx="371" formatCode="0.00">
                  <c:v>67</c:v>
                </c:pt>
                <c:pt idx="377" formatCode="#,##0.00">
                  <c:v>1236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2-BF26-448F-949C-0C426678A4B1}"/>
            </c:ext>
          </c:extLst>
        </c:ser>
        <c:ser>
          <c:idx val="99"/>
          <c:order val="99"/>
          <c:tx>
            <c:strRef>
              <c:f>КИРОВСКИЙ!$DB$1:$DB$5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Отмостки, входы, тротуары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КИРОВСКИЙ!$DB$6:$DB$383</c:f>
              <c:numCache>
                <c:formatCode>#,##0.00</c:formatCode>
                <c:ptCount val="378"/>
                <c:pt idx="1">
                  <c:v>91</c:v>
                </c:pt>
                <c:pt idx="84">
                  <c:v>190800</c:v>
                </c:pt>
                <c:pt idx="101" formatCode="0.00">
                  <c:v>145800</c:v>
                </c:pt>
                <c:pt idx="191" formatCode="0.00">
                  <c:v>289800</c:v>
                </c:pt>
                <c:pt idx="194" formatCode="0.00">
                  <c:v>63000</c:v>
                </c:pt>
                <c:pt idx="199" formatCode="0.00">
                  <c:v>72000</c:v>
                </c:pt>
                <c:pt idx="215">
                  <c:v>75000</c:v>
                </c:pt>
                <c:pt idx="220" formatCode="0.00">
                  <c:v>118800</c:v>
                </c:pt>
                <c:pt idx="224" formatCode="0.00">
                  <c:v>162000</c:v>
                </c:pt>
                <c:pt idx="237">
                  <c:v>36000</c:v>
                </c:pt>
                <c:pt idx="251" formatCode="0.00">
                  <c:v>194400</c:v>
                </c:pt>
                <c:pt idx="269" formatCode="0.00">
                  <c:v>147600</c:v>
                </c:pt>
                <c:pt idx="283" formatCode="0.00">
                  <c:v>111600</c:v>
                </c:pt>
                <c:pt idx="302" formatCode="0.00">
                  <c:v>30000</c:v>
                </c:pt>
                <c:pt idx="303" formatCode="0.00">
                  <c:v>194400</c:v>
                </c:pt>
                <c:pt idx="348" formatCode="0.00">
                  <c:v>81000</c:v>
                </c:pt>
                <c:pt idx="349" formatCode="0.00">
                  <c:v>36000</c:v>
                </c:pt>
                <c:pt idx="352" formatCode="0.00">
                  <c:v>147600</c:v>
                </c:pt>
                <c:pt idx="361">
                  <c:v>86400</c:v>
                </c:pt>
                <c:pt idx="363" formatCode="0.00">
                  <c:v>45000</c:v>
                </c:pt>
                <c:pt idx="371" formatCode="0.00">
                  <c:v>120600</c:v>
                </c:pt>
                <c:pt idx="377">
                  <c:v>2347800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3-BF26-448F-949C-0C426678A4B1}"/>
            </c:ext>
          </c:extLst>
        </c:ser>
        <c:ser>
          <c:idx val="100"/>
          <c:order val="100"/>
          <c:tx>
            <c:strRef>
              <c:f>КИРОВСКИЙ!$DC$1:$DC$5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Отмостки, входы, тротуары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КИРОВСКИЙ!$DC$6:$DC$383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4-BF26-448F-949C-0C426678A4B1}"/>
            </c:ext>
          </c:extLst>
        </c:ser>
        <c:ser>
          <c:idx val="101"/>
          <c:order val="101"/>
          <c:tx>
            <c:strRef>
              <c:f>КИРОВСКИЙ!$DD$1:$DD$5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Отмостки, входы, тротуары План   кв. м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КИРОВСКИЙ!$DD$6:$DD$383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5-BF26-448F-949C-0C426678A4B1}"/>
            </c:ext>
          </c:extLst>
        </c:ser>
        <c:ser>
          <c:idx val="102"/>
          <c:order val="102"/>
          <c:tx>
            <c:strRef>
              <c:f>КИРОВСКИЙ!$DE$1:$DE$5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Отмостки, входы, тротуары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КИРОВСКИЙ!$DE$6:$DE$383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6-BF26-448F-949C-0C426678A4B1}"/>
            </c:ext>
          </c:extLst>
        </c:ser>
        <c:ser>
          <c:idx val="103"/>
          <c:order val="103"/>
          <c:tx>
            <c:strRef>
              <c:f>КИРОВСКИЙ!$DF$1:$DF$5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Детские спортивные площадки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КИРОВСКИЙ!$DF$6:$DF$383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7-BF26-448F-949C-0C426678A4B1}"/>
            </c:ext>
          </c:extLst>
        </c:ser>
        <c:ser>
          <c:idx val="104"/>
          <c:order val="104"/>
          <c:tx>
            <c:strRef>
              <c:f>КИРОВСКИЙ!$DG$1:$DG$5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Детские спортивные площадки План   кв. м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КИРОВСКИЙ!$DG$6:$DG$383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8-BF26-448F-949C-0C426678A4B1}"/>
            </c:ext>
          </c:extLst>
        </c:ser>
        <c:ser>
          <c:idx val="105"/>
          <c:order val="105"/>
          <c:tx>
            <c:strRef>
              <c:f>КИРОВСКИЙ!$DH$1:$DH$5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Детские спортивные площадки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КИРОВСКИЙ!$DH$6:$DH$383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9-BF26-448F-949C-0C426678A4B1}"/>
            </c:ext>
          </c:extLst>
        </c:ser>
        <c:ser>
          <c:idx val="106"/>
          <c:order val="106"/>
          <c:tx>
            <c:strRef>
              <c:f>КИРОВСКИЙ!$DI$1:$DI$5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Детские спортивные площадки Факт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КИРОВСКИЙ!$DI$6:$DI$383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A-BF26-448F-949C-0C426678A4B1}"/>
            </c:ext>
          </c:extLst>
        </c:ser>
        <c:ser>
          <c:idx val="107"/>
          <c:order val="107"/>
          <c:tx>
            <c:strRef>
              <c:f>КИРОВСКИЙ!$DJ$1:$DJ$5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Детские спортивные площадки Факт  кв. м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КИРОВСКИЙ!$DJ$6:$DJ$383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B-BF26-448F-949C-0C426678A4B1}"/>
            </c:ext>
          </c:extLst>
        </c:ser>
        <c:ser>
          <c:idx val="108"/>
          <c:order val="108"/>
          <c:tx>
            <c:strRef>
              <c:f>КИРОВСКИЙ!$DK$1:$DK$5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Детские спортивные площадки Факт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КИРОВСКИЙ!$DK$6:$DK$383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C-BF26-448F-949C-0C426678A4B1}"/>
            </c:ext>
          </c:extLst>
        </c:ser>
        <c:ser>
          <c:idx val="109"/>
          <c:order val="109"/>
          <c:tx>
            <c:strRef>
              <c:f>КИРОВСКИЙ!$DL$1:$DL$5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Общедомовые приборы учета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КИРОВСКИЙ!$DL$6:$DL$383</c:f>
              <c:numCache>
                <c:formatCode>General</c:formatCode>
                <c:ptCount val="378"/>
                <c:pt idx="1">
                  <c:v>101</c:v>
                </c:pt>
                <c:pt idx="168" formatCode="0.00">
                  <c:v>10</c:v>
                </c:pt>
                <c:pt idx="195" formatCode="0.00">
                  <c:v>8</c:v>
                </c:pt>
                <c:pt idx="303" formatCode="0.00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D-BF26-448F-949C-0C426678A4B1}"/>
            </c:ext>
          </c:extLst>
        </c:ser>
        <c:ser>
          <c:idx val="110"/>
          <c:order val="110"/>
          <c:tx>
            <c:strRef>
              <c:f>КИРОВСКИЙ!$DM$1:$DM$5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Общедомовые приборы учета План  ед., вид коммунального ресурса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КИРОВСКИЙ!$DM$6:$DM$383</c:f>
              <c:numCache>
                <c:formatCode>General</c:formatCode>
                <c:ptCount val="378"/>
                <c:pt idx="1">
                  <c:v>102</c:v>
                </c:pt>
                <c:pt idx="168" formatCode="0.00">
                  <c:v>0</c:v>
                </c:pt>
                <c:pt idx="195" formatCode="0.00">
                  <c:v>0</c:v>
                </c:pt>
                <c:pt idx="303" formatCode="0.0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E-BF26-448F-949C-0C426678A4B1}"/>
            </c:ext>
          </c:extLst>
        </c:ser>
        <c:ser>
          <c:idx val="111"/>
          <c:order val="111"/>
          <c:tx>
            <c:strRef>
              <c:f>КИРОВСКИЙ!$DN$1:$DN$5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Общедомовые приборы учета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КИРОВСКИЙ!$DN$6:$DN$383</c:f>
              <c:numCache>
                <c:formatCode>General</c:formatCode>
                <c:ptCount val="378"/>
                <c:pt idx="1">
                  <c:v>103</c:v>
                </c:pt>
                <c:pt idx="168" formatCode="0.00">
                  <c:v>30000</c:v>
                </c:pt>
                <c:pt idx="195" formatCode="0.00">
                  <c:v>90000</c:v>
                </c:pt>
                <c:pt idx="303" formatCode="0.00">
                  <c:v>25000</c:v>
                </c:pt>
                <c:pt idx="377" formatCode="#,##0.00">
                  <c:v>145000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F-BF26-448F-949C-0C426678A4B1}"/>
            </c:ext>
          </c:extLst>
        </c:ser>
        <c:ser>
          <c:idx val="112"/>
          <c:order val="112"/>
          <c:tx>
            <c:strRef>
              <c:f>КИРОВСКИЙ!$DO$1:$DO$5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Прочее План 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КИРОВСКИЙ!$DO$6:$DO$383</c:f>
              <c:numCache>
                <c:formatCode>@</c:formatCode>
                <c:ptCount val="378"/>
                <c:pt idx="1">
                  <c:v>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0-BF26-448F-949C-0C426678A4B1}"/>
            </c:ext>
          </c:extLst>
        </c:ser>
        <c:ser>
          <c:idx val="113"/>
          <c:order val="113"/>
          <c:tx>
            <c:strRef>
              <c:f>КИРОВСКИЙ!$DP$1:$DP$5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Прочее План  наименование работ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КИРОВСКИЙ!$DP$6:$DP$383</c:f>
              <c:numCache>
                <c:formatCode>General</c:formatCode>
                <c:ptCount val="378"/>
                <c:pt idx="1">
                  <c:v>105</c:v>
                </c:pt>
                <c:pt idx="2" formatCode="0.00">
                  <c:v>0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4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8" formatCode="0.00">
                  <c:v>0</c:v>
                </c:pt>
                <c:pt idx="40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9" formatCode="0.00">
                  <c:v>0</c:v>
                </c:pt>
                <c:pt idx="61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3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4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20" formatCode="0.00">
                  <c:v>0</c:v>
                </c:pt>
                <c:pt idx="123" formatCode="0.00">
                  <c:v>0</c:v>
                </c:pt>
                <c:pt idx="125" formatCode="0.00">
                  <c:v>0</c:v>
                </c:pt>
                <c:pt idx="128" formatCode="0.00">
                  <c:v>0</c:v>
                </c:pt>
                <c:pt idx="130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3" formatCode="0.00">
                  <c:v>0</c:v>
                </c:pt>
                <c:pt idx="158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8" formatCode="0.00">
                  <c:v>0</c:v>
                </c:pt>
                <c:pt idx="180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8" formatCode="0.00">
                  <c:v>0</c:v>
                </c:pt>
                <c:pt idx="191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3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7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42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1" formatCode="0.00">
                  <c:v>0</c:v>
                </c:pt>
                <c:pt idx="253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5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6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5" formatCode="0.00">
                  <c:v>0</c:v>
                </c:pt>
                <c:pt idx="327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1" formatCode="0.00">
                  <c:v>0</c:v>
                </c:pt>
                <c:pt idx="352" formatCode="0.00">
                  <c:v>0</c:v>
                </c:pt>
                <c:pt idx="355" formatCode="0.00">
                  <c:v>0</c:v>
                </c:pt>
                <c:pt idx="357" formatCode="0.00">
                  <c:v>0</c:v>
                </c:pt>
                <c:pt idx="361" formatCode="0.00">
                  <c:v>0</c:v>
                </c:pt>
                <c:pt idx="363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  <c:pt idx="370" formatCode="0.00">
                  <c:v>0</c:v>
                </c:pt>
                <c:pt idx="371" formatCode="0.00">
                  <c:v>0</c:v>
                </c:pt>
                <c:pt idx="374" formatCode="0.00">
                  <c:v>0</c:v>
                </c:pt>
                <c:pt idx="375" formatCode="0.00">
                  <c:v>0</c:v>
                </c:pt>
                <c:pt idx="376" formatCode="0.0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1-BF26-448F-949C-0C426678A4B1}"/>
            </c:ext>
          </c:extLst>
        </c:ser>
        <c:ser>
          <c:idx val="114"/>
          <c:order val="114"/>
          <c:tx>
            <c:strRef>
              <c:f>КИРОВСКИЙ!$DQ$1:$DQ$5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Прочее План 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КИРОВСКИЙ!$DQ$6:$DQ$383</c:f>
              <c:numCache>
                <c:formatCode>#,##0.00</c:formatCode>
                <c:ptCount val="378"/>
                <c:pt idx="1">
                  <c:v>106</c:v>
                </c:pt>
                <c:pt idx="2">
                  <c:v>10000</c:v>
                </c:pt>
                <c:pt idx="3">
                  <c:v>0</c:v>
                </c:pt>
                <c:pt idx="4">
                  <c:v>0</c:v>
                </c:pt>
                <c:pt idx="5">
                  <c:v>153000</c:v>
                </c:pt>
                <c:pt idx="6">
                  <c:v>76800</c:v>
                </c:pt>
                <c:pt idx="7">
                  <c:v>128000</c:v>
                </c:pt>
                <c:pt idx="8">
                  <c:v>77000</c:v>
                </c:pt>
                <c:pt idx="9">
                  <c:v>99000</c:v>
                </c:pt>
                <c:pt idx="10">
                  <c:v>90000</c:v>
                </c:pt>
                <c:pt idx="11">
                  <c:v>117000</c:v>
                </c:pt>
                <c:pt idx="12">
                  <c:v>30000</c:v>
                </c:pt>
                <c:pt idx="13">
                  <c:v>0</c:v>
                </c:pt>
                <c:pt idx="14">
                  <c:v>76800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15000</c:v>
                </c:pt>
                <c:pt idx="21">
                  <c:v>55000</c:v>
                </c:pt>
                <c:pt idx="22">
                  <c:v>49600</c:v>
                </c:pt>
                <c:pt idx="23">
                  <c:v>216000</c:v>
                </c:pt>
                <c:pt idx="24">
                  <c:v>49600</c:v>
                </c:pt>
                <c:pt idx="25">
                  <c:v>120000</c:v>
                </c:pt>
                <c:pt idx="26">
                  <c:v>79000</c:v>
                </c:pt>
                <c:pt idx="27">
                  <c:v>174000</c:v>
                </c:pt>
                <c:pt idx="28">
                  <c:v>139000</c:v>
                </c:pt>
                <c:pt idx="29">
                  <c:v>175000</c:v>
                </c:pt>
                <c:pt idx="30">
                  <c:v>203000</c:v>
                </c:pt>
                <c:pt idx="31">
                  <c:v>15000</c:v>
                </c:pt>
                <c:pt idx="32">
                  <c:v>0</c:v>
                </c:pt>
                <c:pt idx="33">
                  <c:v>203000</c:v>
                </c:pt>
                <c:pt idx="34">
                  <c:v>76800</c:v>
                </c:pt>
                <c:pt idx="35">
                  <c:v>5000</c:v>
                </c:pt>
                <c:pt idx="36">
                  <c:v>6000</c:v>
                </c:pt>
                <c:pt idx="37">
                  <c:v>0</c:v>
                </c:pt>
                <c:pt idx="38">
                  <c:v>50000</c:v>
                </c:pt>
                <c:pt idx="39">
                  <c:v>0</c:v>
                </c:pt>
                <c:pt idx="40">
                  <c:v>51000</c:v>
                </c:pt>
                <c:pt idx="41">
                  <c:v>0</c:v>
                </c:pt>
                <c:pt idx="42">
                  <c:v>21000</c:v>
                </c:pt>
                <c:pt idx="43">
                  <c:v>68000</c:v>
                </c:pt>
                <c:pt idx="44">
                  <c:v>34000</c:v>
                </c:pt>
                <c:pt idx="45">
                  <c:v>34000</c:v>
                </c:pt>
                <c:pt idx="46">
                  <c:v>68000</c:v>
                </c:pt>
                <c:pt idx="47">
                  <c:v>64000</c:v>
                </c:pt>
                <c:pt idx="48">
                  <c:v>68000</c:v>
                </c:pt>
                <c:pt idx="49">
                  <c:v>15000</c:v>
                </c:pt>
                <c:pt idx="50">
                  <c:v>47000</c:v>
                </c:pt>
                <c:pt idx="51">
                  <c:v>30000</c:v>
                </c:pt>
                <c:pt idx="52">
                  <c:v>9000</c:v>
                </c:pt>
                <c:pt idx="53">
                  <c:v>32000</c:v>
                </c:pt>
                <c:pt idx="54">
                  <c:v>19000</c:v>
                </c:pt>
                <c:pt idx="55">
                  <c:v>25000</c:v>
                </c:pt>
                <c:pt idx="56">
                  <c:v>64600</c:v>
                </c:pt>
                <c:pt idx="57">
                  <c:v>0</c:v>
                </c:pt>
                <c:pt idx="58">
                  <c:v>0</c:v>
                </c:pt>
                <c:pt idx="59">
                  <c:v>88000</c:v>
                </c:pt>
                <c:pt idx="60">
                  <c:v>0</c:v>
                </c:pt>
                <c:pt idx="61">
                  <c:v>46000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125400</c:v>
                </c:pt>
                <c:pt idx="66">
                  <c:v>75000</c:v>
                </c:pt>
                <c:pt idx="67">
                  <c:v>193000</c:v>
                </c:pt>
                <c:pt idx="68">
                  <c:v>49600</c:v>
                </c:pt>
                <c:pt idx="69">
                  <c:v>59000</c:v>
                </c:pt>
                <c:pt idx="70">
                  <c:v>76800</c:v>
                </c:pt>
                <c:pt idx="71">
                  <c:v>44800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76800</c:v>
                </c:pt>
                <c:pt idx="78">
                  <c:v>49600</c:v>
                </c:pt>
                <c:pt idx="79">
                  <c:v>69600</c:v>
                </c:pt>
                <c:pt idx="80">
                  <c:v>129200</c:v>
                </c:pt>
                <c:pt idx="81">
                  <c:v>0</c:v>
                </c:pt>
                <c:pt idx="82">
                  <c:v>55000</c:v>
                </c:pt>
                <c:pt idx="83">
                  <c:v>50000</c:v>
                </c:pt>
                <c:pt idx="84">
                  <c:v>0</c:v>
                </c:pt>
                <c:pt idx="85">
                  <c:v>76800</c:v>
                </c:pt>
                <c:pt idx="86">
                  <c:v>50000</c:v>
                </c:pt>
                <c:pt idx="87">
                  <c:v>12000</c:v>
                </c:pt>
                <c:pt idx="88">
                  <c:v>0</c:v>
                </c:pt>
                <c:pt idx="89">
                  <c:v>80000</c:v>
                </c:pt>
                <c:pt idx="90">
                  <c:v>49600</c:v>
                </c:pt>
                <c:pt idx="91">
                  <c:v>80000</c:v>
                </c:pt>
                <c:pt idx="92">
                  <c:v>425000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50000</c:v>
                </c:pt>
                <c:pt idx="99">
                  <c:v>5000</c:v>
                </c:pt>
                <c:pt idx="100">
                  <c:v>15000</c:v>
                </c:pt>
                <c:pt idx="101">
                  <c:v>70000</c:v>
                </c:pt>
                <c:pt idx="102">
                  <c:v>0</c:v>
                </c:pt>
                <c:pt idx="103">
                  <c:v>156800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8000</c:v>
                </c:pt>
                <c:pt idx="109">
                  <c:v>75000</c:v>
                </c:pt>
                <c:pt idx="110">
                  <c:v>76800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104800</c:v>
                </c:pt>
                <c:pt idx="115">
                  <c:v>0</c:v>
                </c:pt>
                <c:pt idx="116">
                  <c:v>115000</c:v>
                </c:pt>
                <c:pt idx="117">
                  <c:v>125000</c:v>
                </c:pt>
                <c:pt idx="118">
                  <c:v>25000</c:v>
                </c:pt>
                <c:pt idx="119">
                  <c:v>0</c:v>
                </c:pt>
                <c:pt idx="120">
                  <c:v>30000</c:v>
                </c:pt>
                <c:pt idx="121">
                  <c:v>0</c:v>
                </c:pt>
                <c:pt idx="122">
                  <c:v>0</c:v>
                </c:pt>
                <c:pt idx="123">
                  <c:v>90000</c:v>
                </c:pt>
                <c:pt idx="124">
                  <c:v>0</c:v>
                </c:pt>
                <c:pt idx="125">
                  <c:v>24000</c:v>
                </c:pt>
                <c:pt idx="126">
                  <c:v>0</c:v>
                </c:pt>
                <c:pt idx="127">
                  <c:v>0</c:v>
                </c:pt>
                <c:pt idx="128">
                  <c:v>270000</c:v>
                </c:pt>
                <c:pt idx="129">
                  <c:v>0</c:v>
                </c:pt>
                <c:pt idx="130">
                  <c:v>35000</c:v>
                </c:pt>
                <c:pt idx="131">
                  <c:v>0</c:v>
                </c:pt>
                <c:pt idx="132">
                  <c:v>0</c:v>
                </c:pt>
                <c:pt idx="133">
                  <c:v>25000</c:v>
                </c:pt>
                <c:pt idx="134">
                  <c:v>20000</c:v>
                </c:pt>
                <c:pt idx="135">
                  <c:v>27000</c:v>
                </c:pt>
                <c:pt idx="136">
                  <c:v>28000</c:v>
                </c:pt>
                <c:pt idx="137">
                  <c:v>35000</c:v>
                </c:pt>
                <c:pt idx="138">
                  <c:v>37000</c:v>
                </c:pt>
                <c:pt idx="139">
                  <c:v>119000</c:v>
                </c:pt>
                <c:pt idx="140">
                  <c:v>21000</c:v>
                </c:pt>
                <c:pt idx="141">
                  <c:v>57000</c:v>
                </c:pt>
                <c:pt idx="142">
                  <c:v>0</c:v>
                </c:pt>
                <c:pt idx="143">
                  <c:v>84400</c:v>
                </c:pt>
                <c:pt idx="144">
                  <c:v>380000</c:v>
                </c:pt>
                <c:pt idx="145">
                  <c:v>57000</c:v>
                </c:pt>
                <c:pt idx="146">
                  <c:v>5000</c:v>
                </c:pt>
                <c:pt idx="147">
                  <c:v>254000</c:v>
                </c:pt>
                <c:pt idx="148">
                  <c:v>0</c:v>
                </c:pt>
                <c:pt idx="149">
                  <c:v>79600</c:v>
                </c:pt>
                <c:pt idx="150">
                  <c:v>5000</c:v>
                </c:pt>
                <c:pt idx="151">
                  <c:v>91800</c:v>
                </c:pt>
                <c:pt idx="152">
                  <c:v>0</c:v>
                </c:pt>
                <c:pt idx="153">
                  <c:v>116800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76800</c:v>
                </c:pt>
                <c:pt idx="159">
                  <c:v>0</c:v>
                </c:pt>
                <c:pt idx="160">
                  <c:v>35000</c:v>
                </c:pt>
                <c:pt idx="161">
                  <c:v>64600</c:v>
                </c:pt>
                <c:pt idx="162">
                  <c:v>0</c:v>
                </c:pt>
                <c:pt idx="163">
                  <c:v>94600</c:v>
                </c:pt>
                <c:pt idx="164">
                  <c:v>106800</c:v>
                </c:pt>
                <c:pt idx="165">
                  <c:v>60000</c:v>
                </c:pt>
                <c:pt idx="166">
                  <c:v>85000</c:v>
                </c:pt>
                <c:pt idx="167">
                  <c:v>50000</c:v>
                </c:pt>
                <c:pt idx="168">
                  <c:v>30000</c:v>
                </c:pt>
                <c:pt idx="169">
                  <c:v>50000</c:v>
                </c:pt>
                <c:pt idx="170">
                  <c:v>76800</c:v>
                </c:pt>
                <c:pt idx="171">
                  <c:v>32000</c:v>
                </c:pt>
                <c:pt idx="172">
                  <c:v>49600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23000</c:v>
                </c:pt>
                <c:pt idx="179">
                  <c:v>0</c:v>
                </c:pt>
                <c:pt idx="180">
                  <c:v>141800</c:v>
                </c:pt>
                <c:pt idx="181">
                  <c:v>0</c:v>
                </c:pt>
                <c:pt idx="182">
                  <c:v>0</c:v>
                </c:pt>
                <c:pt idx="183">
                  <c:v>56000</c:v>
                </c:pt>
                <c:pt idx="184">
                  <c:v>42000</c:v>
                </c:pt>
                <c:pt idx="185">
                  <c:v>45000</c:v>
                </c:pt>
                <c:pt idx="186">
                  <c:v>32000</c:v>
                </c:pt>
                <c:pt idx="187">
                  <c:v>0</c:v>
                </c:pt>
                <c:pt idx="188">
                  <c:v>20000</c:v>
                </c:pt>
                <c:pt idx="189">
                  <c:v>0</c:v>
                </c:pt>
                <c:pt idx="190">
                  <c:v>0</c:v>
                </c:pt>
                <c:pt idx="191">
                  <c:v>30000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169800</c:v>
                </c:pt>
                <c:pt idx="196">
                  <c:v>720000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16000</c:v>
                </c:pt>
                <c:pt idx="201">
                  <c:v>17000</c:v>
                </c:pt>
                <c:pt idx="202">
                  <c:v>0</c:v>
                </c:pt>
                <c:pt idx="203">
                  <c:v>9000</c:v>
                </c:pt>
                <c:pt idx="204">
                  <c:v>0</c:v>
                </c:pt>
                <c:pt idx="205">
                  <c:v>57000</c:v>
                </c:pt>
                <c:pt idx="206">
                  <c:v>147000</c:v>
                </c:pt>
                <c:pt idx="207">
                  <c:v>95000</c:v>
                </c:pt>
                <c:pt idx="208">
                  <c:v>20000</c:v>
                </c:pt>
                <c:pt idx="209">
                  <c:v>95000</c:v>
                </c:pt>
                <c:pt idx="210">
                  <c:v>15000</c:v>
                </c:pt>
                <c:pt idx="211">
                  <c:v>15000</c:v>
                </c:pt>
                <c:pt idx="212">
                  <c:v>174600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20000</c:v>
                </c:pt>
                <c:pt idx="218">
                  <c:v>0</c:v>
                </c:pt>
                <c:pt idx="219">
                  <c:v>0</c:v>
                </c:pt>
                <c:pt idx="220">
                  <c:v>76800</c:v>
                </c:pt>
                <c:pt idx="221">
                  <c:v>30000</c:v>
                </c:pt>
                <c:pt idx="222">
                  <c:v>65000</c:v>
                </c:pt>
                <c:pt idx="223">
                  <c:v>130000</c:v>
                </c:pt>
                <c:pt idx="224">
                  <c:v>40000</c:v>
                </c:pt>
                <c:pt idx="225">
                  <c:v>0</c:v>
                </c:pt>
                <c:pt idx="226">
                  <c:v>187000</c:v>
                </c:pt>
                <c:pt idx="227">
                  <c:v>88000</c:v>
                </c:pt>
                <c:pt idx="228">
                  <c:v>0</c:v>
                </c:pt>
                <c:pt idx="229">
                  <c:v>80000</c:v>
                </c:pt>
                <c:pt idx="230">
                  <c:v>59000</c:v>
                </c:pt>
                <c:pt idx="231">
                  <c:v>23000</c:v>
                </c:pt>
                <c:pt idx="232">
                  <c:v>54000</c:v>
                </c:pt>
                <c:pt idx="233">
                  <c:v>52000</c:v>
                </c:pt>
                <c:pt idx="234">
                  <c:v>47000</c:v>
                </c:pt>
                <c:pt idx="235">
                  <c:v>15000</c:v>
                </c:pt>
                <c:pt idx="236">
                  <c:v>0</c:v>
                </c:pt>
                <c:pt idx="237">
                  <c:v>74600</c:v>
                </c:pt>
                <c:pt idx="238">
                  <c:v>49600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40000</c:v>
                </c:pt>
                <c:pt idx="243">
                  <c:v>0</c:v>
                </c:pt>
                <c:pt idx="244">
                  <c:v>30000</c:v>
                </c:pt>
                <c:pt idx="245">
                  <c:v>20000</c:v>
                </c:pt>
                <c:pt idx="246">
                  <c:v>0</c:v>
                </c:pt>
                <c:pt idx="247">
                  <c:v>15000</c:v>
                </c:pt>
                <c:pt idx="248">
                  <c:v>46000</c:v>
                </c:pt>
                <c:pt idx="249">
                  <c:v>104800</c:v>
                </c:pt>
                <c:pt idx="250">
                  <c:v>0</c:v>
                </c:pt>
                <c:pt idx="251">
                  <c:v>134800</c:v>
                </c:pt>
                <c:pt idx="252">
                  <c:v>0</c:v>
                </c:pt>
                <c:pt idx="253">
                  <c:v>35000</c:v>
                </c:pt>
                <c:pt idx="254">
                  <c:v>0</c:v>
                </c:pt>
                <c:pt idx="255">
                  <c:v>0</c:v>
                </c:pt>
                <c:pt idx="256">
                  <c:v>15000</c:v>
                </c:pt>
                <c:pt idx="257">
                  <c:v>76800</c:v>
                </c:pt>
                <c:pt idx="258">
                  <c:v>0</c:v>
                </c:pt>
                <c:pt idx="259">
                  <c:v>20000</c:v>
                </c:pt>
                <c:pt idx="260">
                  <c:v>91000</c:v>
                </c:pt>
                <c:pt idx="261">
                  <c:v>46000</c:v>
                </c:pt>
                <c:pt idx="262">
                  <c:v>22500</c:v>
                </c:pt>
                <c:pt idx="263">
                  <c:v>68000</c:v>
                </c:pt>
                <c:pt idx="264">
                  <c:v>195000</c:v>
                </c:pt>
                <c:pt idx="265">
                  <c:v>30000</c:v>
                </c:pt>
                <c:pt idx="266">
                  <c:v>90000</c:v>
                </c:pt>
                <c:pt idx="267">
                  <c:v>99000</c:v>
                </c:pt>
                <c:pt idx="268">
                  <c:v>0</c:v>
                </c:pt>
                <c:pt idx="269">
                  <c:v>20000</c:v>
                </c:pt>
                <c:pt idx="270">
                  <c:v>91800</c:v>
                </c:pt>
                <c:pt idx="271">
                  <c:v>0</c:v>
                </c:pt>
                <c:pt idx="272">
                  <c:v>0</c:v>
                </c:pt>
                <c:pt idx="273">
                  <c:v>49600</c:v>
                </c:pt>
                <c:pt idx="274">
                  <c:v>49600</c:v>
                </c:pt>
                <c:pt idx="275">
                  <c:v>20000</c:v>
                </c:pt>
                <c:pt idx="276">
                  <c:v>20000</c:v>
                </c:pt>
                <c:pt idx="277">
                  <c:v>200000</c:v>
                </c:pt>
                <c:pt idx="278">
                  <c:v>0</c:v>
                </c:pt>
                <c:pt idx="279">
                  <c:v>5000</c:v>
                </c:pt>
                <c:pt idx="280">
                  <c:v>20000</c:v>
                </c:pt>
                <c:pt idx="281">
                  <c:v>49600</c:v>
                </c:pt>
                <c:pt idx="282">
                  <c:v>49600</c:v>
                </c:pt>
                <c:pt idx="283">
                  <c:v>0</c:v>
                </c:pt>
                <c:pt idx="284">
                  <c:v>0</c:v>
                </c:pt>
                <c:pt idx="285">
                  <c:v>200000</c:v>
                </c:pt>
                <c:pt idx="286">
                  <c:v>0</c:v>
                </c:pt>
                <c:pt idx="287">
                  <c:v>58000</c:v>
                </c:pt>
                <c:pt idx="288">
                  <c:v>33000</c:v>
                </c:pt>
                <c:pt idx="289">
                  <c:v>34000</c:v>
                </c:pt>
                <c:pt idx="290">
                  <c:v>112000</c:v>
                </c:pt>
                <c:pt idx="291">
                  <c:v>134000</c:v>
                </c:pt>
                <c:pt idx="292">
                  <c:v>180000</c:v>
                </c:pt>
                <c:pt idx="293">
                  <c:v>121000</c:v>
                </c:pt>
                <c:pt idx="294">
                  <c:v>196000</c:v>
                </c:pt>
                <c:pt idx="295">
                  <c:v>227000</c:v>
                </c:pt>
                <c:pt idx="296">
                  <c:v>176000</c:v>
                </c:pt>
                <c:pt idx="297">
                  <c:v>76800</c:v>
                </c:pt>
                <c:pt idx="298">
                  <c:v>59600</c:v>
                </c:pt>
                <c:pt idx="299">
                  <c:v>0</c:v>
                </c:pt>
                <c:pt idx="300">
                  <c:v>15000</c:v>
                </c:pt>
                <c:pt idx="301">
                  <c:v>67000</c:v>
                </c:pt>
                <c:pt idx="302">
                  <c:v>221660</c:v>
                </c:pt>
                <c:pt idx="303">
                  <c:v>30000</c:v>
                </c:pt>
                <c:pt idx="304">
                  <c:v>211000</c:v>
                </c:pt>
                <c:pt idx="305">
                  <c:v>0</c:v>
                </c:pt>
                <c:pt idx="306">
                  <c:v>104500</c:v>
                </c:pt>
                <c:pt idx="307">
                  <c:v>141000</c:v>
                </c:pt>
                <c:pt idx="308">
                  <c:v>20000</c:v>
                </c:pt>
                <c:pt idx="309">
                  <c:v>0</c:v>
                </c:pt>
                <c:pt idx="310">
                  <c:v>0</c:v>
                </c:pt>
                <c:pt idx="311">
                  <c:v>6000</c:v>
                </c:pt>
                <c:pt idx="312">
                  <c:v>189000</c:v>
                </c:pt>
                <c:pt idx="313">
                  <c:v>162000</c:v>
                </c:pt>
                <c:pt idx="314">
                  <c:v>0</c:v>
                </c:pt>
                <c:pt idx="315">
                  <c:v>0</c:v>
                </c:pt>
                <c:pt idx="316">
                  <c:v>20000</c:v>
                </c:pt>
                <c:pt idx="317">
                  <c:v>0</c:v>
                </c:pt>
                <c:pt idx="318">
                  <c:v>0</c:v>
                </c:pt>
                <c:pt idx="319">
                  <c:v>60000</c:v>
                </c:pt>
                <c:pt idx="320">
                  <c:v>94600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53000</c:v>
                </c:pt>
                <c:pt idx="326">
                  <c:v>0</c:v>
                </c:pt>
                <c:pt idx="327">
                  <c:v>14000</c:v>
                </c:pt>
                <c:pt idx="328">
                  <c:v>0</c:v>
                </c:pt>
                <c:pt idx="329">
                  <c:v>0</c:v>
                </c:pt>
                <c:pt idx="330">
                  <c:v>20000</c:v>
                </c:pt>
                <c:pt idx="331">
                  <c:v>16000</c:v>
                </c:pt>
                <c:pt idx="332">
                  <c:v>0</c:v>
                </c:pt>
                <c:pt idx="333">
                  <c:v>76000</c:v>
                </c:pt>
                <c:pt idx="334">
                  <c:v>20000</c:v>
                </c:pt>
                <c:pt idx="335">
                  <c:v>200000</c:v>
                </c:pt>
                <c:pt idx="336">
                  <c:v>5000</c:v>
                </c:pt>
                <c:pt idx="337">
                  <c:v>10000</c:v>
                </c:pt>
                <c:pt idx="338">
                  <c:v>47000</c:v>
                </c:pt>
                <c:pt idx="339">
                  <c:v>0</c:v>
                </c:pt>
                <c:pt idx="340">
                  <c:v>20000</c:v>
                </c:pt>
                <c:pt idx="341">
                  <c:v>144800</c:v>
                </c:pt>
                <c:pt idx="342">
                  <c:v>115200</c:v>
                </c:pt>
                <c:pt idx="343">
                  <c:v>40000</c:v>
                </c:pt>
                <c:pt idx="344">
                  <c:v>40000</c:v>
                </c:pt>
                <c:pt idx="345">
                  <c:v>49600</c:v>
                </c:pt>
                <c:pt idx="346">
                  <c:v>0</c:v>
                </c:pt>
                <c:pt idx="347">
                  <c:v>10000</c:v>
                </c:pt>
                <c:pt idx="348">
                  <c:v>5000</c:v>
                </c:pt>
                <c:pt idx="349">
                  <c:v>124800</c:v>
                </c:pt>
                <c:pt idx="350">
                  <c:v>0</c:v>
                </c:pt>
                <c:pt idx="351">
                  <c:v>69600</c:v>
                </c:pt>
                <c:pt idx="352">
                  <c:v>20000</c:v>
                </c:pt>
                <c:pt idx="353">
                  <c:v>0</c:v>
                </c:pt>
                <c:pt idx="354">
                  <c:v>0</c:v>
                </c:pt>
                <c:pt idx="355">
                  <c:v>116800</c:v>
                </c:pt>
                <c:pt idx="356">
                  <c:v>0</c:v>
                </c:pt>
                <c:pt idx="357">
                  <c:v>55000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15000</c:v>
                </c:pt>
                <c:pt idx="362">
                  <c:v>0</c:v>
                </c:pt>
                <c:pt idx="363">
                  <c:v>30000</c:v>
                </c:pt>
                <c:pt idx="364">
                  <c:v>0</c:v>
                </c:pt>
                <c:pt idx="365">
                  <c:v>0</c:v>
                </c:pt>
                <c:pt idx="366">
                  <c:v>40000</c:v>
                </c:pt>
                <c:pt idx="367">
                  <c:v>49600</c:v>
                </c:pt>
                <c:pt idx="368">
                  <c:v>55000</c:v>
                </c:pt>
                <c:pt idx="369">
                  <c:v>49600</c:v>
                </c:pt>
                <c:pt idx="370">
                  <c:v>28000</c:v>
                </c:pt>
                <c:pt idx="371">
                  <c:v>35000</c:v>
                </c:pt>
                <c:pt idx="372">
                  <c:v>0</c:v>
                </c:pt>
                <c:pt idx="373">
                  <c:v>0</c:v>
                </c:pt>
                <c:pt idx="374">
                  <c:v>69600</c:v>
                </c:pt>
                <c:pt idx="375">
                  <c:v>20000</c:v>
                </c:pt>
                <c:pt idx="376">
                  <c:v>6000</c:v>
                </c:pt>
                <c:pt idx="377">
                  <c:v>18032660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2-BF26-448F-949C-0C426678A4B1}"/>
            </c:ext>
          </c:extLst>
        </c:ser>
        <c:ser>
          <c:idx val="115"/>
          <c:order val="115"/>
          <c:tx>
            <c:strRef>
              <c:f>КИРОВСКИЙ!$DR$1:$DR$5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Прочие работы Факт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КИРОВСКИЙ!$DR$6:$DR$383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3-BF26-448F-949C-0C426678A4B1}"/>
            </c:ext>
          </c:extLst>
        </c:ser>
        <c:ser>
          <c:idx val="116"/>
          <c:order val="116"/>
          <c:tx>
            <c:strRef>
              <c:f>КИРОВСКИЙ!$DS$1:$DS$5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Прочие работы Факт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КИРОВСКИЙ!$DS$6:$DS$383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4-BF26-448F-949C-0C426678A4B1}"/>
            </c:ext>
          </c:extLst>
        </c:ser>
        <c:ser>
          <c:idx val="117"/>
          <c:order val="117"/>
          <c:tx>
            <c:strRef>
              <c:f>КИРОВСКИЙ!$DT$1:$DT$5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Прочие работы Факт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КИРОВСКИЙ!$DT$6:$DT$383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5-BF26-448F-949C-0C426678A4B1}"/>
            </c:ext>
          </c:extLst>
        </c:ser>
        <c:ser>
          <c:idx val="118"/>
          <c:order val="118"/>
          <c:tx>
            <c:strRef>
              <c:f>КИРОВСКИЙ!$DU$1:$DU$5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в том числе дымовые трубы План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КИРОВСКИЙ!$DU$6:$DU$383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6-BF26-448F-949C-0C426678A4B1}"/>
            </c:ext>
          </c:extLst>
        </c:ser>
        <c:ser>
          <c:idx val="119"/>
          <c:order val="119"/>
          <c:tx>
            <c:strRef>
              <c:f>КИРОВСКИЙ!$DV$1:$DV$5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в том числе дымовые трубы План кол-во (шт)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КИРОВСКИЙ!$DV$6:$DV$383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7-BF26-448F-949C-0C426678A4B1}"/>
            </c:ext>
          </c:extLst>
        </c:ser>
        <c:ser>
          <c:idx val="120"/>
          <c:order val="120"/>
          <c:tx>
            <c:strRef>
              <c:f>КИРОВСКИЙ!$DW$1:$DW$5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в том числе дымовые трубы План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КИРОВСКИЙ!$DW$6:$DW$383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8-BF26-448F-949C-0C426678A4B1}"/>
            </c:ext>
          </c:extLst>
        </c:ser>
        <c:ser>
          <c:idx val="121"/>
          <c:order val="121"/>
          <c:tx>
            <c:strRef>
              <c:f>КИРОВСКИЙ!$DX$1:$DX$5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в том числе дымовые трубы факт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КИРОВСКИЙ!$DX$6:$DX$383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9-BF26-448F-949C-0C426678A4B1}"/>
            </c:ext>
          </c:extLst>
        </c:ser>
        <c:ser>
          <c:idx val="122"/>
          <c:order val="122"/>
          <c:tx>
            <c:strRef>
              <c:f>КИРОВСКИЙ!$DY$1:$DY$5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в том числе дымовые трубы факт кол-во (шт)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КИРОВСКИЙ!$DY$6:$DY$383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A-BF26-448F-949C-0C426678A4B1}"/>
            </c:ext>
          </c:extLst>
        </c:ser>
        <c:ser>
          <c:idx val="123"/>
          <c:order val="123"/>
          <c:tx>
            <c:strRef>
              <c:f>КИРОВСКИЙ!$DZ$1:$DZ$5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в том числе дымовые трубы факт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КИРОВСКИЙ!$DZ$6:$DZ$383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B-BF26-448F-949C-0C426678A4B1}"/>
            </c:ext>
          </c:extLst>
        </c:ser>
        <c:ser>
          <c:idx val="124"/>
          <c:order val="124"/>
          <c:tx>
            <c:strRef>
              <c:f>КИРОВСКИЙ!$EA$1:$EA$5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в том числе фасад, цоколь План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КИРОВСКИЙ!$EA$6:$EA$383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C-BF26-448F-949C-0C426678A4B1}"/>
            </c:ext>
          </c:extLst>
        </c:ser>
        <c:ser>
          <c:idx val="125"/>
          <c:order val="125"/>
          <c:tx>
            <c:strRef>
              <c:f>КИРОВСКИЙ!$EB$1:$EB$5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1 800,00 в том числе фасад, цоколь План кол-во (м2)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КИРОВСКИЙ!$EB$6:$EB$383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D-BF26-448F-949C-0C426678A4B1}"/>
            </c:ext>
          </c:extLst>
        </c:ser>
        <c:ser>
          <c:idx val="126"/>
          <c:order val="126"/>
          <c:tx>
            <c:strRef>
              <c:f>КИРОВСКИЙ!$EC$1:$EC$5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фасад, цоколь План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КИРОВСКИЙ!$EC$6:$EC$383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E-BF26-448F-949C-0C426678A4B1}"/>
            </c:ext>
          </c:extLst>
        </c:ser>
        <c:ser>
          <c:idx val="127"/>
          <c:order val="127"/>
          <c:tx>
            <c:strRef>
              <c:f>КИРОВСКИЙ!$ED$1:$ED$5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фасад, цоколь факт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КИРОВСКИЙ!$ED$6:$ED$383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F-BF26-448F-949C-0C426678A4B1}"/>
            </c:ext>
          </c:extLst>
        </c:ser>
        <c:ser>
          <c:idx val="128"/>
          <c:order val="128"/>
          <c:tx>
            <c:strRef>
              <c:f>КИРОВСКИЙ!$EE$1:$EE$5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фасад, цоколь факт кол-во (м2)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КИРОВСКИЙ!$EE$6:$EE$383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0-BF26-448F-949C-0C426678A4B1}"/>
            </c:ext>
          </c:extLst>
        </c:ser>
        <c:ser>
          <c:idx val="129"/>
          <c:order val="129"/>
          <c:tx>
            <c:strRef>
              <c:f>КИРОВСКИЙ!$EF$1:$EF$5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фасад, цоколь факт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КИРОВСКИЙ!$EF$6:$EF$383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1-BF26-448F-949C-0C426678A4B1}"/>
            </c:ext>
          </c:extLst>
        </c:ser>
        <c:ser>
          <c:idx val="130"/>
          <c:order val="130"/>
          <c:tx>
            <c:strRef>
              <c:f>КИРОВСКИЙ!$EG$1:$EG$5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ремонт крыльца План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КИРОВСКИЙ!$EG$6:$EG$383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2-BF26-448F-949C-0C426678A4B1}"/>
            </c:ext>
          </c:extLst>
        </c:ser>
        <c:ser>
          <c:idx val="131"/>
          <c:order val="131"/>
          <c:tx>
            <c:strRef>
              <c:f>КИРОВСКИЙ!$EH$1:$EH$5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ремонт крыльца План кол-во (шт)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КИРОВСКИЙ!$EH$6:$EH$383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3-BF26-448F-949C-0C426678A4B1}"/>
            </c:ext>
          </c:extLst>
        </c:ser>
        <c:ser>
          <c:idx val="132"/>
          <c:order val="132"/>
          <c:tx>
            <c:strRef>
              <c:f>КИРОВСКИЙ!$EI$1:$EI$5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ремонт крыльца План № п-да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КИРОВСКИЙ!$EI$6:$EI$383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4-BF26-448F-949C-0C426678A4B1}"/>
            </c:ext>
          </c:extLst>
        </c:ser>
        <c:ser>
          <c:idx val="133"/>
          <c:order val="133"/>
          <c:tx>
            <c:strRef>
              <c:f>КИРОВСКИЙ!$EJ$1:$EJ$5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ремонт крыльца План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КИРОВСКИЙ!$EJ$6:$EJ$383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5-BF26-448F-949C-0C426678A4B1}"/>
            </c:ext>
          </c:extLst>
        </c:ser>
        <c:ser>
          <c:idx val="134"/>
          <c:order val="134"/>
          <c:tx>
            <c:strRef>
              <c:f>КИРОВСКИЙ!$EK$1:$EK$5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ремонт крыльца План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КИРОВСКИЙ!$EK$6:$EK$383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6-BF26-448F-949C-0C426678A4B1}"/>
            </c:ext>
          </c:extLst>
        </c:ser>
        <c:ser>
          <c:idx val="135"/>
          <c:order val="135"/>
          <c:tx>
            <c:strRef>
              <c:f>КИРОВСКИЙ!$EL$1:$EL$5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ремонт крыльца План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КИРОВСКИЙ!$EL$6:$EL$383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7-BF26-448F-949C-0C426678A4B1}"/>
            </c:ext>
          </c:extLst>
        </c:ser>
        <c:ser>
          <c:idx val="136"/>
          <c:order val="136"/>
          <c:tx>
            <c:strRef>
              <c:f>КИРОВСКИЙ!$EM$1:$EM$5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ремонт крыльца План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КИРОВСКИЙ!$EM$6:$EM$383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8-BF26-448F-949C-0C426678A4B1}"/>
            </c:ext>
          </c:extLst>
        </c:ser>
        <c:ser>
          <c:idx val="137"/>
          <c:order val="137"/>
          <c:tx>
            <c:strRef>
              <c:f>КИРОВСКИЙ!$EN$1:$EN$5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ремонт крыльца План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КИРОВСКИЙ!$EN$6:$EN$383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9-BF26-448F-949C-0C426678A4B1}"/>
            </c:ext>
          </c:extLst>
        </c:ser>
        <c:ser>
          <c:idx val="138"/>
          <c:order val="138"/>
          <c:tx>
            <c:strRef>
              <c:f>КИРОВСКИЙ!$EO$1:$EO$5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установка , ремонт козырька План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КИРОВСКИЙ!$EO$6:$EO$383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A-BF26-448F-949C-0C426678A4B1}"/>
            </c:ext>
          </c:extLst>
        </c:ser>
        <c:ser>
          <c:idx val="139"/>
          <c:order val="139"/>
          <c:tx>
            <c:strRef>
              <c:f>КИРОВСКИЙ!$EP$1:$EP$5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установка , ремонт козырька План кол-во (шт.)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КИРОВСКИЙ!$EP$6:$EP$383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B-BF26-448F-949C-0C426678A4B1}"/>
            </c:ext>
          </c:extLst>
        </c:ser>
        <c:ser>
          <c:idx val="140"/>
          <c:order val="140"/>
          <c:tx>
            <c:strRef>
              <c:f>КИРОВСКИЙ!$EQ$1:$EQ$5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установка , ремонт козырька План № п-да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КИРОВСКИЙ!$EQ$6:$EQ$383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C-BF26-448F-949C-0C426678A4B1}"/>
            </c:ext>
          </c:extLst>
        </c:ser>
        <c:ser>
          <c:idx val="141"/>
          <c:order val="141"/>
          <c:tx>
            <c:strRef>
              <c:f>КИРОВСКИЙ!$ER$1:$ER$5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установка , ремонт козырька План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КИРОВСКИЙ!$ER$6:$ER$383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D-BF26-448F-949C-0C426678A4B1}"/>
            </c:ext>
          </c:extLst>
        </c:ser>
        <c:ser>
          <c:idx val="142"/>
          <c:order val="142"/>
          <c:tx>
            <c:strRef>
              <c:f>КИРОВСКИЙ!$ES$1:$ES$5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установка , ремонт козырька факт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КИРОВСКИЙ!$ES$6:$ES$383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E-BF26-448F-949C-0C426678A4B1}"/>
            </c:ext>
          </c:extLst>
        </c:ser>
        <c:ser>
          <c:idx val="143"/>
          <c:order val="143"/>
          <c:tx>
            <c:strRef>
              <c:f>КИРОВСКИЙ!$ET$1:$ET$5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установка , ремонт козырька факт кол-во (шт.)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КИРОВСКИЙ!$ET$6:$ET$383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F-BF26-448F-949C-0C426678A4B1}"/>
            </c:ext>
          </c:extLst>
        </c:ser>
        <c:ser>
          <c:idx val="144"/>
          <c:order val="144"/>
          <c:tx>
            <c:strRef>
              <c:f>КИРОВСКИЙ!$EU$1:$EU$5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установка , ремонт козырька факт № п-да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КИРОВСКИЙ!$EU$6:$EU$383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90-BF26-448F-949C-0C426678A4B1}"/>
            </c:ext>
          </c:extLst>
        </c:ser>
        <c:ser>
          <c:idx val="145"/>
          <c:order val="145"/>
          <c:tx>
            <c:strRef>
              <c:f>КИРОВСКИЙ!$EV$1:$EV$5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установка , ремонт козырька факт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КИРОВСКИЙ!$EV$6:$EV$383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91-BF26-448F-949C-0C426678A4B1}"/>
            </c:ext>
          </c:extLst>
        </c:ser>
        <c:ser>
          <c:idx val="146"/>
          <c:order val="146"/>
          <c:tx>
            <c:strRef>
              <c:f>КИРОВСКИЙ!$EW$1:$EW$5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ремонт балкона План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КИРОВСКИЙ!$EW$6:$EW$383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92-BF26-448F-949C-0C426678A4B1}"/>
            </c:ext>
          </c:extLst>
        </c:ser>
        <c:ser>
          <c:idx val="147"/>
          <c:order val="147"/>
          <c:tx>
            <c:strRef>
              <c:f>КИРОВСКИЙ!$EX$1:$EX$5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ремонт балкона План кол-во (шт)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КИРОВСКИЙ!$EX$6:$EX$383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93-BF26-448F-949C-0C426678A4B1}"/>
            </c:ext>
          </c:extLst>
        </c:ser>
        <c:ser>
          <c:idx val="148"/>
          <c:order val="148"/>
          <c:tx>
            <c:strRef>
              <c:f>КИРОВСКИЙ!$EY$1:$EY$5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ремонт балкона План № кв.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КИРОВСКИЙ!$EY$6:$EY$383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94-BF26-448F-949C-0C426678A4B1}"/>
            </c:ext>
          </c:extLst>
        </c:ser>
        <c:ser>
          <c:idx val="149"/>
          <c:order val="149"/>
          <c:tx>
            <c:strRef>
              <c:f>КИРОВСКИЙ!$EZ$1:$EZ$5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ремонт балкона План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КИРОВСКИЙ!$EZ$6:$EZ$383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95-BF26-448F-949C-0C426678A4B1}"/>
            </c:ext>
          </c:extLst>
        </c:ser>
        <c:ser>
          <c:idx val="150"/>
          <c:order val="150"/>
          <c:tx>
            <c:strRef>
              <c:f>КИРОВСКИЙ!$FA$1:$FA$5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ремонт балкона План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КИРОВСКИЙ!$FA$6:$FA$383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96-BF26-448F-949C-0C426678A4B1}"/>
            </c:ext>
          </c:extLst>
        </c:ser>
        <c:ser>
          <c:idx val="151"/>
          <c:order val="151"/>
          <c:tx>
            <c:strRef>
              <c:f>КИРОВСКИЙ!$FB$1:$FB$5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ремонт балкона План кол-во (шт)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КИРОВСКИЙ!$FB$6:$FB$383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97-BF26-448F-949C-0C426678A4B1}"/>
            </c:ext>
          </c:extLst>
        </c:ser>
        <c:ser>
          <c:idx val="152"/>
          <c:order val="152"/>
          <c:tx>
            <c:strRef>
              <c:f>КИРОВСКИЙ!$FC$1:$FC$5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ремонт балкона План № кв.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КИРОВСКИЙ!$FC$6:$FC$383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98-BF26-448F-949C-0C426678A4B1}"/>
            </c:ext>
          </c:extLst>
        </c:ser>
        <c:ser>
          <c:idx val="153"/>
          <c:order val="153"/>
          <c:tx>
            <c:strRef>
              <c:f>КИРОВСКИЙ!$FD$1:$FD$5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ремонт балкона План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КИРОВСКИЙ!$FD$6:$FD$383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99-BF26-448F-949C-0C426678A4B1}"/>
            </c:ext>
          </c:extLst>
        </c:ser>
        <c:ser>
          <c:idx val="154"/>
          <c:order val="154"/>
          <c:tx>
            <c:strRef>
              <c:f>КИРОВСКИЙ!$FE$1:$FE$5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отопление подъезда План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КИРОВСКИЙ!$FE$6:$FE$383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9A-BF26-448F-949C-0C426678A4B1}"/>
            </c:ext>
          </c:extLst>
        </c:ser>
        <c:ser>
          <c:idx val="155"/>
          <c:order val="155"/>
          <c:tx>
            <c:strRef>
              <c:f>КИРОВСКИЙ!$FF$1:$FF$5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отопление подъезда План кол-во (шт)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КИРОВСКИЙ!$FF$6:$FF$383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9B-BF26-448F-949C-0C426678A4B1}"/>
            </c:ext>
          </c:extLst>
        </c:ser>
        <c:ser>
          <c:idx val="156"/>
          <c:order val="156"/>
          <c:tx>
            <c:strRef>
              <c:f>КИРОВСКИЙ!$FG$1:$FG$5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отопление подъезда План №п-да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КИРОВСКИЙ!$FG$6:$FG$383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9C-BF26-448F-949C-0C426678A4B1}"/>
            </c:ext>
          </c:extLst>
        </c:ser>
        <c:ser>
          <c:idx val="157"/>
          <c:order val="157"/>
          <c:tx>
            <c:strRef>
              <c:f>КИРОВСКИЙ!$FH$1:$FH$5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отопление подъезда План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КИРОВСКИЙ!$FH$6:$FH$383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9D-BF26-448F-949C-0C426678A4B1}"/>
            </c:ext>
          </c:extLst>
        </c:ser>
        <c:ser>
          <c:idx val="158"/>
          <c:order val="158"/>
          <c:tx>
            <c:strRef>
              <c:f>КИРОВСКИЙ!$FI$1:$FI$5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отопление подъезда План месяц 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КИРОВСКИЙ!$FI$6:$FI$383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9E-BF26-448F-949C-0C426678A4B1}"/>
            </c:ext>
          </c:extLst>
        </c:ser>
        <c:ser>
          <c:idx val="159"/>
          <c:order val="159"/>
          <c:tx>
            <c:strRef>
              <c:f>КИРОВСКИЙ!$FJ$1:$FJ$5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отопление подъезда План кол-во (шт)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КИРОВСКИЙ!$FJ$6:$FJ$383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9F-BF26-448F-949C-0C426678A4B1}"/>
            </c:ext>
          </c:extLst>
        </c:ser>
        <c:ser>
          <c:idx val="160"/>
          <c:order val="160"/>
          <c:tx>
            <c:strRef>
              <c:f>КИРОВСКИЙ!$FK$1:$FK$5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отопление подъезда План №п-да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КИРОВСКИЙ!$FK$6:$FK$383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A0-BF26-448F-949C-0C426678A4B1}"/>
            </c:ext>
          </c:extLst>
        </c:ser>
        <c:ser>
          <c:idx val="161"/>
          <c:order val="161"/>
          <c:tx>
            <c:strRef>
              <c:f>КИРОВСКИЙ!$FL$1:$FL$5</c:f>
              <c:strCache>
                <c:ptCount val="1"/>
                <c:pt idx="0">
                  <c:v>План по текущему ремонту жилых домов, находящихся в обслуживании МП г.о. Самара "Универсалбыт" на 2021год 600,00 в том числе отопление подъезда План руб.</c:v>
                </c:pt>
              </c:strCache>
            </c:strRef>
          </c:tx>
          <c:cat>
            <c:multiLvlStrRef>
              <c:f>КИРОВСКИЙ!$A$6:$D$383</c:f>
              <c:multiLvlStrCache>
                <c:ptCount val="756"/>
                <c:lvl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9">
                    <c:v>4</c:v>
                  </c:pt>
                  <c:pt idx="380">
                    <c:v>Аэропорт - 2</c:v>
                  </c:pt>
                  <c:pt idx="381">
                    <c:v>Аэропорт - 2 </c:v>
                  </c:pt>
                  <c:pt idx="382">
                    <c:v>Аэропорт - 2</c:v>
                  </c:pt>
                  <c:pt idx="383">
                    <c:v>Балтийская</c:v>
                  </c:pt>
                  <c:pt idx="384">
                    <c:v>Балтийская </c:v>
                  </c:pt>
                  <c:pt idx="385">
                    <c:v>Балтийская /Дальневосточная </c:v>
                  </c:pt>
                  <c:pt idx="386">
                    <c:v>Бортмехаников </c:v>
                  </c:pt>
                  <c:pt idx="387">
                    <c:v>Бортмехаников </c:v>
                  </c:pt>
                  <c:pt idx="388">
                    <c:v>Бортмехаников </c:v>
                  </c:pt>
                  <c:pt idx="389">
                    <c:v>Бортмехаников </c:v>
                  </c:pt>
                  <c:pt idx="390">
                    <c:v>Бугурусланская / Подольская</c:v>
                  </c:pt>
                  <c:pt idx="391">
                    <c:v>Волочаевская </c:v>
                  </c:pt>
                  <c:pt idx="392">
                    <c:v>Вольская / Кирова</c:v>
                  </c:pt>
                  <c:pt idx="393">
                    <c:v>Вольская </c:v>
                  </c:pt>
                  <c:pt idx="394">
                    <c:v>Вольская / Каховская </c:v>
                  </c:pt>
                  <c:pt idx="395">
                    <c:v>Георгия Димитрова </c:v>
                  </c:pt>
                  <c:pt idx="396">
                    <c:v>Грибоедова</c:v>
                  </c:pt>
                  <c:pt idx="397">
                    <c:v>Грибоедова</c:v>
                  </c:pt>
                  <c:pt idx="398">
                    <c:v>Грибоедова </c:v>
                  </c:pt>
                  <c:pt idx="399">
                    <c:v>Грибоедова </c:v>
                  </c:pt>
                  <c:pt idx="400">
                    <c:v>Дальневосточная</c:v>
                  </c:pt>
                  <c:pt idx="401">
                    <c:v>Дальневосточная </c:v>
                  </c:pt>
                  <c:pt idx="402">
                    <c:v>Дальневосточная</c:v>
                  </c:pt>
                  <c:pt idx="403">
                    <c:v>Дальневосточная </c:v>
                  </c:pt>
                  <c:pt idx="404">
                    <c:v>Дальневосточная</c:v>
                  </c:pt>
                  <c:pt idx="405">
                    <c:v>Дальневосточная</c:v>
                  </c:pt>
                  <c:pt idx="406">
                    <c:v>Дальневосточная</c:v>
                  </c:pt>
                  <c:pt idx="407">
                    <c:v>Дальневосточная </c:v>
                  </c:pt>
                  <c:pt idx="408">
                    <c:v>Дальневосточная</c:v>
                  </c:pt>
                  <c:pt idx="409">
                    <c:v>Дальневосточная </c:v>
                  </c:pt>
                  <c:pt idx="410">
                    <c:v>Дальневосточная </c:v>
                  </c:pt>
                  <c:pt idx="411">
                    <c:v>Дальневосточная </c:v>
                  </c:pt>
                  <c:pt idx="412">
                    <c:v>Дальневосточная</c:v>
                  </c:pt>
                  <c:pt idx="413">
                    <c:v>Дальняя </c:v>
                  </c:pt>
                  <c:pt idx="414">
                    <c:v>Дальняя</c:v>
                  </c:pt>
                  <c:pt idx="415">
                    <c:v>*Дальняя </c:v>
                  </c:pt>
                  <c:pt idx="416">
                    <c:v>Дальняя </c:v>
                  </c:pt>
                  <c:pt idx="417">
                    <c:v>*Дальняя </c:v>
                  </c:pt>
                  <c:pt idx="418">
                    <c:v>Дальняя </c:v>
                  </c:pt>
                  <c:pt idx="419">
                    <c:v>*Дальняя </c:v>
                  </c:pt>
                  <c:pt idx="420">
                    <c:v>Дальняя </c:v>
                  </c:pt>
                  <c:pt idx="421">
                    <c:v>Дальняя </c:v>
                  </c:pt>
                  <c:pt idx="422">
                    <c:v>Дальняя </c:v>
                  </c:pt>
                  <c:pt idx="423">
                    <c:v>Дальняя </c:v>
                  </c:pt>
                  <c:pt idx="424">
                    <c:v>Дальняя </c:v>
                  </c:pt>
                  <c:pt idx="425">
                    <c:v>Дальняя </c:v>
                  </c:pt>
                  <c:pt idx="426">
                    <c:v>Дальняя </c:v>
                  </c:pt>
                  <c:pt idx="427">
                    <c:v>Елизарова</c:v>
                  </c:pt>
                  <c:pt idx="428">
                    <c:v>Елизарова </c:v>
                  </c:pt>
                  <c:pt idx="429">
                    <c:v>Елизарова </c:v>
                  </c:pt>
                  <c:pt idx="430">
                    <c:v>Елизарова </c:v>
                  </c:pt>
                  <c:pt idx="431">
                    <c:v>Елизарова </c:v>
                  </c:pt>
                  <c:pt idx="432">
                    <c:v>Елизарова</c:v>
                  </c:pt>
                  <c:pt idx="433">
                    <c:v>Енисейская </c:v>
                  </c:pt>
                  <c:pt idx="434">
                    <c:v>Енисейская </c:v>
                  </c:pt>
                  <c:pt idx="435">
                    <c:v>Енисейская </c:v>
                  </c:pt>
                  <c:pt idx="436">
                    <c:v>Земеца </c:v>
                  </c:pt>
                  <c:pt idx="437">
                    <c:v>Землянский проезд </c:v>
                  </c:pt>
                  <c:pt idx="438">
                    <c:v>Землянский проезд </c:v>
                  </c:pt>
                  <c:pt idx="439">
                    <c:v>Землянский проезд </c:v>
                  </c:pt>
                  <c:pt idx="440">
                    <c:v>Зубчаниновское шоссе</c:v>
                  </c:pt>
                  <c:pt idx="441">
                    <c:v>Зубчаниновское шоссе</c:v>
                  </c:pt>
                  <c:pt idx="442">
                    <c:v>Зубчаниновское шоссе</c:v>
                  </c:pt>
                  <c:pt idx="443">
                    <c:v>Зубчаниновское шоссе</c:v>
                  </c:pt>
                  <c:pt idx="444">
                    <c:v>Карачаевская</c:v>
                  </c:pt>
                  <c:pt idx="445">
                    <c:v>Карачаевская</c:v>
                  </c:pt>
                  <c:pt idx="446">
                    <c:v>Карачаевская</c:v>
                  </c:pt>
                  <c:pt idx="447">
                    <c:v>Карачаевская </c:v>
                  </c:pt>
                  <c:pt idx="448">
                    <c:v>Каховская</c:v>
                  </c:pt>
                  <c:pt idx="449">
                    <c:v>Каховская</c:v>
                  </c:pt>
                  <c:pt idx="450">
                    <c:v>Каховская </c:v>
                  </c:pt>
                  <c:pt idx="451">
                    <c:v>Каховская</c:v>
                  </c:pt>
                  <c:pt idx="452">
                    <c:v>Каховская </c:v>
                  </c:pt>
                  <c:pt idx="453">
                    <c:v>Каховская</c:v>
                  </c:pt>
                  <c:pt idx="454">
                    <c:v>Каховская</c:v>
                  </c:pt>
                  <c:pt idx="455">
                    <c:v>Каховская </c:v>
                  </c:pt>
                  <c:pt idx="456">
                    <c:v>Каховская</c:v>
                  </c:pt>
                  <c:pt idx="457">
                    <c:v>Каховская</c:v>
                  </c:pt>
                  <c:pt idx="458">
                    <c:v>Каховская </c:v>
                  </c:pt>
                  <c:pt idx="459">
                    <c:v>Каховская </c:v>
                  </c:pt>
                  <c:pt idx="460">
                    <c:v>Каховская </c:v>
                  </c:pt>
                  <c:pt idx="461">
                    <c:v>Каховская </c:v>
                  </c:pt>
                  <c:pt idx="462">
                    <c:v>Каховская </c:v>
                  </c:pt>
                  <c:pt idx="463">
                    <c:v>Каховская </c:v>
                  </c:pt>
                  <c:pt idx="464">
                    <c:v>Каховская </c:v>
                  </c:pt>
                  <c:pt idx="465">
                    <c:v>Каховская </c:v>
                  </c:pt>
                  <c:pt idx="466">
                    <c:v>Каховская </c:v>
                  </c:pt>
                  <c:pt idx="467">
                    <c:v>Кирова / Вольская </c:v>
                  </c:pt>
                  <c:pt idx="468">
                    <c:v>Кирова </c:v>
                  </c:pt>
                  <c:pt idx="469">
                    <c:v>Кирова </c:v>
                  </c:pt>
                  <c:pt idx="470">
                    <c:v>Кирова </c:v>
                  </c:pt>
                  <c:pt idx="471">
                    <c:v>Кирова </c:v>
                  </c:pt>
                  <c:pt idx="472">
                    <c:v>Кирова </c:v>
                  </c:pt>
                  <c:pt idx="473">
                    <c:v>Кирова </c:v>
                  </c:pt>
                  <c:pt idx="474">
                    <c:v>Кирова </c:v>
                  </c:pt>
                  <c:pt idx="475">
                    <c:v>Кирова </c:v>
                  </c:pt>
                  <c:pt idx="476">
                    <c:v>Кирова </c:v>
                  </c:pt>
                  <c:pt idx="477">
                    <c:v>Кирова</c:v>
                  </c:pt>
                  <c:pt idx="478">
                    <c:v>Кирова </c:v>
                  </c:pt>
                  <c:pt idx="479">
                    <c:v>Кирова </c:v>
                  </c:pt>
                  <c:pt idx="480">
                    <c:v>Кирова </c:v>
                  </c:pt>
                  <c:pt idx="481">
                    <c:v>Кирова </c:v>
                  </c:pt>
                  <c:pt idx="482">
                    <c:v>Кирова </c:v>
                  </c:pt>
                  <c:pt idx="483">
                    <c:v>Кирова </c:v>
                  </c:pt>
                  <c:pt idx="484">
                    <c:v>Кирова </c:v>
                  </c:pt>
                  <c:pt idx="485">
                    <c:v>Кирова </c:v>
                  </c:pt>
                  <c:pt idx="486">
                    <c:v>Кирова </c:v>
                  </c:pt>
                  <c:pt idx="487">
                    <c:v>Кирова </c:v>
                  </c:pt>
                  <c:pt idx="488">
                    <c:v>Кирова</c:v>
                  </c:pt>
                  <c:pt idx="489">
                    <c:v>Кирова </c:v>
                  </c:pt>
                  <c:pt idx="490">
                    <c:v>Кирова </c:v>
                  </c:pt>
                  <c:pt idx="491">
                    <c:v>Кирова </c:v>
                  </c:pt>
                  <c:pt idx="492">
                    <c:v>Кирова </c:v>
                  </c:pt>
                  <c:pt idx="493">
                    <c:v>Кирова </c:v>
                  </c:pt>
                  <c:pt idx="494">
                    <c:v>Кирова </c:v>
                  </c:pt>
                  <c:pt idx="495">
                    <c:v>Кирова </c:v>
                  </c:pt>
                  <c:pt idx="496">
                    <c:v>Кирова </c:v>
                  </c:pt>
                  <c:pt idx="497">
                    <c:v>Кирова </c:v>
                  </c:pt>
                  <c:pt idx="498">
                    <c:v>Коломенский переулок </c:v>
                  </c:pt>
                  <c:pt idx="499">
                    <c:v>Коломенский переулок </c:v>
                  </c:pt>
                  <c:pt idx="500">
                    <c:v>*Коломенский переулок</c:v>
                  </c:pt>
                  <c:pt idx="501">
                    <c:v>Коломенский переулок </c:v>
                  </c:pt>
                  <c:pt idx="502">
                    <c:v>*Коломенский переулок</c:v>
                  </c:pt>
                  <c:pt idx="503">
                    <c:v>Коломенский переулок</c:v>
                  </c:pt>
                  <c:pt idx="504">
                    <c:v>*Конный проезд</c:v>
                  </c:pt>
                  <c:pt idx="505">
                    <c:v>Конный проезд</c:v>
                  </c:pt>
                  <c:pt idx="506">
                    <c:v>Краснодонская </c:v>
                  </c:pt>
                  <c:pt idx="507">
                    <c:v>Краснодонская </c:v>
                  </c:pt>
                  <c:pt idx="508">
                    <c:v>Краснодонская </c:v>
                  </c:pt>
                  <c:pt idx="509">
                    <c:v>Краснодонская </c:v>
                  </c:pt>
                  <c:pt idx="510">
                    <c:v>Краснодонская </c:v>
                  </c:pt>
                  <c:pt idx="511">
                    <c:v>Краснодонская </c:v>
                  </c:pt>
                  <c:pt idx="512">
                    <c:v>Краснодонская </c:v>
                  </c:pt>
                  <c:pt idx="513">
                    <c:v>Краснодонская </c:v>
                  </c:pt>
                  <c:pt idx="514">
                    <c:v>Краснодонская </c:v>
                  </c:pt>
                  <c:pt idx="515">
                    <c:v>Краснодонская </c:v>
                  </c:pt>
                  <c:pt idx="516">
                    <c:v>Краснодонская </c:v>
                  </c:pt>
                  <c:pt idx="517">
                    <c:v>Кузнецкая</c:v>
                  </c:pt>
                  <c:pt idx="518">
                    <c:v>Литвинова </c:v>
                  </c:pt>
                  <c:pt idx="519">
                    <c:v>Литвинова</c:v>
                  </c:pt>
                  <c:pt idx="520">
                    <c:v>Литвинова </c:v>
                  </c:pt>
                  <c:pt idx="521">
                    <c:v>Литвинова </c:v>
                  </c:pt>
                  <c:pt idx="522">
                    <c:v>Магистральная</c:v>
                  </c:pt>
                  <c:pt idx="523">
                    <c:v>Магистральная</c:v>
                  </c:pt>
                  <c:pt idx="524">
                    <c:v>Магистральная</c:v>
                  </c:pt>
                  <c:pt idx="525">
                    <c:v>Магистральная </c:v>
                  </c:pt>
                  <c:pt idx="526">
                    <c:v>Магистральная </c:v>
                  </c:pt>
                  <c:pt idx="527">
                    <c:v>Магистральная </c:v>
                  </c:pt>
                  <c:pt idx="528">
                    <c:v>Магистральная </c:v>
                  </c:pt>
                  <c:pt idx="529">
                    <c:v>Марии Авейде </c:v>
                  </c:pt>
                  <c:pt idx="530">
                    <c:v>Марии Авейде</c:v>
                  </c:pt>
                  <c:pt idx="531">
                    <c:v>Металлистов </c:v>
                  </c:pt>
                  <c:pt idx="532">
                    <c:v>Металлистов </c:v>
                  </c:pt>
                  <c:pt idx="533">
                    <c:v>Металлистов </c:v>
                  </c:pt>
                  <c:pt idx="534">
                    <c:v>Металлистов </c:v>
                  </c:pt>
                  <c:pt idx="535">
                    <c:v>Металлистов</c:v>
                  </c:pt>
                  <c:pt idx="536">
                    <c:v>Металлистов </c:v>
                  </c:pt>
                  <c:pt idx="537">
                    <c:v>Металлистов </c:v>
                  </c:pt>
                  <c:pt idx="538">
                    <c:v>Металлистов </c:v>
                  </c:pt>
                  <c:pt idx="539">
                    <c:v>Металлистов</c:v>
                  </c:pt>
                  <c:pt idx="540">
                    <c:v>Металлистов </c:v>
                  </c:pt>
                  <c:pt idx="541">
                    <c:v>Металлистов </c:v>
                  </c:pt>
                  <c:pt idx="542">
                    <c:v>Металлистов </c:v>
                  </c:pt>
                  <c:pt idx="543">
                    <c:v>Металлистов</c:v>
                  </c:pt>
                  <c:pt idx="544">
                    <c:v>Металлистов </c:v>
                  </c:pt>
                  <c:pt idx="545">
                    <c:v>Металлистов </c:v>
                  </c:pt>
                  <c:pt idx="546">
                    <c:v>Металлистов / Проспект Юных Пионеров </c:v>
                  </c:pt>
                  <c:pt idx="547">
                    <c:v>Металлистов /Проспект Юных Пионеров</c:v>
                  </c:pt>
                  <c:pt idx="548">
                    <c:v>Металлургическая </c:v>
                  </c:pt>
                  <c:pt idx="549">
                    <c:v>Металлургов </c:v>
                  </c:pt>
                  <c:pt idx="550">
                    <c:v>Металлургов </c:v>
                  </c:pt>
                  <c:pt idx="551">
                    <c:v>Металлургов </c:v>
                  </c:pt>
                  <c:pt idx="552">
                    <c:v>Металлургов </c:v>
                  </c:pt>
                  <c:pt idx="553">
                    <c:v>Металлургов</c:v>
                  </c:pt>
                  <c:pt idx="554">
                    <c:v>Металлургов</c:v>
                  </c:pt>
                  <c:pt idx="555">
                    <c:v>Металлургов</c:v>
                  </c:pt>
                  <c:pt idx="556">
                    <c:v>Мирная </c:v>
                  </c:pt>
                  <c:pt idx="557">
                    <c:v>Мирная </c:v>
                  </c:pt>
                  <c:pt idx="558">
                    <c:v>Мирная </c:v>
                  </c:pt>
                  <c:pt idx="559">
                    <c:v>*Мирная </c:v>
                  </c:pt>
                  <c:pt idx="560">
                    <c:v>*Мирная </c:v>
                  </c:pt>
                  <c:pt idx="561">
                    <c:v>Московское ш.,18 км, опытн. ст. по сад-ву</c:v>
                  </c:pt>
                  <c:pt idx="562">
                    <c:v>Московское ш.,18 км, опытн. ст. по сад-ву</c:v>
                  </c:pt>
                  <c:pt idx="563">
                    <c:v>Московское ш.,18 км, опытн. ст. по сад-ву</c:v>
                  </c:pt>
                  <c:pt idx="564">
                    <c:v>Московское ш.,18 км, опытн. ст. по сад-ву</c:v>
                  </c:pt>
                  <c:pt idx="565">
                    <c:v>Московское ш.,18 км, опытн. ст. по сад-ву </c:v>
                  </c:pt>
                  <c:pt idx="566">
                    <c:v>Московское ш.,18 км, опытн. ст. по сад-ву </c:v>
                  </c:pt>
                  <c:pt idx="567">
                    <c:v>Московское ш.,18 км, опытн. ст. по сад-ву </c:v>
                  </c:pt>
                  <c:pt idx="568">
                    <c:v>Московское ш.,18 км, опытн. ст. по сад-ву </c:v>
                  </c:pt>
                  <c:pt idx="569">
                    <c:v>Московское ш.,18 км, опытн. ст. по сад-ву </c:v>
                  </c:pt>
                  <c:pt idx="570">
                    <c:v>Московское ш.,18 км, опытн. ст. по сад-ву </c:v>
                  </c:pt>
                  <c:pt idx="571">
                    <c:v>Московское ш.,18 км, опытн. ст. по сад-ву </c:v>
                  </c:pt>
                  <c:pt idx="572">
                    <c:v>Московское ш.,18 км, опытн. ст. по сад-ву </c:v>
                  </c:pt>
                  <c:pt idx="573">
                    <c:v>Московское шоссе, 18км </c:v>
                  </c:pt>
                  <c:pt idx="574">
                    <c:v>Московское шоссе, 18км </c:v>
                  </c:pt>
                  <c:pt idx="575">
                    <c:v>Московское шоссе, 18км </c:v>
                  </c:pt>
                  <c:pt idx="576">
                    <c:v>*Московское шоссе, 18км </c:v>
                  </c:pt>
                  <c:pt idx="577">
                    <c:v>Московское шоссе, 18км </c:v>
                  </c:pt>
                  <c:pt idx="578">
                    <c:v>Нежинская </c:v>
                  </c:pt>
                  <c:pt idx="579">
                    <c:v>Нежинская </c:v>
                  </c:pt>
                  <c:pt idx="580">
                    <c:v>Нежинская</c:v>
                  </c:pt>
                  <c:pt idx="581">
                    <c:v>Нежинская</c:v>
                  </c:pt>
                  <c:pt idx="582">
                    <c:v>Олимпийская </c:v>
                  </c:pt>
                  <c:pt idx="583">
                    <c:v>Олимпийская </c:v>
                  </c:pt>
                  <c:pt idx="584">
                    <c:v>Олимпийская </c:v>
                  </c:pt>
                  <c:pt idx="585">
                    <c:v>Олимпийская </c:v>
                  </c:pt>
                  <c:pt idx="586">
                    <c:v>Олимпийская </c:v>
                  </c:pt>
                  <c:pt idx="587">
                    <c:v>Острогорский проезд</c:v>
                  </c:pt>
                  <c:pt idx="588">
                    <c:v>Острогорский проезд</c:v>
                  </c:pt>
                  <c:pt idx="589">
                    <c:v>Острогорский проезд</c:v>
                  </c:pt>
                  <c:pt idx="590">
                    <c:v>*Парадная </c:v>
                  </c:pt>
                  <c:pt idx="591">
                    <c:v>Парадная </c:v>
                  </c:pt>
                  <c:pt idx="592">
                    <c:v>*Парадная </c:v>
                  </c:pt>
                  <c:pt idx="593">
                    <c:v>Парадная </c:v>
                  </c:pt>
                  <c:pt idx="594">
                    <c:v>*Парадная </c:v>
                  </c:pt>
                  <c:pt idx="595">
                    <c:v>Парадная </c:v>
                  </c:pt>
                  <c:pt idx="596">
                    <c:v>Парадная </c:v>
                  </c:pt>
                  <c:pt idx="597">
                    <c:v>Победы </c:v>
                  </c:pt>
                  <c:pt idx="598">
                    <c:v>Победы </c:v>
                  </c:pt>
                  <c:pt idx="599">
                    <c:v>Победы </c:v>
                  </c:pt>
                  <c:pt idx="600">
                    <c:v>Победы </c:v>
                  </c:pt>
                  <c:pt idx="601">
                    <c:v>Пугачевская </c:v>
                  </c:pt>
                  <c:pt idx="602">
                    <c:v>Пугачевская </c:v>
                  </c:pt>
                  <c:pt idx="603">
                    <c:v>Пугачевская </c:v>
                  </c:pt>
                  <c:pt idx="604">
                    <c:v>Пугачевская </c:v>
                  </c:pt>
                  <c:pt idx="605">
                    <c:v>Пугачевская </c:v>
                  </c:pt>
                  <c:pt idx="606">
                    <c:v>Пугачевская</c:v>
                  </c:pt>
                  <c:pt idx="607">
                    <c:v>Пугачевская</c:v>
                  </c:pt>
                  <c:pt idx="608">
                    <c:v>Пугачевская </c:v>
                  </c:pt>
                  <c:pt idx="609">
                    <c:v>Пугачевская</c:v>
                  </c:pt>
                  <c:pt idx="610">
                    <c:v>Пугачевская </c:v>
                  </c:pt>
                  <c:pt idx="611">
                    <c:v>Пугачевская </c:v>
                  </c:pt>
                  <c:pt idx="612">
                    <c:v>Пугачевская</c:v>
                  </c:pt>
                  <c:pt idx="613">
                    <c:v>Пугачевская/ Черемшанская </c:v>
                  </c:pt>
                  <c:pt idx="614">
                    <c:v>Самолетная </c:v>
                  </c:pt>
                  <c:pt idx="615">
                    <c:v>Свободы</c:v>
                  </c:pt>
                  <c:pt idx="616">
                    <c:v>Свободы</c:v>
                  </c:pt>
                  <c:pt idx="617">
                    <c:v>Свободы / Каховская </c:v>
                  </c:pt>
                  <c:pt idx="618">
                    <c:v>Свободы </c:v>
                  </c:pt>
                  <c:pt idx="619">
                    <c:v>Свободы </c:v>
                  </c:pt>
                  <c:pt idx="620">
                    <c:v>Свободы </c:v>
                  </c:pt>
                  <c:pt idx="621">
                    <c:v>Свободы / Металлистов </c:v>
                  </c:pt>
                  <c:pt idx="622">
                    <c:v>Свободы</c:v>
                  </c:pt>
                  <c:pt idx="623">
                    <c:v>Свободы </c:v>
                  </c:pt>
                  <c:pt idx="624">
                    <c:v>Свободы </c:v>
                  </c:pt>
                  <c:pt idx="625">
                    <c:v>Свободы </c:v>
                  </c:pt>
                  <c:pt idx="626">
                    <c:v>Свободы </c:v>
                  </c:pt>
                  <c:pt idx="627">
                    <c:v>Свободы / Кузнецкая </c:v>
                  </c:pt>
                  <c:pt idx="628">
                    <c:v>Севастопольская </c:v>
                  </c:pt>
                  <c:pt idx="629">
                    <c:v>Севастопольская </c:v>
                  </c:pt>
                  <c:pt idx="630">
                    <c:v>Севастопольская </c:v>
                  </c:pt>
                  <c:pt idx="631">
                    <c:v>Севастопольская </c:v>
                  </c:pt>
                  <c:pt idx="632">
                    <c:v>Севастопольская </c:v>
                  </c:pt>
                  <c:pt idx="633">
                    <c:v>Севастопольская </c:v>
                  </c:pt>
                  <c:pt idx="634">
                    <c:v>Севастопольская / Свободы</c:v>
                  </c:pt>
                  <c:pt idx="635">
                    <c:v>Севастопольская </c:v>
                  </c:pt>
                  <c:pt idx="636">
                    <c:v>Севастопольская </c:v>
                  </c:pt>
                  <c:pt idx="637">
                    <c:v>Севастопольская </c:v>
                  </c:pt>
                  <c:pt idx="638">
                    <c:v>Севастопольская </c:v>
                  </c:pt>
                  <c:pt idx="639">
                    <c:v>Севастопольская </c:v>
                  </c:pt>
                  <c:pt idx="640">
                    <c:v>Севастопольская </c:v>
                  </c:pt>
                  <c:pt idx="641">
                    <c:v>Серноводская</c:v>
                  </c:pt>
                  <c:pt idx="642">
                    <c:v>Серноводская</c:v>
                  </c:pt>
                  <c:pt idx="643">
                    <c:v>Серноводская </c:v>
                  </c:pt>
                  <c:pt idx="644">
                    <c:v>Советская </c:v>
                  </c:pt>
                  <c:pt idx="645">
                    <c:v>Советская </c:v>
                  </c:pt>
                  <c:pt idx="646">
                    <c:v>Советская </c:v>
                  </c:pt>
                  <c:pt idx="647">
                    <c:v>Советская </c:v>
                  </c:pt>
                  <c:pt idx="648">
                    <c:v>Советская </c:v>
                  </c:pt>
                  <c:pt idx="649">
                    <c:v>Советская </c:v>
                  </c:pt>
                  <c:pt idx="650">
                    <c:v>Советская/ Металлургов</c:v>
                  </c:pt>
                  <c:pt idx="651">
                    <c:v>Советская</c:v>
                  </c:pt>
                  <c:pt idx="652">
                    <c:v>Советская </c:v>
                  </c:pt>
                  <c:pt idx="653">
                    <c:v>Советская </c:v>
                  </c:pt>
                  <c:pt idx="654">
                    <c:v>Советская </c:v>
                  </c:pt>
                  <c:pt idx="655">
                    <c:v>Советская / Енисейская</c:v>
                  </c:pt>
                  <c:pt idx="656">
                    <c:v>Советская </c:v>
                  </c:pt>
                  <c:pt idx="657">
                    <c:v>Советская</c:v>
                  </c:pt>
                  <c:pt idx="658">
                    <c:v>Советская </c:v>
                  </c:pt>
                  <c:pt idx="659">
                    <c:v>Советская </c:v>
                  </c:pt>
                  <c:pt idx="660">
                    <c:v>Советская</c:v>
                  </c:pt>
                  <c:pt idx="661">
                    <c:v>Советская /  Проспект Юных Пионеров </c:v>
                  </c:pt>
                  <c:pt idx="662">
                    <c:v>Советская</c:v>
                  </c:pt>
                  <c:pt idx="663">
                    <c:v>Советская</c:v>
                  </c:pt>
                  <c:pt idx="664">
                    <c:v>Советская </c:v>
                  </c:pt>
                  <c:pt idx="665">
                    <c:v>Советская</c:v>
                  </c:pt>
                  <c:pt idx="666">
                    <c:v>Советская</c:v>
                  </c:pt>
                  <c:pt idx="667">
                    <c:v>Советская</c:v>
                  </c:pt>
                  <c:pt idx="668">
                    <c:v>Советская</c:v>
                  </c:pt>
                  <c:pt idx="669">
                    <c:v>Советская</c:v>
                  </c:pt>
                  <c:pt idx="670">
                    <c:v>Советская</c:v>
                  </c:pt>
                  <c:pt idx="671">
                    <c:v>Советская </c:v>
                  </c:pt>
                  <c:pt idx="672">
                    <c:v>Советская </c:v>
                  </c:pt>
                  <c:pt idx="673">
                    <c:v>Советская </c:v>
                  </c:pt>
                  <c:pt idx="674">
                    <c:v>Советская</c:v>
                  </c:pt>
                  <c:pt idx="675">
                    <c:v>Ставропольская </c:v>
                  </c:pt>
                  <c:pt idx="676">
                    <c:v>Ставропольская</c:v>
                  </c:pt>
                  <c:pt idx="677">
                    <c:v>Ставропольская </c:v>
                  </c:pt>
                  <c:pt idx="678">
                    <c:v>Ставропольская </c:v>
                  </c:pt>
                  <c:pt idx="679">
                    <c:v>Ставропольская </c:v>
                  </c:pt>
                  <c:pt idx="680">
                    <c:v>Стара Загора </c:v>
                  </c:pt>
                  <c:pt idx="681">
                    <c:v>Стара Загора </c:v>
                  </c:pt>
                  <c:pt idx="682">
                    <c:v>Строителей</c:v>
                  </c:pt>
                  <c:pt idx="683">
                    <c:v>Строителей / Дальневосточная </c:v>
                  </c:pt>
                  <c:pt idx="684">
                    <c:v>Ташкентская </c:v>
                  </c:pt>
                  <c:pt idx="685">
                    <c:v>Ташкентский переулок</c:v>
                  </c:pt>
                  <c:pt idx="686">
                    <c:v>Ташкентский переулок</c:v>
                  </c:pt>
                  <c:pt idx="687">
                    <c:v>Ташкентский переулок</c:v>
                  </c:pt>
                  <c:pt idx="688">
                    <c:v>Ташкентский переулок</c:v>
                  </c:pt>
                  <c:pt idx="689">
                    <c:v>Ташкентский переулок</c:v>
                  </c:pt>
                  <c:pt idx="690">
                    <c:v>Ташкентский переулок</c:v>
                  </c:pt>
                  <c:pt idx="691">
                    <c:v>Ташкентский переулок</c:v>
                  </c:pt>
                  <c:pt idx="692">
                    <c:v>Техническая </c:v>
                  </c:pt>
                  <c:pt idx="693">
                    <c:v>*Техническая</c:v>
                  </c:pt>
                  <c:pt idx="694">
                    <c:v>Техническая </c:v>
                  </c:pt>
                  <c:pt idx="695">
                    <c:v>*Техническая</c:v>
                  </c:pt>
                  <c:pt idx="696">
                    <c:v>*Техническая</c:v>
                  </c:pt>
                  <c:pt idx="697">
                    <c:v>Техническая </c:v>
                  </c:pt>
                  <c:pt idx="698">
                    <c:v>Техническая </c:v>
                  </c:pt>
                  <c:pt idx="699">
                    <c:v>*Техническая </c:v>
                  </c:pt>
                  <c:pt idx="700">
                    <c:v>*Техническая </c:v>
                  </c:pt>
                  <c:pt idx="701">
                    <c:v>Товарная </c:v>
                  </c:pt>
                  <c:pt idx="702">
                    <c:v>*Товарная </c:v>
                  </c:pt>
                  <c:pt idx="703">
                    <c:v>Трест 90 Аэропортовское шоссе</c:v>
                  </c:pt>
                  <c:pt idx="704">
                    <c:v>*Чекистов</c:v>
                  </c:pt>
                  <c:pt idx="705">
                    <c:v>Чекистов</c:v>
                  </c:pt>
                  <c:pt idx="706">
                    <c:v>Черемшанская</c:v>
                  </c:pt>
                  <c:pt idx="707">
                    <c:v>Черемшанская</c:v>
                  </c:pt>
                  <c:pt idx="708">
                    <c:v>Черемшанская</c:v>
                  </c:pt>
                  <c:pt idx="709">
                    <c:v>Черемшанская </c:v>
                  </c:pt>
                  <c:pt idx="710">
                    <c:v>Черемшанская /Карачаевская</c:v>
                  </c:pt>
                  <c:pt idx="711">
                    <c:v>Черемшанская</c:v>
                  </c:pt>
                  <c:pt idx="712">
                    <c:v>Черемшанская </c:v>
                  </c:pt>
                  <c:pt idx="713">
                    <c:v>Черемшанская </c:v>
                  </c:pt>
                  <c:pt idx="714">
                    <c:v>Щорса </c:v>
                  </c:pt>
                  <c:pt idx="715">
                    <c:v>Щорса </c:v>
                  </c:pt>
                  <c:pt idx="716">
                    <c:v>Юбилейная </c:v>
                  </c:pt>
                  <c:pt idx="717">
                    <c:v>Юбилейная </c:v>
                  </c:pt>
                  <c:pt idx="718">
                    <c:v>Юбилейная </c:v>
                  </c:pt>
                  <c:pt idx="719">
                    <c:v>Юбилейная </c:v>
                  </c:pt>
                  <c:pt idx="720">
                    <c:v>Юбилейная </c:v>
                  </c:pt>
                  <c:pt idx="721">
                    <c:v>Юбилейная </c:v>
                  </c:pt>
                  <c:pt idx="722">
                    <c:v>Юбилейная </c:v>
                  </c:pt>
                  <c:pt idx="723">
                    <c:v>Юбилейная </c:v>
                  </c:pt>
                  <c:pt idx="724">
                    <c:v>Юбилейная </c:v>
                  </c:pt>
                  <c:pt idx="725">
                    <c:v>Юбилейная </c:v>
                  </c:pt>
                  <c:pt idx="726">
                    <c:v>Юбилейная </c:v>
                  </c:pt>
                  <c:pt idx="727">
                    <c:v>Юбилейная </c:v>
                  </c:pt>
                  <c:pt idx="728">
                    <c:v>Юбилейная</c:v>
                  </c:pt>
                  <c:pt idx="729">
                    <c:v>Юбилейная </c:v>
                  </c:pt>
                  <c:pt idx="730">
                    <c:v>Юбилейная </c:v>
                  </c:pt>
                  <c:pt idx="731">
                    <c:v>Юбилейная </c:v>
                  </c:pt>
                  <c:pt idx="732">
                    <c:v>Юбилейная </c:v>
                  </c:pt>
                  <c:pt idx="733">
                    <c:v>Юбилейная </c:v>
                  </c:pt>
                  <c:pt idx="734">
                    <c:v>Юбилейная </c:v>
                  </c:pt>
                  <c:pt idx="735">
                    <c:v>Юбилейная </c:v>
                  </c:pt>
                  <c:pt idx="736">
                    <c:v>Юбилейная </c:v>
                  </c:pt>
                  <c:pt idx="737">
                    <c:v>Юных Пионеров/ Каховская </c:v>
                  </c:pt>
                  <c:pt idx="738">
                    <c:v>Юных Пионеров </c:v>
                  </c:pt>
                  <c:pt idx="739">
                    <c:v>Юных Пионеров </c:v>
                  </c:pt>
                  <c:pt idx="740">
                    <c:v>Юных Пионеров </c:v>
                  </c:pt>
                  <c:pt idx="741">
                    <c:v>Юных Пионеров </c:v>
                  </c:pt>
                  <c:pt idx="742">
                    <c:v>Юных Пионеров </c:v>
                  </c:pt>
                  <c:pt idx="743">
                    <c:v>Юных Пионеров </c:v>
                  </c:pt>
                  <c:pt idx="744">
                    <c:v>Юных Пионеров </c:v>
                  </c:pt>
                  <c:pt idx="745">
                    <c:v>Юных Пионеров/ Металлистов</c:v>
                  </c:pt>
                  <c:pt idx="746">
                    <c:v>Юных Пионеров </c:v>
                  </c:pt>
                  <c:pt idx="747">
                    <c:v>Юных Пионеров</c:v>
                  </c:pt>
                  <c:pt idx="748">
                    <c:v>Юных Пионеров </c:v>
                  </c:pt>
                  <c:pt idx="749">
                    <c:v>Юных Пионеров </c:v>
                  </c:pt>
                  <c:pt idx="750">
                    <c:v>Юных Пионеров / Советская </c:v>
                  </c:pt>
                  <c:pt idx="751">
                    <c:v>Юных Пионеров </c:v>
                  </c:pt>
                  <c:pt idx="752">
                    <c:v>Юных Пионеров </c:v>
                  </c:pt>
                  <c:pt idx="753">
                    <c:v>Юных Пионеров</c:v>
                  </c:pt>
                  <c:pt idx="754">
                    <c:v>Юных Пионеров</c:v>
                  </c:pt>
                  <c:pt idx="755">
                    <c:v>Итого:</c:v>
                  </c:pt>
                </c:lvl>
                <c:lvl>
                  <c:pt idx="379">
                    <c:v>3</c:v>
                  </c:pt>
                  <c:pt idx="380">
                    <c:v>4</c:v>
                  </c:pt>
                  <c:pt idx="381">
                    <c:v>4</c:v>
                  </c:pt>
                  <c:pt idx="382">
                    <c:v>4</c:v>
                  </c:pt>
                  <c:pt idx="383">
                    <c:v>4</c:v>
                  </c:pt>
                  <c:pt idx="384">
                    <c:v>4</c:v>
                  </c:pt>
                  <c:pt idx="385">
                    <c:v>4</c:v>
                  </c:pt>
                  <c:pt idx="386">
                    <c:v>4</c:v>
                  </c:pt>
                  <c:pt idx="387">
                    <c:v>4</c:v>
                  </c:pt>
                  <c:pt idx="388">
                    <c:v>4</c:v>
                  </c:pt>
                  <c:pt idx="389">
                    <c:v>4</c:v>
                  </c:pt>
                  <c:pt idx="390">
                    <c:v>4</c:v>
                  </c:pt>
                  <c:pt idx="391">
                    <c:v>4</c:v>
                  </c:pt>
                  <c:pt idx="392">
                    <c:v>5</c:v>
                  </c:pt>
                  <c:pt idx="393">
                    <c:v>5</c:v>
                  </c:pt>
                  <c:pt idx="394">
                    <c:v>5</c:v>
                  </c:pt>
                  <c:pt idx="395">
                    <c:v>4</c:v>
                  </c:pt>
                  <c:pt idx="396">
                    <c:v>4</c:v>
                  </c:pt>
                  <c:pt idx="397">
                    <c:v>4</c:v>
                  </c:pt>
                  <c:pt idx="398">
                    <c:v>4</c:v>
                  </c:pt>
                  <c:pt idx="399">
                    <c:v>4</c:v>
                  </c:pt>
                  <c:pt idx="400">
                    <c:v>4</c:v>
                  </c:pt>
                  <c:pt idx="401">
                    <c:v>4</c:v>
                  </c:pt>
                  <c:pt idx="402">
                    <c:v>4</c:v>
                  </c:pt>
                  <c:pt idx="403">
                    <c:v>4</c:v>
                  </c:pt>
                  <c:pt idx="404">
                    <c:v>4</c:v>
                  </c:pt>
                  <c:pt idx="405">
                    <c:v>4</c:v>
                  </c:pt>
                  <c:pt idx="406">
                    <c:v>4</c:v>
                  </c:pt>
                  <c:pt idx="407">
                    <c:v>4</c:v>
                  </c:pt>
                  <c:pt idx="408">
                    <c:v>4</c:v>
                  </c:pt>
                  <c:pt idx="409">
                    <c:v>4</c:v>
                  </c:pt>
                  <c:pt idx="410">
                    <c:v>4</c:v>
                  </c:pt>
                  <c:pt idx="411">
                    <c:v>4</c:v>
                  </c:pt>
                  <c:pt idx="412">
                    <c:v>4</c:v>
                  </c:pt>
                  <c:pt idx="413">
                    <c:v>4</c:v>
                  </c:pt>
                  <c:pt idx="414">
                    <c:v>4</c:v>
                  </c:pt>
                  <c:pt idx="415">
                    <c:v>4</c:v>
                  </c:pt>
                  <c:pt idx="416">
                    <c:v>4</c:v>
                  </c:pt>
                  <c:pt idx="417">
                    <c:v>4</c:v>
                  </c:pt>
                  <c:pt idx="418">
                    <c:v>4</c:v>
                  </c:pt>
                  <c:pt idx="419">
                    <c:v>4</c:v>
                  </c:pt>
                  <c:pt idx="420">
                    <c:v>4</c:v>
                  </c:pt>
                  <c:pt idx="421">
                    <c:v>4</c:v>
                  </c:pt>
                  <c:pt idx="422">
                    <c:v>4</c:v>
                  </c:pt>
                  <c:pt idx="423">
                    <c:v>4</c:v>
                  </c:pt>
                  <c:pt idx="424">
                    <c:v>4</c:v>
                  </c:pt>
                  <c:pt idx="425">
                    <c:v>4</c:v>
                  </c:pt>
                  <c:pt idx="426">
                    <c:v>4</c:v>
                  </c:pt>
                  <c:pt idx="427">
                    <c:v>4</c:v>
                  </c:pt>
                  <c:pt idx="428">
                    <c:v>4</c:v>
                  </c:pt>
                  <c:pt idx="429">
                    <c:v>4</c:v>
                  </c:pt>
                  <c:pt idx="430">
                    <c:v>4</c:v>
                  </c:pt>
                  <c:pt idx="431">
                    <c:v>4</c:v>
                  </c:pt>
                  <c:pt idx="432">
                    <c:v>4</c:v>
                  </c:pt>
                  <c:pt idx="433">
                    <c:v>5</c:v>
                  </c:pt>
                  <c:pt idx="434">
                    <c:v>5</c:v>
                  </c:pt>
                  <c:pt idx="435">
                    <c:v>5</c:v>
                  </c:pt>
                  <c:pt idx="436">
                    <c:v>4</c:v>
                  </c:pt>
                  <c:pt idx="437">
                    <c:v>4</c:v>
                  </c:pt>
                  <c:pt idx="438">
                    <c:v>4</c:v>
                  </c:pt>
                  <c:pt idx="439">
                    <c:v>4</c:v>
                  </c:pt>
                  <c:pt idx="440">
                    <c:v>4</c:v>
                  </c:pt>
                  <c:pt idx="441">
                    <c:v>4</c:v>
                  </c:pt>
                  <c:pt idx="442">
                    <c:v>4</c:v>
                  </c:pt>
                  <c:pt idx="443">
                    <c:v>4</c:v>
                  </c:pt>
                  <c:pt idx="444">
                    <c:v>4</c:v>
                  </c:pt>
                  <c:pt idx="445">
                    <c:v>4</c:v>
                  </c:pt>
                  <c:pt idx="446">
                    <c:v>4</c:v>
                  </c:pt>
                  <c:pt idx="447">
                    <c:v>4</c:v>
                  </c:pt>
                  <c:pt idx="448">
                    <c:v>5</c:v>
                  </c:pt>
                  <c:pt idx="449">
                    <c:v>5</c:v>
                  </c:pt>
                  <c:pt idx="450">
                    <c:v>5</c:v>
                  </c:pt>
                  <c:pt idx="451">
                    <c:v>5</c:v>
                  </c:pt>
                  <c:pt idx="452">
                    <c:v>5</c:v>
                  </c:pt>
                  <c:pt idx="453">
                    <c:v>5</c:v>
                  </c:pt>
                  <c:pt idx="454">
                    <c:v>5</c:v>
                  </c:pt>
                  <c:pt idx="455">
                    <c:v>5</c:v>
                  </c:pt>
                  <c:pt idx="456">
                    <c:v>5</c:v>
                  </c:pt>
                  <c:pt idx="457">
                    <c:v>5</c:v>
                  </c:pt>
                  <c:pt idx="458">
                    <c:v>5</c:v>
                  </c:pt>
                  <c:pt idx="459">
                    <c:v>5</c:v>
                  </c:pt>
                  <c:pt idx="460">
                    <c:v>5</c:v>
                  </c:pt>
                  <c:pt idx="461">
                    <c:v>5</c:v>
                  </c:pt>
                  <c:pt idx="462">
                    <c:v>5</c:v>
                  </c:pt>
                  <c:pt idx="463">
                    <c:v>5</c:v>
                  </c:pt>
                  <c:pt idx="464">
                    <c:v>5</c:v>
                  </c:pt>
                  <c:pt idx="465">
                    <c:v>5</c:v>
                  </c:pt>
                  <c:pt idx="466">
                    <c:v>5</c:v>
                  </c:pt>
                  <c:pt idx="467">
                    <c:v>5</c:v>
                  </c:pt>
                  <c:pt idx="468">
                    <c:v>5</c:v>
                  </c:pt>
                  <c:pt idx="469">
                    <c:v>5</c:v>
                  </c:pt>
                  <c:pt idx="470">
                    <c:v>5</c:v>
                  </c:pt>
                  <c:pt idx="471">
                    <c:v>5</c:v>
                  </c:pt>
                  <c:pt idx="472">
                    <c:v>5</c:v>
                  </c:pt>
                  <c:pt idx="473">
                    <c:v>5</c:v>
                  </c:pt>
                  <c:pt idx="474">
                    <c:v>5</c:v>
                  </c:pt>
                  <c:pt idx="475">
                    <c:v>5</c:v>
                  </c:pt>
                  <c:pt idx="476">
                    <c:v>5</c:v>
                  </c:pt>
                  <c:pt idx="477">
                    <c:v>5</c:v>
                  </c:pt>
                  <c:pt idx="478">
                    <c:v>5</c:v>
                  </c:pt>
                  <c:pt idx="479">
                    <c:v>5</c:v>
                  </c:pt>
                  <c:pt idx="480">
                    <c:v>5</c:v>
                  </c:pt>
                  <c:pt idx="481">
                    <c:v>5</c:v>
                  </c:pt>
                  <c:pt idx="482">
                    <c:v>5</c:v>
                  </c:pt>
                  <c:pt idx="483">
                    <c:v>5</c:v>
                  </c:pt>
                  <c:pt idx="484">
                    <c:v>5</c:v>
                  </c:pt>
                  <c:pt idx="485">
                    <c:v>5</c:v>
                  </c:pt>
                  <c:pt idx="486">
                    <c:v>5</c:v>
                  </c:pt>
                  <c:pt idx="487">
                    <c:v>5</c:v>
                  </c:pt>
                  <c:pt idx="488">
                    <c:v>5</c:v>
                  </c:pt>
                  <c:pt idx="489">
                    <c:v>5</c:v>
                  </c:pt>
                  <c:pt idx="490">
                    <c:v>5</c:v>
                  </c:pt>
                  <c:pt idx="491">
                    <c:v>5</c:v>
                  </c:pt>
                  <c:pt idx="492">
                    <c:v>5</c:v>
                  </c:pt>
                  <c:pt idx="493">
                    <c:v>5</c:v>
                  </c:pt>
                  <c:pt idx="494">
                    <c:v>5</c:v>
                  </c:pt>
                  <c:pt idx="495">
                    <c:v>5</c:v>
                  </c:pt>
                  <c:pt idx="496">
                    <c:v>5</c:v>
                  </c:pt>
                  <c:pt idx="497">
                    <c:v>5</c:v>
                  </c:pt>
                  <c:pt idx="498">
                    <c:v>5</c:v>
                  </c:pt>
                  <c:pt idx="499">
                    <c:v>5</c:v>
                  </c:pt>
                  <c:pt idx="500">
                    <c:v>5</c:v>
                  </c:pt>
                  <c:pt idx="501">
                    <c:v>5</c:v>
                  </c:pt>
                  <c:pt idx="502">
                    <c:v>5</c:v>
                  </c:pt>
                  <c:pt idx="503">
                    <c:v>5</c:v>
                  </c:pt>
                  <c:pt idx="504">
                    <c:v>4</c:v>
                  </c:pt>
                  <c:pt idx="505">
                    <c:v>4</c:v>
                  </c:pt>
                  <c:pt idx="506">
                    <c:v>5</c:v>
                  </c:pt>
                  <c:pt idx="507">
                    <c:v>5</c:v>
                  </c:pt>
                  <c:pt idx="508">
                    <c:v>5</c:v>
                  </c:pt>
                  <c:pt idx="509">
                    <c:v>5</c:v>
                  </c:pt>
                  <c:pt idx="510">
                    <c:v>5</c:v>
                  </c:pt>
                  <c:pt idx="511">
                    <c:v>5</c:v>
                  </c:pt>
                  <c:pt idx="512">
                    <c:v>5</c:v>
                  </c:pt>
                  <c:pt idx="513">
                    <c:v>4</c:v>
                  </c:pt>
                  <c:pt idx="514">
                    <c:v>4</c:v>
                  </c:pt>
                  <c:pt idx="515">
                    <c:v>4</c:v>
                  </c:pt>
                  <c:pt idx="516">
                    <c:v>4</c:v>
                  </c:pt>
                  <c:pt idx="517">
                    <c:v>4</c:v>
                  </c:pt>
                  <c:pt idx="518">
                    <c:v>4</c:v>
                  </c:pt>
                  <c:pt idx="519">
                    <c:v>4</c:v>
                  </c:pt>
                  <c:pt idx="520">
                    <c:v>4</c:v>
                  </c:pt>
                  <c:pt idx="521">
                    <c:v>4</c:v>
                  </c:pt>
                  <c:pt idx="522">
                    <c:v>4</c:v>
                  </c:pt>
                  <c:pt idx="523">
                    <c:v>4</c:v>
                  </c:pt>
                  <c:pt idx="524">
                    <c:v>4</c:v>
                  </c:pt>
                  <c:pt idx="525">
                    <c:v>4</c:v>
                  </c:pt>
                  <c:pt idx="526">
                    <c:v>4</c:v>
                  </c:pt>
                  <c:pt idx="527">
                    <c:v>4</c:v>
                  </c:pt>
                  <c:pt idx="528">
                    <c:v>4</c:v>
                  </c:pt>
                  <c:pt idx="529">
                    <c:v>4</c:v>
                  </c:pt>
                  <c:pt idx="530">
                    <c:v>4</c:v>
                  </c:pt>
                  <c:pt idx="531">
                    <c:v>5</c:v>
                  </c:pt>
                  <c:pt idx="532">
                    <c:v>5</c:v>
                  </c:pt>
                  <c:pt idx="533">
                    <c:v>5</c:v>
                  </c:pt>
                  <c:pt idx="534">
                    <c:v>5</c:v>
                  </c:pt>
                  <c:pt idx="535">
                    <c:v>5</c:v>
                  </c:pt>
                  <c:pt idx="536">
                    <c:v>5</c:v>
                  </c:pt>
                  <c:pt idx="537">
                    <c:v>5</c:v>
                  </c:pt>
                  <c:pt idx="538">
                    <c:v>5</c:v>
                  </c:pt>
                  <c:pt idx="539">
                    <c:v>5</c:v>
                  </c:pt>
                  <c:pt idx="540">
                    <c:v>5</c:v>
                  </c:pt>
                  <c:pt idx="541">
                    <c:v>5</c:v>
                  </c:pt>
                  <c:pt idx="542">
                    <c:v>5</c:v>
                  </c:pt>
                  <c:pt idx="543">
                    <c:v>5</c:v>
                  </c:pt>
                  <c:pt idx="544">
                    <c:v>5</c:v>
                  </c:pt>
                  <c:pt idx="545">
                    <c:v>5</c:v>
                  </c:pt>
                  <c:pt idx="546">
                    <c:v>5</c:v>
                  </c:pt>
                  <c:pt idx="547">
                    <c:v>5</c:v>
                  </c:pt>
                  <c:pt idx="548">
                    <c:v>4</c:v>
                  </c:pt>
                  <c:pt idx="549">
                    <c:v>5</c:v>
                  </c:pt>
                  <c:pt idx="550">
                    <c:v>5</c:v>
                  </c:pt>
                  <c:pt idx="551">
                    <c:v>5</c:v>
                  </c:pt>
                  <c:pt idx="552">
                    <c:v>5</c:v>
                  </c:pt>
                  <c:pt idx="553">
                    <c:v>5</c:v>
                  </c:pt>
                  <c:pt idx="554">
                    <c:v>5</c:v>
                  </c:pt>
                  <c:pt idx="555">
                    <c:v>5</c:v>
                  </c:pt>
                  <c:pt idx="556">
                    <c:v>4</c:v>
                  </c:pt>
                  <c:pt idx="557">
                    <c:v>4</c:v>
                  </c:pt>
                  <c:pt idx="558">
                    <c:v>4</c:v>
                  </c:pt>
                  <c:pt idx="559">
                    <c:v>4</c:v>
                  </c:pt>
                  <c:pt idx="560">
                    <c:v>4</c:v>
                  </c:pt>
                  <c:pt idx="561">
                    <c:v>4</c:v>
                  </c:pt>
                  <c:pt idx="562">
                    <c:v>4</c:v>
                  </c:pt>
                  <c:pt idx="563">
                    <c:v>4</c:v>
                  </c:pt>
                  <c:pt idx="564">
                    <c:v>4</c:v>
                  </c:pt>
                  <c:pt idx="565">
                    <c:v>4</c:v>
                  </c:pt>
                  <c:pt idx="566">
                    <c:v>4</c:v>
                  </c:pt>
                  <c:pt idx="567">
                    <c:v>4</c:v>
                  </c:pt>
                  <c:pt idx="568">
                    <c:v>4</c:v>
                  </c:pt>
                  <c:pt idx="569">
                    <c:v>4</c:v>
                  </c:pt>
                  <c:pt idx="570">
                    <c:v>4</c:v>
                  </c:pt>
                  <c:pt idx="571">
                    <c:v>4</c:v>
                  </c:pt>
                  <c:pt idx="572">
                    <c:v>4</c:v>
                  </c:pt>
                  <c:pt idx="573">
                    <c:v>4</c:v>
                  </c:pt>
                  <c:pt idx="574">
                    <c:v>4</c:v>
                  </c:pt>
                  <c:pt idx="575">
                    <c:v>4</c:v>
                  </c:pt>
                  <c:pt idx="576">
                    <c:v>4</c:v>
                  </c:pt>
                  <c:pt idx="577">
                    <c:v>4</c:v>
                  </c:pt>
                  <c:pt idx="578">
                    <c:v>4</c:v>
                  </c:pt>
                  <c:pt idx="579">
                    <c:v>4</c:v>
                  </c:pt>
                  <c:pt idx="580">
                    <c:v>4</c:v>
                  </c:pt>
                  <c:pt idx="581">
                    <c:v>4</c:v>
                  </c:pt>
                  <c:pt idx="582">
                    <c:v>4</c:v>
                  </c:pt>
                  <c:pt idx="583">
                    <c:v>4</c:v>
                  </c:pt>
                  <c:pt idx="584">
                    <c:v>4</c:v>
                  </c:pt>
                  <c:pt idx="585">
                    <c:v>4</c:v>
                  </c:pt>
                  <c:pt idx="586">
                    <c:v>4</c:v>
                  </c:pt>
                  <c:pt idx="587">
                    <c:v>5</c:v>
                  </c:pt>
                  <c:pt idx="588">
                    <c:v>5</c:v>
                  </c:pt>
                  <c:pt idx="589">
                    <c:v>5</c:v>
                  </c:pt>
                  <c:pt idx="590">
                    <c:v>4</c:v>
                  </c:pt>
                  <c:pt idx="591">
                    <c:v>4</c:v>
                  </c:pt>
                  <c:pt idx="592">
                    <c:v>4</c:v>
                  </c:pt>
                  <c:pt idx="593">
                    <c:v>4</c:v>
                  </c:pt>
                  <c:pt idx="594">
                    <c:v>4</c:v>
                  </c:pt>
                  <c:pt idx="595">
                    <c:v>4</c:v>
                  </c:pt>
                  <c:pt idx="596">
                    <c:v>4</c:v>
                  </c:pt>
                  <c:pt idx="597">
                    <c:v>4</c:v>
                  </c:pt>
                  <c:pt idx="598">
                    <c:v>5</c:v>
                  </c:pt>
                  <c:pt idx="599">
                    <c:v>5</c:v>
                  </c:pt>
                  <c:pt idx="600">
                    <c:v>5</c:v>
                  </c:pt>
                  <c:pt idx="601">
                    <c:v>4</c:v>
                  </c:pt>
                  <c:pt idx="602">
                    <c:v>4</c:v>
                  </c:pt>
                  <c:pt idx="603">
                    <c:v>4</c:v>
                  </c:pt>
                  <c:pt idx="604">
                    <c:v>4</c:v>
                  </c:pt>
                  <c:pt idx="605">
                    <c:v>4</c:v>
                  </c:pt>
                  <c:pt idx="606">
                    <c:v>4</c:v>
                  </c:pt>
                  <c:pt idx="607">
                    <c:v>4</c:v>
                  </c:pt>
                  <c:pt idx="608">
                    <c:v>4</c:v>
                  </c:pt>
                  <c:pt idx="609">
                    <c:v>4</c:v>
                  </c:pt>
                  <c:pt idx="610">
                    <c:v>4</c:v>
                  </c:pt>
                  <c:pt idx="611">
                    <c:v>4</c:v>
                  </c:pt>
                  <c:pt idx="612">
                    <c:v>4</c:v>
                  </c:pt>
                  <c:pt idx="613">
                    <c:v>4</c:v>
                  </c:pt>
                  <c:pt idx="614">
                    <c:v>4</c:v>
                  </c:pt>
                  <c:pt idx="615">
                    <c:v>5</c:v>
                  </c:pt>
                  <c:pt idx="616">
                    <c:v>5</c:v>
                  </c:pt>
                  <c:pt idx="617">
                    <c:v>5</c:v>
                  </c:pt>
                  <c:pt idx="618">
                    <c:v>5</c:v>
                  </c:pt>
                  <c:pt idx="619">
                    <c:v>5</c:v>
                  </c:pt>
                  <c:pt idx="620">
                    <c:v>4</c:v>
                  </c:pt>
                  <c:pt idx="621">
                    <c:v>5</c:v>
                  </c:pt>
                  <c:pt idx="622">
                    <c:v>5</c:v>
                  </c:pt>
                  <c:pt idx="623">
                    <c:v>5</c:v>
                  </c:pt>
                  <c:pt idx="624">
                    <c:v>5</c:v>
                  </c:pt>
                  <c:pt idx="625">
                    <c:v>5</c:v>
                  </c:pt>
                  <c:pt idx="626">
                    <c:v>4</c:v>
                  </c:pt>
                  <c:pt idx="627">
                    <c:v>4</c:v>
                  </c:pt>
                  <c:pt idx="628">
                    <c:v>4</c:v>
                  </c:pt>
                  <c:pt idx="629">
                    <c:v>4</c:v>
                  </c:pt>
                  <c:pt idx="630">
                    <c:v>5</c:v>
                  </c:pt>
                  <c:pt idx="631">
                    <c:v>5</c:v>
                  </c:pt>
                  <c:pt idx="632">
                    <c:v>5</c:v>
                  </c:pt>
                  <c:pt idx="633">
                    <c:v>5</c:v>
                  </c:pt>
                  <c:pt idx="634">
                    <c:v>5</c:v>
                  </c:pt>
                  <c:pt idx="635">
                    <c:v>5</c:v>
                  </c:pt>
                  <c:pt idx="636">
                    <c:v>5</c:v>
                  </c:pt>
                  <c:pt idx="637">
                    <c:v>5</c:v>
                  </c:pt>
                  <c:pt idx="638">
                    <c:v>5</c:v>
                  </c:pt>
                  <c:pt idx="639">
                    <c:v>5</c:v>
                  </c:pt>
                  <c:pt idx="640">
                    <c:v>5</c:v>
                  </c:pt>
                  <c:pt idx="641">
                    <c:v>4</c:v>
                  </c:pt>
                  <c:pt idx="642">
                    <c:v>4</c:v>
                  </c:pt>
                  <c:pt idx="643">
                    <c:v>4</c:v>
                  </c:pt>
                  <c:pt idx="644">
                    <c:v>4</c:v>
                  </c:pt>
                  <c:pt idx="645">
                    <c:v>4</c:v>
                  </c:pt>
                  <c:pt idx="646">
                    <c:v>5</c:v>
                  </c:pt>
                  <c:pt idx="647">
                    <c:v>5</c:v>
                  </c:pt>
                  <c:pt idx="648">
                    <c:v>5</c:v>
                  </c:pt>
                  <c:pt idx="649">
                    <c:v>5</c:v>
                  </c:pt>
                  <c:pt idx="650">
                    <c:v>5</c:v>
                  </c:pt>
                  <c:pt idx="651">
                    <c:v>5</c:v>
                  </c:pt>
                  <c:pt idx="652">
                    <c:v>5</c:v>
                  </c:pt>
                  <c:pt idx="653">
                    <c:v>5</c:v>
                  </c:pt>
                  <c:pt idx="654">
                    <c:v>5</c:v>
                  </c:pt>
                  <c:pt idx="655">
                    <c:v>5</c:v>
                  </c:pt>
                  <c:pt idx="656">
                    <c:v>5</c:v>
                  </c:pt>
                  <c:pt idx="657">
                    <c:v>4</c:v>
                  </c:pt>
                  <c:pt idx="658">
                    <c:v>5</c:v>
                  </c:pt>
                  <c:pt idx="659">
                    <c:v>5</c:v>
                  </c:pt>
                  <c:pt idx="660">
                    <c:v>5</c:v>
                  </c:pt>
                  <c:pt idx="661">
                    <c:v>5</c:v>
                  </c:pt>
                  <c:pt idx="662">
                    <c:v>5</c:v>
                  </c:pt>
                  <c:pt idx="663">
                    <c:v>5</c:v>
                  </c:pt>
                  <c:pt idx="664">
                    <c:v>5</c:v>
                  </c:pt>
                  <c:pt idx="665">
                    <c:v>4</c:v>
                  </c:pt>
                  <c:pt idx="666">
                    <c:v>4</c:v>
                  </c:pt>
                  <c:pt idx="667">
                    <c:v>4</c:v>
                  </c:pt>
                  <c:pt idx="668">
                    <c:v>4</c:v>
                  </c:pt>
                  <c:pt idx="669">
                    <c:v>4</c:v>
                  </c:pt>
                  <c:pt idx="670">
                    <c:v>4</c:v>
                  </c:pt>
                  <c:pt idx="671">
                    <c:v>4</c:v>
                  </c:pt>
                  <c:pt idx="672">
                    <c:v>4</c:v>
                  </c:pt>
                  <c:pt idx="673">
                    <c:v>4</c:v>
                  </c:pt>
                  <c:pt idx="674">
                    <c:v>4</c:v>
                  </c:pt>
                  <c:pt idx="675">
                    <c:v>5</c:v>
                  </c:pt>
                  <c:pt idx="676">
                    <c:v>5</c:v>
                  </c:pt>
                  <c:pt idx="677">
                    <c:v>5</c:v>
                  </c:pt>
                  <c:pt idx="678">
                    <c:v>5</c:v>
                  </c:pt>
                  <c:pt idx="679">
                    <c:v>4</c:v>
                  </c:pt>
                  <c:pt idx="680">
                    <c:v>4</c:v>
                  </c:pt>
                  <c:pt idx="681">
                    <c:v>4</c:v>
                  </c:pt>
                  <c:pt idx="682">
                    <c:v>4</c:v>
                  </c:pt>
                  <c:pt idx="683">
                    <c:v>4</c:v>
                  </c:pt>
                  <c:pt idx="684">
                    <c:v>4</c:v>
                  </c:pt>
                  <c:pt idx="685">
                    <c:v>4</c:v>
                  </c:pt>
                  <c:pt idx="686">
                    <c:v>4</c:v>
                  </c:pt>
                  <c:pt idx="687">
                    <c:v>4</c:v>
                  </c:pt>
                  <c:pt idx="688">
                    <c:v>4</c:v>
                  </c:pt>
                  <c:pt idx="689">
                    <c:v>4</c:v>
                  </c:pt>
                  <c:pt idx="690">
                    <c:v>4</c:v>
                  </c:pt>
                  <c:pt idx="691">
                    <c:v>4</c:v>
                  </c:pt>
                  <c:pt idx="692">
                    <c:v>4</c:v>
                  </c:pt>
                  <c:pt idx="693">
                    <c:v>4</c:v>
                  </c:pt>
                  <c:pt idx="694">
                    <c:v>4</c:v>
                  </c:pt>
                  <c:pt idx="695">
                    <c:v>4</c:v>
                  </c:pt>
                  <c:pt idx="696">
                    <c:v>4</c:v>
                  </c:pt>
                  <c:pt idx="697">
                    <c:v>4</c:v>
                  </c:pt>
                  <c:pt idx="698">
                    <c:v>4</c:v>
                  </c:pt>
                  <c:pt idx="699">
                    <c:v>4</c:v>
                  </c:pt>
                  <c:pt idx="700">
                    <c:v>4</c:v>
                  </c:pt>
                  <c:pt idx="701">
                    <c:v>4</c:v>
                  </c:pt>
                  <c:pt idx="702">
                    <c:v>4</c:v>
                  </c:pt>
                  <c:pt idx="703">
                    <c:v>4</c:v>
                  </c:pt>
                  <c:pt idx="704">
                    <c:v>4</c:v>
                  </c:pt>
                  <c:pt idx="705">
                    <c:v>4</c:v>
                  </c:pt>
                  <c:pt idx="706">
                    <c:v>4</c:v>
                  </c:pt>
                  <c:pt idx="707">
                    <c:v>4</c:v>
                  </c:pt>
                  <c:pt idx="708">
                    <c:v>4</c:v>
                  </c:pt>
                  <c:pt idx="709">
                    <c:v>4</c:v>
                  </c:pt>
                  <c:pt idx="710">
                    <c:v>4</c:v>
                  </c:pt>
                  <c:pt idx="711">
                    <c:v>4</c:v>
                  </c:pt>
                  <c:pt idx="712">
                    <c:v>4</c:v>
                  </c:pt>
                  <c:pt idx="713">
                    <c:v>4</c:v>
                  </c:pt>
                  <c:pt idx="714">
                    <c:v>4</c:v>
                  </c:pt>
                  <c:pt idx="715">
                    <c:v>4</c:v>
                  </c:pt>
                  <c:pt idx="716">
                    <c:v>4</c:v>
                  </c:pt>
                  <c:pt idx="717">
                    <c:v>5</c:v>
                  </c:pt>
                  <c:pt idx="718">
                    <c:v>5</c:v>
                  </c:pt>
                  <c:pt idx="719">
                    <c:v>5</c:v>
                  </c:pt>
                  <c:pt idx="720">
                    <c:v>5</c:v>
                  </c:pt>
                  <c:pt idx="721">
                    <c:v>5</c:v>
                  </c:pt>
                  <c:pt idx="722">
                    <c:v>5</c:v>
                  </c:pt>
                  <c:pt idx="723">
                    <c:v>5</c:v>
                  </c:pt>
                  <c:pt idx="724">
                    <c:v>5</c:v>
                  </c:pt>
                  <c:pt idx="725">
                    <c:v>5</c:v>
                  </c:pt>
                  <c:pt idx="726">
                    <c:v>5</c:v>
                  </c:pt>
                  <c:pt idx="727">
                    <c:v>5</c:v>
                  </c:pt>
                  <c:pt idx="728">
                    <c:v>5</c:v>
                  </c:pt>
                  <c:pt idx="729">
                    <c:v>5</c:v>
                  </c:pt>
                  <c:pt idx="730">
                    <c:v>5</c:v>
                  </c:pt>
                  <c:pt idx="731">
                    <c:v>5</c:v>
                  </c:pt>
                  <c:pt idx="732">
                    <c:v>5</c:v>
                  </c:pt>
                  <c:pt idx="733">
                    <c:v>5</c:v>
                  </c:pt>
                  <c:pt idx="734">
                    <c:v>5</c:v>
                  </c:pt>
                  <c:pt idx="735">
                    <c:v>5</c:v>
                  </c:pt>
                  <c:pt idx="736">
                    <c:v>5</c:v>
                  </c:pt>
                  <c:pt idx="737">
                    <c:v>5</c:v>
                  </c:pt>
                  <c:pt idx="738">
                    <c:v>5</c:v>
                  </c:pt>
                  <c:pt idx="739">
                    <c:v>5</c:v>
                  </c:pt>
                  <c:pt idx="740">
                    <c:v>5</c:v>
                  </c:pt>
                  <c:pt idx="741">
                    <c:v>5</c:v>
                  </c:pt>
                  <c:pt idx="742">
                    <c:v>5</c:v>
                  </c:pt>
                  <c:pt idx="743">
                    <c:v>5</c:v>
                  </c:pt>
                  <c:pt idx="744">
                    <c:v>5</c:v>
                  </c:pt>
                  <c:pt idx="745">
                    <c:v>5</c:v>
                  </c:pt>
                  <c:pt idx="747">
                    <c:v>5</c:v>
                  </c:pt>
                  <c:pt idx="748">
                    <c:v>5</c:v>
                  </c:pt>
                  <c:pt idx="749">
                    <c:v>5</c:v>
                  </c:pt>
                  <c:pt idx="750">
                    <c:v>5</c:v>
                  </c:pt>
                  <c:pt idx="751">
                    <c:v>5</c:v>
                  </c:pt>
                  <c:pt idx="752">
                    <c:v>5</c:v>
                  </c:pt>
                  <c:pt idx="753">
                    <c:v>5</c:v>
                  </c:pt>
                  <c:pt idx="754">
                    <c:v>5</c:v>
                  </c:pt>
                </c:lvl>
              </c:multiLvlStrCache>
            </c:multiLvlStrRef>
          </c:cat>
          <c:val>
            <c:numRef>
              <c:f>КИРОВСКИЙ!$FL$6:$FL$383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A1-BF26-448F-949C-0C426678A4B1}"/>
            </c:ext>
          </c:extLst>
        </c:ser>
        <c:axId val="90501120"/>
        <c:axId val="90502656"/>
      </c:barChart>
      <c:catAx>
        <c:axId val="90501120"/>
        <c:scaling>
          <c:orientation val="minMax"/>
        </c:scaling>
        <c:axPos val="b"/>
        <c:numFmt formatCode="General" sourceLinked="0"/>
        <c:tickLblPos val="nextTo"/>
        <c:crossAx val="90502656"/>
        <c:crosses val="autoZero"/>
        <c:auto val="1"/>
        <c:lblAlgn val="ctr"/>
        <c:lblOffset val="100"/>
      </c:catAx>
      <c:valAx>
        <c:axId val="90502656"/>
        <c:scaling>
          <c:orientation val="minMax"/>
        </c:scaling>
        <c:axPos val="l"/>
        <c:majorGridlines/>
        <c:numFmt formatCode="General" sourceLinked="1"/>
        <c:tickLblPos val="nextTo"/>
        <c:crossAx val="90501120"/>
        <c:crosses val="autoZero"/>
        <c:crossBetween val="between"/>
      </c:valAx>
    </c:plotArea>
    <c:legend>
      <c:legendPos val="r"/>
    </c:legend>
    <c:plotVisOnly val="1"/>
    <c:dispBlanksAs val="gap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5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4138" cy="6065345"/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M388"/>
  <sheetViews>
    <sheetView zoomScaleNormal="100" workbookViewId="0">
      <pane xSplit="15" ySplit="7" topLeftCell="CU368" activePane="bottomRight" state="frozen"/>
      <selection pane="topRight" activeCell="P1" sqref="P1"/>
      <selection pane="bottomLeft" activeCell="A8" sqref="A8"/>
      <selection pane="bottomRight" activeCell="O7" sqref="O7"/>
    </sheetView>
  </sheetViews>
  <sheetFormatPr defaultRowHeight="15"/>
  <cols>
    <col min="1" max="1" width="6.28515625" style="28" customWidth="1"/>
    <col min="2" max="2" width="9.7109375" style="28" hidden="1" customWidth="1"/>
    <col min="3" max="3" width="5.42578125" style="28" customWidth="1"/>
    <col min="4" max="4" width="39.42578125" style="28" bestFit="1" customWidth="1"/>
    <col min="5" max="5" width="11.140625" style="28" customWidth="1"/>
    <col min="6" max="6" width="10" style="28" customWidth="1"/>
    <col min="7" max="7" width="14.7109375" style="541" hidden="1" customWidth="1"/>
    <col min="8" max="8" width="10.7109375" style="28" hidden="1" customWidth="1"/>
    <col min="9" max="9" width="10.28515625" style="28" hidden="1" customWidth="1"/>
    <col min="10" max="10" width="12.7109375" style="492" hidden="1" customWidth="1"/>
    <col min="11" max="11" width="14.28515625" style="492" hidden="1" customWidth="1"/>
    <col min="12" max="12" width="14.7109375" style="592" hidden="1" customWidth="1"/>
    <col min="13" max="14" width="12.5703125" style="28" hidden="1" customWidth="1"/>
    <col min="15" max="15" width="14.42578125" style="161" customWidth="1"/>
    <col min="16" max="16" width="8.7109375" style="235" customWidth="1"/>
    <col min="17" max="17" width="8.7109375" style="28" customWidth="1"/>
    <col min="18" max="18" width="8.7109375" style="593" customWidth="1"/>
    <col min="19" max="19" width="17" style="493" customWidth="1"/>
    <col min="20" max="22" width="8.7109375" style="28" hidden="1" customWidth="1"/>
    <col min="23" max="23" width="11.5703125" style="28" hidden="1" customWidth="1"/>
    <col min="24" max="24" width="8.7109375" style="199" customWidth="1"/>
    <col min="25" max="25" width="8.7109375" style="28" customWidth="1"/>
    <col min="26" max="26" width="10.28515625" style="28" customWidth="1"/>
    <col min="27" max="27" width="11.5703125" style="28" customWidth="1"/>
    <col min="28" max="30" width="8.7109375" style="28" hidden="1" customWidth="1"/>
    <col min="31" max="31" width="9.7109375" style="28" hidden="1" customWidth="1"/>
    <col min="32" max="32" width="8.7109375" style="199" customWidth="1"/>
    <col min="33" max="34" width="8.7109375" style="28" customWidth="1"/>
    <col min="35" max="35" width="15.42578125" style="28" customWidth="1"/>
    <col min="36" max="37" width="8.7109375" style="28" hidden="1" customWidth="1"/>
    <col min="38" max="38" width="9.7109375" style="28" hidden="1" customWidth="1"/>
    <col min="39" max="39" width="10.7109375" style="28" hidden="1" customWidth="1"/>
    <col min="40" max="40" width="9.5703125" style="199" customWidth="1"/>
    <col min="41" max="41" width="6.7109375" style="460" customWidth="1"/>
    <col min="42" max="42" width="8.7109375" style="28" customWidth="1"/>
    <col min="43" max="43" width="9.7109375" style="594" customWidth="1"/>
    <col min="44" max="44" width="12.42578125" style="493" bestFit="1" customWidth="1"/>
    <col min="45" max="45" width="8.7109375" style="199" hidden="1" customWidth="1"/>
    <col min="46" max="46" width="8.7109375" style="28" hidden="1" customWidth="1"/>
    <col min="47" max="47" width="13" style="161" hidden="1" customWidth="1"/>
    <col min="48" max="48" width="13.7109375" style="199" hidden="1" customWidth="1"/>
    <col min="49" max="49" width="13.7109375" style="493" hidden="1" customWidth="1"/>
    <col min="50" max="50" width="8.7109375" style="199" customWidth="1"/>
    <col min="51" max="51" width="8.7109375" style="595" customWidth="1"/>
    <col min="52" max="52" width="12.42578125" style="493" bestFit="1" customWidth="1"/>
    <col min="53" max="53" width="8.7109375" style="199" hidden="1" customWidth="1"/>
    <col min="54" max="54" width="8.7109375" style="161" hidden="1" customWidth="1"/>
    <col min="55" max="55" width="12.42578125" style="493" hidden="1" customWidth="1"/>
    <col min="56" max="56" width="8.7109375" style="199" customWidth="1"/>
    <col min="57" max="57" width="8.7109375" style="595" customWidth="1"/>
    <col min="58" max="58" width="12.42578125" style="28" bestFit="1" customWidth="1"/>
    <col min="59" max="59" width="5.28515625" style="199" hidden="1" customWidth="1"/>
    <col min="60" max="60" width="10" style="161" hidden="1" customWidth="1"/>
    <col min="61" max="61" width="9.7109375" style="493" hidden="1" customWidth="1"/>
    <col min="62" max="62" width="8.140625" style="199" customWidth="1"/>
    <col min="63" max="63" width="8.7109375" style="595" customWidth="1"/>
    <col min="64" max="64" width="12.42578125" style="493" bestFit="1" customWidth="1"/>
    <col min="65" max="65" width="8.7109375" style="199" hidden="1" customWidth="1"/>
    <col min="66" max="66" width="10.7109375" style="28" hidden="1" customWidth="1"/>
    <col min="67" max="67" width="13.42578125" style="493" hidden="1" customWidth="1"/>
    <col min="68" max="68" width="8.7109375" style="199" customWidth="1"/>
    <col min="69" max="69" width="8.7109375" style="596" customWidth="1"/>
    <col min="70" max="70" width="11.5703125" style="493" customWidth="1"/>
    <col min="71" max="71" width="8.7109375" style="199" hidden="1" customWidth="1"/>
    <col min="72" max="72" width="8.7109375" style="161" hidden="1" customWidth="1"/>
    <col min="73" max="73" width="10.5703125" style="493" hidden="1" customWidth="1"/>
    <col min="74" max="78" width="8.7109375" style="28" hidden="1" customWidth="1"/>
    <col min="79" max="79" width="9.42578125" style="28" hidden="1" customWidth="1"/>
    <col min="80" max="81" width="8.7109375" style="28" customWidth="1"/>
    <col min="82" max="82" width="10.28515625" style="28" customWidth="1"/>
    <col min="83" max="84" width="8.7109375" style="28" hidden="1" customWidth="1"/>
    <col min="85" max="85" width="9.7109375" style="28" hidden="1" customWidth="1"/>
    <col min="86" max="86" width="8.7109375" style="199" customWidth="1"/>
    <col min="87" max="87" width="8.7109375" style="28" customWidth="1"/>
    <col min="88" max="88" width="10.7109375" style="493" bestFit="1" customWidth="1"/>
    <col min="89" max="90" width="8.7109375" style="28" hidden="1" customWidth="1"/>
    <col min="91" max="91" width="10.7109375" style="28" hidden="1" customWidth="1"/>
    <col min="92" max="92" width="8.7109375" style="199" customWidth="1"/>
    <col min="93" max="93" width="12.5703125" style="595" customWidth="1"/>
    <col min="94" max="94" width="12.42578125" style="493" bestFit="1" customWidth="1"/>
    <col min="95" max="95" width="8.7109375" style="199" hidden="1" customWidth="1"/>
    <col min="96" max="96" width="8.7109375" style="597" hidden="1" customWidth="1"/>
    <col min="97" max="97" width="13.42578125" style="493" hidden="1" customWidth="1"/>
    <col min="98" max="99" width="8.7109375" style="28" customWidth="1"/>
    <col min="100" max="100" width="9.7109375" style="28" bestFit="1" customWidth="1"/>
    <col min="101" max="102" width="8.7109375" style="28" hidden="1" customWidth="1"/>
    <col min="103" max="103" width="9.42578125" style="28" hidden="1" customWidth="1"/>
    <col min="104" max="105" width="8.7109375" style="28" customWidth="1"/>
    <col min="106" max="106" width="12.42578125" style="493" bestFit="1" customWidth="1"/>
    <col min="107" max="108" width="8.7109375" style="28" hidden="1" customWidth="1"/>
    <col min="109" max="109" width="11.5703125" style="28" hidden="1" customWidth="1"/>
    <col min="110" max="111" width="7.28515625" style="28" hidden="1" customWidth="1"/>
    <col min="112" max="112" width="10" style="28" hidden="1" customWidth="1"/>
    <col min="113" max="115" width="7.28515625" style="28" hidden="1" customWidth="1"/>
    <col min="116" max="116" width="7.28515625" style="28" customWidth="1"/>
    <col min="117" max="117" width="7.28515625" style="595" customWidth="1"/>
    <col min="118" max="118" width="10.42578125" style="28" customWidth="1"/>
    <col min="119" max="119" width="7.28515625" style="199" customWidth="1"/>
    <col min="120" max="120" width="16.7109375" style="598" customWidth="1"/>
    <col min="121" max="121" width="13.5703125" style="493" bestFit="1" customWidth="1"/>
    <col min="122" max="122" width="9.28515625" style="299" hidden="1" customWidth="1"/>
    <col min="123" max="123" width="22.5703125" style="269" hidden="1" customWidth="1"/>
    <col min="124" max="124" width="11.7109375" style="273" hidden="1" customWidth="1"/>
    <col min="125" max="126" width="8.7109375" hidden="1" customWidth="1"/>
    <col min="127" max="127" width="12.5703125" style="258" hidden="1" customWidth="1"/>
    <col min="128" max="129" width="8.7109375" hidden="1" customWidth="1"/>
    <col min="130" max="130" width="9.42578125" style="23" hidden="1" customWidth="1"/>
    <col min="131" max="132" width="8.7109375" hidden="1" customWidth="1"/>
    <col min="133" max="133" width="12.42578125" style="258" hidden="1" customWidth="1"/>
    <col min="134" max="135" width="8.7109375" style="310" hidden="1" customWidth="1"/>
    <col min="136" max="136" width="11.7109375" style="310" hidden="1" customWidth="1"/>
    <col min="137" max="139" width="8.7109375" hidden="1" customWidth="1"/>
    <col min="140" max="140" width="10.7109375" style="21" hidden="1" customWidth="1"/>
    <col min="141" max="143" width="8.7109375" style="310" hidden="1" customWidth="1"/>
    <col min="144" max="144" width="10.28515625" style="310" hidden="1" customWidth="1"/>
    <col min="145" max="147" width="8.7109375" hidden="1" customWidth="1"/>
    <col min="148" max="148" width="12.42578125" style="258" hidden="1" customWidth="1"/>
    <col min="149" max="151" width="8.7109375" style="269" hidden="1" customWidth="1"/>
    <col min="152" max="152" width="10.7109375" style="269" hidden="1" customWidth="1"/>
    <col min="153" max="155" width="8.7109375" hidden="1" customWidth="1"/>
    <col min="156" max="156" width="10.7109375" style="258" hidden="1" customWidth="1"/>
    <col min="157" max="160" width="8.7109375" style="310" hidden="1" customWidth="1"/>
    <col min="161" max="161" width="0" style="28" hidden="1" customWidth="1"/>
    <col min="162" max="163" width="8.7109375" hidden="1" customWidth="1"/>
    <col min="164" max="164" width="10.7109375" style="258" hidden="1" customWidth="1"/>
    <col min="165" max="167" width="8.7109375" hidden="1" customWidth="1"/>
    <col min="168" max="168" width="11.7109375" style="277" hidden="1" customWidth="1"/>
    <col min="169" max="169" width="0" hidden="1" customWidth="1"/>
  </cols>
  <sheetData>
    <row r="1" spans="1:169" s="15" customFormat="1" ht="29.1" customHeight="1">
      <c r="A1" s="644" t="s">
        <v>1013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552"/>
      <c r="P1" s="250"/>
      <c r="Q1" s="463"/>
      <c r="R1" s="553"/>
      <c r="S1" s="464"/>
      <c r="T1" s="2"/>
      <c r="U1" s="2"/>
      <c r="V1" s="2"/>
      <c r="W1" s="2"/>
      <c r="X1" s="3"/>
      <c r="Y1" s="2"/>
      <c r="Z1" s="2"/>
      <c r="AA1" s="2"/>
      <c r="AB1" s="2"/>
      <c r="AC1" s="2"/>
      <c r="AD1" s="2"/>
      <c r="AE1" s="2"/>
      <c r="AF1" s="3"/>
      <c r="AG1" s="2"/>
      <c r="AH1" s="2"/>
      <c r="AI1" s="2"/>
      <c r="AJ1" s="2"/>
      <c r="AK1" s="2"/>
      <c r="AL1" s="2"/>
      <c r="AM1" s="2"/>
      <c r="AN1" s="3"/>
      <c r="AO1" s="437"/>
      <c r="AP1" s="2"/>
      <c r="AQ1" s="387"/>
      <c r="AR1" s="465"/>
      <c r="AS1" s="201"/>
      <c r="AT1" s="2"/>
      <c r="AU1" s="61"/>
      <c r="AV1" s="3"/>
      <c r="AW1" s="465"/>
      <c r="AX1" s="3"/>
      <c r="AY1" s="2"/>
      <c r="AZ1" s="465"/>
      <c r="BA1" s="201"/>
      <c r="BB1" s="61"/>
      <c r="BC1" s="465"/>
      <c r="BD1" s="3"/>
      <c r="BE1" s="2"/>
      <c r="BF1" s="2"/>
      <c r="BG1" s="196"/>
      <c r="BH1" s="61"/>
      <c r="BI1" s="465"/>
      <c r="BJ1" s="3"/>
      <c r="BK1" s="2"/>
      <c r="BL1" s="465"/>
      <c r="BM1" s="3"/>
      <c r="BN1" s="2"/>
      <c r="BO1" s="465"/>
      <c r="BP1" s="3"/>
      <c r="BQ1" s="370"/>
      <c r="BR1" s="465"/>
      <c r="BS1" s="3"/>
      <c r="BT1" s="61"/>
      <c r="BU1" s="465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3"/>
      <c r="CI1" s="2"/>
      <c r="CJ1" s="465"/>
      <c r="CK1" s="2"/>
      <c r="CL1" s="2"/>
      <c r="CM1" s="2"/>
      <c r="CN1" s="3"/>
      <c r="CO1" s="2"/>
      <c r="CP1" s="465"/>
      <c r="CQ1" s="3"/>
      <c r="CR1" s="554"/>
      <c r="CS1" s="465"/>
      <c r="CT1" s="2"/>
      <c r="CU1" s="2"/>
      <c r="CV1" s="2"/>
      <c r="CW1" s="2"/>
      <c r="CX1" s="2"/>
      <c r="CY1" s="2"/>
      <c r="CZ1" s="2"/>
      <c r="DA1" s="2"/>
      <c r="DB1" s="465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33"/>
      <c r="DP1" s="220"/>
      <c r="DQ1" s="465"/>
      <c r="DR1" s="288"/>
      <c r="DS1" s="268"/>
      <c r="DT1" s="272"/>
      <c r="DU1" s="13"/>
      <c r="DV1" s="14"/>
      <c r="DW1" s="372"/>
      <c r="DX1" s="14"/>
      <c r="DY1" s="14"/>
      <c r="DZ1" s="26"/>
      <c r="EA1" s="14"/>
      <c r="EB1" s="14"/>
      <c r="EC1" s="372"/>
      <c r="ED1" s="311"/>
      <c r="EE1" s="311"/>
      <c r="EF1" s="311"/>
      <c r="EG1" s="14"/>
      <c r="EH1" s="14"/>
      <c r="EI1" s="14"/>
      <c r="EJ1" s="24"/>
      <c r="EK1" s="311"/>
      <c r="EL1" s="311"/>
      <c r="EM1" s="311"/>
      <c r="EN1" s="311"/>
      <c r="EO1" s="14"/>
      <c r="EP1" s="14"/>
      <c r="EQ1" s="14"/>
      <c r="ER1" s="372"/>
      <c r="ES1" s="274"/>
      <c r="ET1" s="274"/>
      <c r="EU1" s="274"/>
      <c r="EV1" s="274"/>
      <c r="EW1" s="14"/>
      <c r="EX1" s="14"/>
      <c r="EY1" s="14"/>
      <c r="EZ1" s="372"/>
      <c r="FA1" s="311"/>
      <c r="FB1" s="311"/>
      <c r="FC1" s="311"/>
      <c r="FD1" s="311"/>
      <c r="FE1" s="194"/>
      <c r="FF1" s="14"/>
      <c r="FG1" s="14"/>
      <c r="FH1" s="372"/>
      <c r="FI1" s="14"/>
      <c r="FJ1" s="14"/>
      <c r="FK1" s="14"/>
      <c r="FL1" s="278"/>
    </row>
    <row r="2" spans="1:169" s="18" customFormat="1">
      <c r="A2" s="1"/>
      <c r="B2" s="189"/>
      <c r="C2" s="1"/>
      <c r="D2" s="1"/>
      <c r="E2" s="1"/>
      <c r="F2" s="1"/>
      <c r="G2" s="245"/>
      <c r="H2" s="1"/>
      <c r="I2" s="1"/>
      <c r="J2" s="225"/>
      <c r="K2" s="225"/>
      <c r="L2" s="555"/>
      <c r="M2" s="1"/>
      <c r="N2" s="1"/>
      <c r="O2" s="37"/>
      <c r="P2" s="3"/>
      <c r="Q2" s="2"/>
      <c r="R2" s="448"/>
      <c r="S2" s="465"/>
      <c r="T2" s="2"/>
      <c r="U2" s="2"/>
      <c r="V2" s="2"/>
      <c r="W2" s="2"/>
      <c r="X2" s="3"/>
      <c r="Y2" s="2"/>
      <c r="Z2" s="2"/>
      <c r="AA2" s="2">
        <v>3800</v>
      </c>
      <c r="AB2" s="2"/>
      <c r="AC2" s="2"/>
      <c r="AD2" s="2"/>
      <c r="AE2" s="2"/>
      <c r="AF2" s="3"/>
      <c r="AG2" s="2"/>
      <c r="AH2" s="2"/>
      <c r="AI2" s="2">
        <v>750</v>
      </c>
      <c r="AJ2" s="2"/>
      <c r="AK2" s="2"/>
      <c r="AL2" s="2"/>
      <c r="AM2" s="2"/>
      <c r="AN2" s="3"/>
      <c r="AO2" s="437"/>
      <c r="AP2" s="2"/>
      <c r="AQ2" s="387"/>
      <c r="AR2" s="465"/>
      <c r="AS2" s="200"/>
      <c r="AT2" s="227"/>
      <c r="AU2" s="556"/>
      <c r="AV2" s="228"/>
      <c r="AW2" s="465"/>
      <c r="AX2" s="3"/>
      <c r="AY2" s="2"/>
      <c r="AZ2" s="465"/>
      <c r="BA2" s="229"/>
      <c r="BB2" s="556"/>
      <c r="BC2" s="557"/>
      <c r="BD2" s="3"/>
      <c r="BE2" s="2"/>
      <c r="BF2" s="2"/>
      <c r="BG2" s="196"/>
      <c r="BH2" s="61"/>
      <c r="BI2" s="465"/>
      <c r="BJ2" s="3"/>
      <c r="BK2" s="2"/>
      <c r="BL2" s="465"/>
      <c r="BM2" s="229"/>
      <c r="BN2" s="227"/>
      <c r="BO2" s="465"/>
      <c r="BP2" s="3"/>
      <c r="BQ2" s="370"/>
      <c r="BR2" s="465">
        <v>1200</v>
      </c>
      <c r="BS2" s="3"/>
      <c r="BT2" s="61"/>
      <c r="BU2" s="465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3"/>
      <c r="CI2" s="2"/>
      <c r="CJ2" s="465">
        <v>6000</v>
      </c>
      <c r="CK2" s="2"/>
      <c r="CL2" s="2"/>
      <c r="CM2" s="2"/>
      <c r="CN2" s="3"/>
      <c r="CO2" s="2"/>
      <c r="CP2" s="465"/>
      <c r="CQ2" s="3"/>
      <c r="CR2" s="554"/>
      <c r="CS2" s="465"/>
      <c r="CT2" s="2"/>
      <c r="CU2" s="2"/>
      <c r="CV2" s="2"/>
      <c r="CW2" s="2"/>
      <c r="CX2" s="2"/>
      <c r="CY2" s="2"/>
      <c r="CZ2" s="2"/>
      <c r="DA2" s="2"/>
      <c r="DB2" s="465">
        <v>1800</v>
      </c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3"/>
      <c r="DP2" s="220"/>
      <c r="DQ2" s="465"/>
      <c r="DR2" s="289"/>
      <c r="DS2" s="290"/>
      <c r="DT2" s="272"/>
      <c r="DU2" s="2"/>
      <c r="DV2" s="2"/>
      <c r="DW2" s="255"/>
      <c r="DX2" s="2"/>
      <c r="DY2" s="2"/>
      <c r="DZ2" s="22"/>
      <c r="EA2" s="2"/>
      <c r="EB2" s="2"/>
      <c r="EC2" s="255">
        <v>600</v>
      </c>
      <c r="ED2" s="312"/>
      <c r="EE2" s="307"/>
      <c r="EF2" s="307"/>
      <c r="EG2" s="2"/>
      <c r="EH2" s="2"/>
      <c r="EI2" s="2"/>
      <c r="EJ2" s="19"/>
      <c r="EK2" s="307"/>
      <c r="EL2" s="307"/>
      <c r="EM2" s="307"/>
      <c r="EN2" s="307"/>
      <c r="EO2" s="2"/>
      <c r="EP2" s="2"/>
      <c r="EQ2" s="2"/>
      <c r="ER2" s="255"/>
      <c r="ES2" s="268"/>
      <c r="ET2" s="268"/>
      <c r="EU2" s="268"/>
      <c r="EV2" s="268"/>
      <c r="EW2" s="2"/>
      <c r="EX2" s="2"/>
      <c r="EY2" s="2"/>
      <c r="EZ2" s="255"/>
      <c r="FA2" s="307"/>
      <c r="FB2" s="307"/>
      <c r="FC2" s="307"/>
      <c r="FD2" s="307"/>
      <c r="FE2" s="2"/>
      <c r="FF2" s="2"/>
      <c r="FG2" s="2"/>
      <c r="FH2" s="255"/>
      <c r="FI2" s="2"/>
      <c r="FJ2" s="2"/>
      <c r="FK2" s="2"/>
      <c r="FL2" s="275"/>
    </row>
    <row r="3" spans="1:169" s="16" customFormat="1" ht="53.65" customHeight="1">
      <c r="A3" s="608" t="s">
        <v>1</v>
      </c>
      <c r="B3" s="608" t="s">
        <v>2</v>
      </c>
      <c r="C3" s="608" t="s">
        <v>3</v>
      </c>
      <c r="D3" s="624" t="s">
        <v>4</v>
      </c>
      <c r="E3" s="608" t="s">
        <v>5</v>
      </c>
      <c r="F3" s="608" t="s">
        <v>6</v>
      </c>
      <c r="G3" s="621" t="s">
        <v>607</v>
      </c>
      <c r="H3" s="622"/>
      <c r="I3" s="623"/>
      <c r="J3" s="611" t="s">
        <v>609</v>
      </c>
      <c r="K3" s="625" t="s">
        <v>611</v>
      </c>
      <c r="L3" s="628" t="s">
        <v>610</v>
      </c>
      <c r="M3" s="558" t="s">
        <v>567</v>
      </c>
      <c r="N3" s="558" t="s">
        <v>8</v>
      </c>
      <c r="O3" s="664" t="s">
        <v>1015</v>
      </c>
      <c r="P3" s="599" t="s">
        <v>9</v>
      </c>
      <c r="Q3" s="600"/>
      <c r="R3" s="600"/>
      <c r="S3" s="601"/>
      <c r="T3" s="599"/>
      <c r="U3" s="600"/>
      <c r="V3" s="600"/>
      <c r="W3" s="601"/>
      <c r="X3" s="236" t="s">
        <v>10</v>
      </c>
      <c r="Y3" s="559"/>
      <c r="Z3" s="559"/>
      <c r="AA3" s="559"/>
      <c r="AB3" s="559"/>
      <c r="AC3" s="559"/>
      <c r="AD3" s="559"/>
      <c r="AE3" s="560"/>
      <c r="AF3" s="236" t="s">
        <v>11</v>
      </c>
      <c r="AG3" s="559"/>
      <c r="AH3" s="559"/>
      <c r="AI3" s="559"/>
      <c r="AJ3" s="559"/>
      <c r="AK3" s="559"/>
      <c r="AL3" s="559"/>
      <c r="AM3" s="560"/>
      <c r="AN3" s="236" t="s">
        <v>12</v>
      </c>
      <c r="AO3" s="561"/>
      <c r="AP3" s="559"/>
      <c r="AQ3" s="388"/>
      <c r="AR3" s="514"/>
      <c r="AS3" s="559"/>
      <c r="AT3" s="562"/>
      <c r="AU3" s="563"/>
      <c r="AV3" s="564"/>
      <c r="AW3" s="565"/>
      <c r="AX3" s="236" t="s">
        <v>13</v>
      </c>
      <c r="AY3" s="559"/>
      <c r="AZ3" s="514"/>
      <c r="BA3" s="566"/>
      <c r="BB3" s="563"/>
      <c r="BC3" s="567"/>
      <c r="BD3" s="236" t="s">
        <v>14</v>
      </c>
      <c r="BE3" s="559"/>
      <c r="BF3" s="559"/>
      <c r="BG3" s="559"/>
      <c r="BH3" s="247"/>
      <c r="BI3" s="515"/>
      <c r="BJ3" s="236" t="s">
        <v>15</v>
      </c>
      <c r="BK3" s="559"/>
      <c r="BL3" s="514"/>
      <c r="BM3" s="566"/>
      <c r="BN3" s="562"/>
      <c r="BO3" s="515"/>
      <c r="BP3" s="202" t="s">
        <v>16</v>
      </c>
      <c r="BQ3" s="568"/>
      <c r="BR3" s="569"/>
      <c r="BS3" s="570"/>
      <c r="BT3" s="571"/>
      <c r="BU3" s="569"/>
      <c r="BV3" s="570" t="s">
        <v>17</v>
      </c>
      <c r="BW3" s="570"/>
      <c r="BX3" s="570"/>
      <c r="BY3" s="570"/>
      <c r="BZ3" s="570"/>
      <c r="CA3" s="570"/>
      <c r="CB3" s="599" t="s">
        <v>18</v>
      </c>
      <c r="CC3" s="600"/>
      <c r="CD3" s="601"/>
      <c r="CE3" s="570"/>
      <c r="CF3" s="570"/>
      <c r="CG3" s="570"/>
      <c r="CH3" s="202" t="s">
        <v>19</v>
      </c>
      <c r="CI3" s="570"/>
      <c r="CJ3" s="569"/>
      <c r="CK3" s="570"/>
      <c r="CL3" s="570"/>
      <c r="CM3" s="570"/>
      <c r="CN3" s="202" t="s">
        <v>20</v>
      </c>
      <c r="CO3" s="570"/>
      <c r="CP3" s="569"/>
      <c r="CQ3" s="202"/>
      <c r="CR3" s="572"/>
      <c r="CS3" s="569"/>
      <c r="CT3" s="570" t="s">
        <v>21</v>
      </c>
      <c r="CU3" s="570"/>
      <c r="CV3" s="570"/>
      <c r="CW3" s="570"/>
      <c r="CX3" s="570"/>
      <c r="CY3" s="570"/>
      <c r="CZ3" s="570" t="s">
        <v>22</v>
      </c>
      <c r="DA3" s="570"/>
      <c r="DB3" s="569"/>
      <c r="DC3" s="570"/>
      <c r="DD3" s="570"/>
      <c r="DE3" s="570"/>
      <c r="DF3" s="570" t="s">
        <v>23</v>
      </c>
      <c r="DG3" s="570"/>
      <c r="DH3" s="570"/>
      <c r="DI3" s="570"/>
      <c r="DJ3" s="570"/>
      <c r="DK3" s="570"/>
      <c r="DL3" s="570" t="s">
        <v>24</v>
      </c>
      <c r="DM3" s="570"/>
      <c r="DN3" s="570"/>
      <c r="DO3" s="599" t="s">
        <v>25</v>
      </c>
      <c r="DP3" s="600"/>
      <c r="DQ3" s="601"/>
      <c r="DR3" s="645" t="s">
        <v>542</v>
      </c>
      <c r="DS3" s="646"/>
      <c r="DT3" s="647"/>
      <c r="DU3" s="135" t="s">
        <v>26</v>
      </c>
      <c r="DV3" s="185"/>
      <c r="DW3" s="445"/>
      <c r="DX3" s="185"/>
      <c r="DY3" s="185"/>
      <c r="DZ3" s="185"/>
      <c r="EA3" s="101" t="s">
        <v>27</v>
      </c>
      <c r="EB3" s="213"/>
      <c r="EC3" s="373"/>
      <c r="ED3" s="313"/>
      <c r="EE3" s="313"/>
      <c r="EF3" s="314"/>
      <c r="EG3" s="101" t="s">
        <v>28</v>
      </c>
      <c r="EH3" s="213"/>
      <c r="EI3" s="213"/>
      <c r="EJ3" s="213"/>
      <c r="EK3" s="213"/>
      <c r="EL3" s="213"/>
      <c r="EM3" s="213"/>
      <c r="EN3" s="383"/>
      <c r="EO3" s="101" t="s">
        <v>29</v>
      </c>
      <c r="EP3" s="213"/>
      <c r="EQ3" s="213"/>
      <c r="ER3" s="373"/>
      <c r="ES3" s="301"/>
      <c r="ET3" s="301"/>
      <c r="EU3" s="301"/>
      <c r="EV3" s="302"/>
      <c r="EW3" s="101" t="s">
        <v>30</v>
      </c>
      <c r="EX3" s="213"/>
      <c r="EY3" s="213"/>
      <c r="EZ3" s="373"/>
      <c r="FA3" s="213"/>
      <c r="FB3" s="213"/>
      <c r="FC3" s="213"/>
      <c r="FD3" s="383"/>
      <c r="FE3" s="212" t="s">
        <v>31</v>
      </c>
      <c r="FF3" s="213"/>
      <c r="FG3" s="213"/>
      <c r="FH3" s="373"/>
      <c r="FI3" s="213"/>
      <c r="FJ3" s="213"/>
      <c r="FK3" s="213"/>
      <c r="FL3" s="279"/>
      <c r="FM3" s="182"/>
    </row>
    <row r="4" spans="1:169" s="4" customFormat="1">
      <c r="A4" s="609"/>
      <c r="B4" s="609"/>
      <c r="C4" s="609"/>
      <c r="D4" s="624"/>
      <c r="E4" s="609"/>
      <c r="F4" s="609"/>
      <c r="G4" s="612" t="s">
        <v>32</v>
      </c>
      <c r="H4" s="613" t="s">
        <v>33</v>
      </c>
      <c r="I4" s="613"/>
      <c r="J4" s="611"/>
      <c r="K4" s="626"/>
      <c r="L4" s="629"/>
      <c r="M4" s="558"/>
      <c r="N4" s="558"/>
      <c r="O4" s="751"/>
      <c r="P4" s="599" t="s">
        <v>34</v>
      </c>
      <c r="Q4" s="600"/>
      <c r="R4" s="600"/>
      <c r="S4" s="601"/>
      <c r="T4" s="570" t="s">
        <v>36</v>
      </c>
      <c r="U4" s="570"/>
      <c r="V4" s="454"/>
      <c r="W4" s="570"/>
      <c r="X4" s="599" t="s">
        <v>34</v>
      </c>
      <c r="Y4" s="600"/>
      <c r="Z4" s="600"/>
      <c r="AA4" s="601"/>
      <c r="AB4" s="570" t="s">
        <v>35</v>
      </c>
      <c r="AC4" s="454"/>
      <c r="AD4" s="454"/>
      <c r="AE4" s="570"/>
      <c r="AF4" s="599" t="s">
        <v>34</v>
      </c>
      <c r="AG4" s="600"/>
      <c r="AH4" s="600"/>
      <c r="AI4" s="601"/>
      <c r="AJ4" s="570"/>
      <c r="AK4" s="570"/>
      <c r="AL4" s="454"/>
      <c r="AM4" s="570"/>
      <c r="AN4" s="599" t="s">
        <v>34</v>
      </c>
      <c r="AO4" s="600"/>
      <c r="AP4" s="600"/>
      <c r="AQ4" s="600"/>
      <c r="AR4" s="601"/>
      <c r="AS4" s="599" t="s">
        <v>36</v>
      </c>
      <c r="AT4" s="600"/>
      <c r="AU4" s="600"/>
      <c r="AV4" s="600"/>
      <c r="AW4" s="607"/>
      <c r="AX4" s="599" t="s">
        <v>34</v>
      </c>
      <c r="AY4" s="600"/>
      <c r="AZ4" s="601"/>
      <c r="BA4" s="599" t="s">
        <v>36</v>
      </c>
      <c r="BB4" s="600"/>
      <c r="BC4" s="601"/>
      <c r="BD4" s="599" t="s">
        <v>34</v>
      </c>
      <c r="BE4" s="600"/>
      <c r="BF4" s="601"/>
      <c r="BG4" s="604" t="s">
        <v>36</v>
      </c>
      <c r="BH4" s="605"/>
      <c r="BI4" s="606"/>
      <c r="BJ4" s="599" t="s">
        <v>34</v>
      </c>
      <c r="BK4" s="600"/>
      <c r="BL4" s="601"/>
      <c r="BM4" s="599" t="s">
        <v>36</v>
      </c>
      <c r="BN4" s="600"/>
      <c r="BO4" s="601"/>
      <c r="BP4" s="599" t="s">
        <v>34</v>
      </c>
      <c r="BQ4" s="600"/>
      <c r="BR4" s="601"/>
      <c r="BS4" s="599" t="s">
        <v>36</v>
      </c>
      <c r="BT4" s="600"/>
      <c r="BU4" s="601"/>
      <c r="BV4" s="570" t="s">
        <v>34</v>
      </c>
      <c r="BW4" s="570"/>
      <c r="BX4" s="570"/>
      <c r="BY4" s="570" t="s">
        <v>35</v>
      </c>
      <c r="BZ4" s="570"/>
      <c r="CA4" s="570"/>
      <c r="CB4" s="599" t="s">
        <v>34</v>
      </c>
      <c r="CC4" s="600"/>
      <c r="CD4" s="601"/>
      <c r="CE4" s="570" t="s">
        <v>36</v>
      </c>
      <c r="CF4" s="570"/>
      <c r="CG4" s="570"/>
      <c r="CH4" s="599" t="s">
        <v>34</v>
      </c>
      <c r="CI4" s="600"/>
      <c r="CJ4" s="601"/>
      <c r="CK4" s="570"/>
      <c r="CL4" s="570"/>
      <c r="CM4" s="570"/>
      <c r="CN4" s="599" t="s">
        <v>34</v>
      </c>
      <c r="CO4" s="600"/>
      <c r="CP4" s="607"/>
      <c r="CQ4" s="599" t="s">
        <v>36</v>
      </c>
      <c r="CR4" s="600"/>
      <c r="CS4" s="601"/>
      <c r="CT4" s="599" t="s">
        <v>34</v>
      </c>
      <c r="CU4" s="600"/>
      <c r="CV4" s="601"/>
      <c r="CW4" s="570"/>
      <c r="CX4" s="570"/>
      <c r="CY4" s="570"/>
      <c r="CZ4" s="599" t="s">
        <v>34</v>
      </c>
      <c r="DA4" s="600"/>
      <c r="DB4" s="601"/>
      <c r="DC4" s="570"/>
      <c r="DD4" s="570"/>
      <c r="DE4" s="570"/>
      <c r="DF4" s="570" t="s">
        <v>34</v>
      </c>
      <c r="DG4" s="570"/>
      <c r="DH4" s="570"/>
      <c r="DI4" s="570" t="s">
        <v>35</v>
      </c>
      <c r="DJ4" s="570"/>
      <c r="DK4" s="570"/>
      <c r="DL4" s="599" t="s">
        <v>34</v>
      </c>
      <c r="DM4" s="600"/>
      <c r="DN4" s="601"/>
      <c r="DO4" s="599" t="s">
        <v>34</v>
      </c>
      <c r="DP4" s="600"/>
      <c r="DQ4" s="601"/>
      <c r="DR4" s="645" t="s">
        <v>35</v>
      </c>
      <c r="DS4" s="646"/>
      <c r="DT4" s="647"/>
      <c r="DU4" s="635" t="s">
        <v>37</v>
      </c>
      <c r="DV4" s="635"/>
      <c r="DW4" s="635"/>
      <c r="DX4" s="635" t="s">
        <v>36</v>
      </c>
      <c r="DY4" s="635"/>
      <c r="DZ4" s="635"/>
      <c r="EA4" s="635" t="s">
        <v>37</v>
      </c>
      <c r="EB4" s="635"/>
      <c r="EC4" s="635"/>
      <c r="ED4" s="634" t="s">
        <v>36</v>
      </c>
      <c r="EE4" s="634"/>
      <c r="EF4" s="634"/>
      <c r="EG4" s="635" t="s">
        <v>37</v>
      </c>
      <c r="EH4" s="635"/>
      <c r="EI4" s="635"/>
      <c r="EJ4" s="635"/>
      <c r="EK4" s="634"/>
      <c r="EL4" s="634"/>
      <c r="EM4" s="634"/>
      <c r="EN4" s="634"/>
      <c r="EO4" s="635" t="s">
        <v>37</v>
      </c>
      <c r="EP4" s="635"/>
      <c r="EQ4" s="635"/>
      <c r="ER4" s="635"/>
      <c r="ES4" s="636" t="s">
        <v>36</v>
      </c>
      <c r="ET4" s="636"/>
      <c r="EU4" s="636"/>
      <c r="EV4" s="636"/>
      <c r="EW4" s="635" t="s">
        <v>37</v>
      </c>
      <c r="EX4" s="635"/>
      <c r="EY4" s="635"/>
      <c r="EZ4" s="635"/>
      <c r="FA4" s="634"/>
      <c r="FB4" s="634"/>
      <c r="FC4" s="634"/>
      <c r="FD4" s="634"/>
      <c r="FE4" s="617" t="s">
        <v>37</v>
      </c>
      <c r="FF4" s="635"/>
      <c r="FG4" s="635"/>
      <c r="FH4" s="635"/>
      <c r="FI4" s="635"/>
      <c r="FJ4" s="635"/>
      <c r="FK4" s="635"/>
      <c r="FL4" s="635"/>
      <c r="FM4" s="183"/>
    </row>
    <row r="5" spans="1:169" s="4" customFormat="1">
      <c r="A5" s="609"/>
      <c r="B5" s="609"/>
      <c r="C5" s="609"/>
      <c r="D5" s="624"/>
      <c r="E5" s="609"/>
      <c r="F5" s="609"/>
      <c r="G5" s="612"/>
      <c r="H5" s="613" t="s">
        <v>38</v>
      </c>
      <c r="I5" s="613" t="s">
        <v>39</v>
      </c>
      <c r="J5" s="611"/>
      <c r="K5" s="626"/>
      <c r="L5" s="629"/>
      <c r="M5" s="558"/>
      <c r="N5" s="558"/>
      <c r="O5" s="751"/>
      <c r="P5" s="619" t="s">
        <v>40</v>
      </c>
      <c r="Q5" s="617" t="s">
        <v>41</v>
      </c>
      <c r="R5" s="620" t="s">
        <v>42</v>
      </c>
      <c r="S5" s="614" t="s">
        <v>43</v>
      </c>
      <c r="T5" s="616" t="s">
        <v>40</v>
      </c>
      <c r="U5" s="617" t="s">
        <v>41</v>
      </c>
      <c r="V5" s="618" t="s">
        <v>42</v>
      </c>
      <c r="W5" s="614" t="s">
        <v>43</v>
      </c>
      <c r="X5" s="616" t="s">
        <v>40</v>
      </c>
      <c r="Y5" s="617" t="s">
        <v>44</v>
      </c>
      <c r="Z5" s="617" t="s">
        <v>45</v>
      </c>
      <c r="AA5" s="617" t="s">
        <v>46</v>
      </c>
      <c r="AB5" s="617" t="s">
        <v>40</v>
      </c>
      <c r="AC5" s="617" t="s">
        <v>44</v>
      </c>
      <c r="AD5" s="617" t="s">
        <v>45</v>
      </c>
      <c r="AE5" s="617" t="s">
        <v>46</v>
      </c>
      <c r="AF5" s="616" t="s">
        <v>40</v>
      </c>
      <c r="AG5" s="617" t="s">
        <v>47</v>
      </c>
      <c r="AH5" s="617" t="s">
        <v>320</v>
      </c>
      <c r="AI5" s="617" t="s">
        <v>48</v>
      </c>
      <c r="AJ5" s="616" t="s">
        <v>40</v>
      </c>
      <c r="AK5" s="617" t="s">
        <v>47</v>
      </c>
      <c r="AL5" s="617" t="s">
        <v>320</v>
      </c>
      <c r="AM5" s="617" t="s">
        <v>48</v>
      </c>
      <c r="AN5" s="616" t="s">
        <v>40</v>
      </c>
      <c r="AO5" s="632" t="s">
        <v>49</v>
      </c>
      <c r="AP5" s="617" t="s">
        <v>44</v>
      </c>
      <c r="AQ5" s="615" t="s">
        <v>45</v>
      </c>
      <c r="AR5" s="614" t="s">
        <v>48</v>
      </c>
      <c r="AS5" s="616" t="s">
        <v>40</v>
      </c>
      <c r="AT5" s="618" t="s">
        <v>49</v>
      </c>
      <c r="AU5" s="633" t="s">
        <v>44</v>
      </c>
      <c r="AV5" s="631" t="s">
        <v>45</v>
      </c>
      <c r="AW5" s="614" t="s">
        <v>48</v>
      </c>
      <c r="AX5" s="616" t="s">
        <v>40</v>
      </c>
      <c r="AY5" s="617" t="s">
        <v>47</v>
      </c>
      <c r="AZ5" s="614" t="s">
        <v>43</v>
      </c>
      <c r="BA5" s="616" t="s">
        <v>40</v>
      </c>
      <c r="BB5" s="633" t="s">
        <v>47</v>
      </c>
      <c r="BC5" s="614" t="s">
        <v>43</v>
      </c>
      <c r="BD5" s="616" t="s">
        <v>40</v>
      </c>
      <c r="BE5" s="617" t="s">
        <v>47</v>
      </c>
      <c r="BF5" s="617" t="s">
        <v>43</v>
      </c>
      <c r="BG5" s="616" t="s">
        <v>40</v>
      </c>
      <c r="BH5" s="633" t="s">
        <v>47</v>
      </c>
      <c r="BI5" s="614" t="s">
        <v>43</v>
      </c>
      <c r="BJ5" s="616" t="s">
        <v>40</v>
      </c>
      <c r="BK5" s="617" t="s">
        <v>47</v>
      </c>
      <c r="BL5" s="614" t="s">
        <v>43</v>
      </c>
      <c r="BM5" s="616" t="s">
        <v>40</v>
      </c>
      <c r="BN5" s="617" t="s">
        <v>47</v>
      </c>
      <c r="BO5" s="614" t="s">
        <v>43</v>
      </c>
      <c r="BP5" s="616" t="s">
        <v>40</v>
      </c>
      <c r="BQ5" s="618" t="s">
        <v>47</v>
      </c>
      <c r="BR5" s="614" t="s">
        <v>43</v>
      </c>
      <c r="BS5" s="616" t="s">
        <v>40</v>
      </c>
      <c r="BT5" s="633" t="s">
        <v>47</v>
      </c>
      <c r="BU5" s="614" t="s">
        <v>43</v>
      </c>
      <c r="BV5" s="617" t="s">
        <v>40</v>
      </c>
      <c r="BW5" s="617" t="s">
        <v>47</v>
      </c>
      <c r="BX5" s="617" t="s">
        <v>43</v>
      </c>
      <c r="BY5" s="617" t="s">
        <v>40</v>
      </c>
      <c r="BZ5" s="617" t="s">
        <v>47</v>
      </c>
      <c r="CA5" s="617" t="s">
        <v>43</v>
      </c>
      <c r="CB5" s="617" t="s">
        <v>40</v>
      </c>
      <c r="CC5" s="617" t="s">
        <v>47</v>
      </c>
      <c r="CD5" s="617" t="s">
        <v>43</v>
      </c>
      <c r="CE5" s="617" t="s">
        <v>40</v>
      </c>
      <c r="CF5" s="617" t="s">
        <v>47</v>
      </c>
      <c r="CG5" s="617" t="s">
        <v>43</v>
      </c>
      <c r="CH5" s="616" t="s">
        <v>40</v>
      </c>
      <c r="CI5" s="617" t="s">
        <v>47</v>
      </c>
      <c r="CJ5" s="614" t="s">
        <v>43</v>
      </c>
      <c r="CK5" s="616" t="s">
        <v>40</v>
      </c>
      <c r="CL5" s="617" t="s">
        <v>47</v>
      </c>
      <c r="CM5" s="617" t="s">
        <v>43</v>
      </c>
      <c r="CN5" s="616" t="s">
        <v>40</v>
      </c>
      <c r="CO5" s="617" t="s">
        <v>47</v>
      </c>
      <c r="CP5" s="614" t="s">
        <v>43</v>
      </c>
      <c r="CQ5" s="616" t="s">
        <v>40</v>
      </c>
      <c r="CR5" s="633" t="s">
        <v>47</v>
      </c>
      <c r="CS5" s="614" t="s">
        <v>43</v>
      </c>
      <c r="CT5" s="617" t="s">
        <v>40</v>
      </c>
      <c r="CU5" s="617" t="s">
        <v>564</v>
      </c>
      <c r="CV5" s="617" t="s">
        <v>43</v>
      </c>
      <c r="CW5" s="617" t="s">
        <v>40</v>
      </c>
      <c r="CX5" s="617" t="s">
        <v>47</v>
      </c>
      <c r="CY5" s="617" t="s">
        <v>43</v>
      </c>
      <c r="CZ5" s="617" t="s">
        <v>40</v>
      </c>
      <c r="DA5" s="617" t="s">
        <v>44</v>
      </c>
      <c r="DB5" s="614" t="s">
        <v>43</v>
      </c>
      <c r="DC5" s="617" t="s">
        <v>40</v>
      </c>
      <c r="DD5" s="617" t="s">
        <v>44</v>
      </c>
      <c r="DE5" s="617" t="s">
        <v>43</v>
      </c>
      <c r="DF5" s="617" t="s">
        <v>40</v>
      </c>
      <c r="DG5" s="617" t="s">
        <v>44</v>
      </c>
      <c r="DH5" s="617" t="s">
        <v>43</v>
      </c>
      <c r="DI5" s="617" t="s">
        <v>40</v>
      </c>
      <c r="DJ5" s="617" t="s">
        <v>44</v>
      </c>
      <c r="DK5" s="617" t="s">
        <v>43</v>
      </c>
      <c r="DL5" s="617" t="s">
        <v>40</v>
      </c>
      <c r="DM5" s="618" t="s">
        <v>50</v>
      </c>
      <c r="DN5" s="617" t="s">
        <v>43</v>
      </c>
      <c r="DO5" s="616" t="s">
        <v>40</v>
      </c>
      <c r="DP5" s="637" t="s">
        <v>356</v>
      </c>
      <c r="DQ5" s="614" t="s">
        <v>43</v>
      </c>
      <c r="DR5" s="638" t="s">
        <v>40</v>
      </c>
      <c r="DS5" s="636"/>
      <c r="DT5" s="639" t="s">
        <v>43</v>
      </c>
      <c r="DU5" s="635" t="s">
        <v>40</v>
      </c>
      <c r="DV5" s="640" t="s">
        <v>51</v>
      </c>
      <c r="DW5" s="641" t="s">
        <v>43</v>
      </c>
      <c r="DX5" s="635" t="s">
        <v>40</v>
      </c>
      <c r="DY5" s="640" t="s">
        <v>51</v>
      </c>
      <c r="DZ5" s="642" t="s">
        <v>43</v>
      </c>
      <c r="EA5" s="635" t="s">
        <v>40</v>
      </c>
      <c r="EB5" s="640" t="s">
        <v>52</v>
      </c>
      <c r="EC5" s="641" t="s">
        <v>43</v>
      </c>
      <c r="ED5" s="635" t="s">
        <v>40</v>
      </c>
      <c r="EE5" s="640" t="s">
        <v>52</v>
      </c>
      <c r="EF5" s="642" t="s">
        <v>43</v>
      </c>
      <c r="EG5" s="635" t="s">
        <v>40</v>
      </c>
      <c r="EH5" s="640" t="s">
        <v>51</v>
      </c>
      <c r="EI5" s="640" t="s">
        <v>42</v>
      </c>
      <c r="EJ5" s="642" t="s">
        <v>43</v>
      </c>
      <c r="EK5" s="634"/>
      <c r="EL5" s="643"/>
      <c r="EM5" s="643"/>
      <c r="EN5" s="634"/>
      <c r="EO5" s="635" t="s">
        <v>40</v>
      </c>
      <c r="EP5" s="640" t="s">
        <v>53</v>
      </c>
      <c r="EQ5" s="640" t="s">
        <v>42</v>
      </c>
      <c r="ER5" s="641" t="s">
        <v>43</v>
      </c>
      <c r="ES5" s="635" t="s">
        <v>40</v>
      </c>
      <c r="ET5" s="640" t="s">
        <v>53</v>
      </c>
      <c r="EU5" s="640" t="s">
        <v>42</v>
      </c>
      <c r="EV5" s="642" t="s">
        <v>43</v>
      </c>
      <c r="EW5" s="635" t="s">
        <v>40</v>
      </c>
      <c r="EX5" s="640" t="s">
        <v>51</v>
      </c>
      <c r="EY5" s="602" t="s">
        <v>45</v>
      </c>
      <c r="EZ5" s="641" t="s">
        <v>43</v>
      </c>
      <c r="FA5" s="635" t="s">
        <v>40</v>
      </c>
      <c r="FB5" s="640" t="s">
        <v>51</v>
      </c>
      <c r="FC5" s="602" t="s">
        <v>45</v>
      </c>
      <c r="FD5" s="642" t="s">
        <v>43</v>
      </c>
      <c r="FE5" s="617" t="s">
        <v>40</v>
      </c>
      <c r="FF5" s="640" t="s">
        <v>51</v>
      </c>
      <c r="FG5" s="186" t="s">
        <v>54</v>
      </c>
      <c r="FH5" s="641" t="s">
        <v>43</v>
      </c>
      <c r="FI5" s="617" t="s">
        <v>40</v>
      </c>
      <c r="FJ5" s="640" t="s">
        <v>51</v>
      </c>
      <c r="FK5" s="602" t="s">
        <v>54</v>
      </c>
      <c r="FL5" s="641" t="s">
        <v>43</v>
      </c>
      <c r="FM5" s="183"/>
    </row>
    <row r="6" spans="1:169" s="4" customFormat="1" ht="42" customHeight="1">
      <c r="A6" s="610"/>
      <c r="B6" s="610"/>
      <c r="C6" s="610"/>
      <c r="D6" s="624"/>
      <c r="E6" s="610"/>
      <c r="F6" s="610"/>
      <c r="G6" s="612"/>
      <c r="H6" s="613"/>
      <c r="I6" s="613"/>
      <c r="J6" s="611"/>
      <c r="K6" s="627"/>
      <c r="L6" s="630"/>
      <c r="M6" s="558"/>
      <c r="N6" s="558"/>
      <c r="O6" s="665"/>
      <c r="P6" s="619"/>
      <c r="Q6" s="617"/>
      <c r="R6" s="620"/>
      <c r="S6" s="614"/>
      <c r="T6" s="616"/>
      <c r="U6" s="617"/>
      <c r="V6" s="618"/>
      <c r="W6" s="614"/>
      <c r="X6" s="616"/>
      <c r="Y6" s="617"/>
      <c r="Z6" s="617"/>
      <c r="AA6" s="617"/>
      <c r="AB6" s="617"/>
      <c r="AC6" s="617"/>
      <c r="AD6" s="617"/>
      <c r="AE6" s="617"/>
      <c r="AF6" s="616"/>
      <c r="AG6" s="617"/>
      <c r="AH6" s="617"/>
      <c r="AI6" s="617"/>
      <c r="AJ6" s="616"/>
      <c r="AK6" s="617"/>
      <c r="AL6" s="617"/>
      <c r="AM6" s="617"/>
      <c r="AN6" s="616"/>
      <c r="AO6" s="632"/>
      <c r="AP6" s="617"/>
      <c r="AQ6" s="615"/>
      <c r="AR6" s="614"/>
      <c r="AS6" s="616"/>
      <c r="AT6" s="618"/>
      <c r="AU6" s="633"/>
      <c r="AV6" s="631"/>
      <c r="AW6" s="614"/>
      <c r="AX6" s="616"/>
      <c r="AY6" s="617"/>
      <c r="AZ6" s="614"/>
      <c r="BA6" s="616"/>
      <c r="BB6" s="633"/>
      <c r="BC6" s="614"/>
      <c r="BD6" s="616"/>
      <c r="BE6" s="617"/>
      <c r="BF6" s="617"/>
      <c r="BG6" s="616"/>
      <c r="BH6" s="633"/>
      <c r="BI6" s="614"/>
      <c r="BJ6" s="616"/>
      <c r="BK6" s="617"/>
      <c r="BL6" s="614"/>
      <c r="BM6" s="616"/>
      <c r="BN6" s="617"/>
      <c r="BO6" s="614"/>
      <c r="BP6" s="616"/>
      <c r="BQ6" s="618"/>
      <c r="BR6" s="614"/>
      <c r="BS6" s="616"/>
      <c r="BT6" s="633"/>
      <c r="BU6" s="614"/>
      <c r="BV6" s="617"/>
      <c r="BW6" s="617"/>
      <c r="BX6" s="617"/>
      <c r="BY6" s="617"/>
      <c r="BZ6" s="617"/>
      <c r="CA6" s="617"/>
      <c r="CB6" s="617"/>
      <c r="CC6" s="617"/>
      <c r="CD6" s="617"/>
      <c r="CE6" s="617"/>
      <c r="CF6" s="617"/>
      <c r="CG6" s="617"/>
      <c r="CH6" s="616"/>
      <c r="CI6" s="617"/>
      <c r="CJ6" s="614"/>
      <c r="CK6" s="616"/>
      <c r="CL6" s="617"/>
      <c r="CM6" s="617"/>
      <c r="CN6" s="616"/>
      <c r="CO6" s="617"/>
      <c r="CP6" s="614"/>
      <c r="CQ6" s="616"/>
      <c r="CR6" s="633"/>
      <c r="CS6" s="614"/>
      <c r="CT6" s="617"/>
      <c r="CU6" s="617"/>
      <c r="CV6" s="617"/>
      <c r="CW6" s="617"/>
      <c r="CX6" s="617"/>
      <c r="CY6" s="617"/>
      <c r="CZ6" s="617"/>
      <c r="DA6" s="617"/>
      <c r="DB6" s="614"/>
      <c r="DC6" s="617"/>
      <c r="DD6" s="617"/>
      <c r="DE6" s="617"/>
      <c r="DF6" s="617"/>
      <c r="DG6" s="617"/>
      <c r="DH6" s="617"/>
      <c r="DI6" s="617"/>
      <c r="DJ6" s="617"/>
      <c r="DK6" s="617"/>
      <c r="DL6" s="617"/>
      <c r="DM6" s="618"/>
      <c r="DN6" s="617"/>
      <c r="DO6" s="616"/>
      <c r="DP6" s="637"/>
      <c r="DQ6" s="614"/>
      <c r="DR6" s="638"/>
      <c r="DS6" s="636"/>
      <c r="DT6" s="639"/>
      <c r="DU6" s="635"/>
      <c r="DV6" s="640"/>
      <c r="DW6" s="641"/>
      <c r="DX6" s="635"/>
      <c r="DY6" s="640"/>
      <c r="DZ6" s="642"/>
      <c r="EA6" s="635"/>
      <c r="EB6" s="640"/>
      <c r="EC6" s="641"/>
      <c r="ED6" s="635"/>
      <c r="EE6" s="640"/>
      <c r="EF6" s="642"/>
      <c r="EG6" s="635"/>
      <c r="EH6" s="640"/>
      <c r="EI6" s="640"/>
      <c r="EJ6" s="642"/>
      <c r="EK6" s="634"/>
      <c r="EL6" s="643"/>
      <c r="EM6" s="643"/>
      <c r="EN6" s="634"/>
      <c r="EO6" s="635"/>
      <c r="EP6" s="640"/>
      <c r="EQ6" s="640"/>
      <c r="ER6" s="641"/>
      <c r="ES6" s="635"/>
      <c r="ET6" s="640"/>
      <c r="EU6" s="640"/>
      <c r="EV6" s="642"/>
      <c r="EW6" s="635"/>
      <c r="EX6" s="640"/>
      <c r="EY6" s="603"/>
      <c r="EZ6" s="641"/>
      <c r="FA6" s="635"/>
      <c r="FB6" s="640"/>
      <c r="FC6" s="603"/>
      <c r="FD6" s="642"/>
      <c r="FE6" s="617"/>
      <c r="FF6" s="640"/>
      <c r="FG6" s="186"/>
      <c r="FH6" s="641"/>
      <c r="FI6" s="617"/>
      <c r="FJ6" s="640"/>
      <c r="FK6" s="603"/>
      <c r="FL6" s="641"/>
      <c r="FM6" s="183"/>
    </row>
    <row r="7" spans="1:169" s="12" customFormat="1" ht="11.65" customHeight="1">
      <c r="A7" s="453">
        <v>1</v>
      </c>
      <c r="B7" s="453">
        <v>2</v>
      </c>
      <c r="C7" s="453">
        <v>3</v>
      </c>
      <c r="D7" s="453">
        <v>4</v>
      </c>
      <c r="E7" s="453">
        <v>5</v>
      </c>
      <c r="F7" s="453">
        <v>6</v>
      </c>
      <c r="G7" s="451">
        <v>7</v>
      </c>
      <c r="H7" s="453"/>
      <c r="I7" s="453"/>
      <c r="J7" s="226"/>
      <c r="K7" s="226"/>
      <c r="L7" s="573"/>
      <c r="M7" s="453"/>
      <c r="N7" s="453">
        <v>9</v>
      </c>
      <c r="O7" s="455">
        <v>10</v>
      </c>
      <c r="P7" s="551">
        <v>11</v>
      </c>
      <c r="Q7" s="453">
        <v>12</v>
      </c>
      <c r="R7" s="574"/>
      <c r="S7" s="452">
        <v>13</v>
      </c>
      <c r="T7" s="453"/>
      <c r="U7" s="453"/>
      <c r="V7" s="453"/>
      <c r="W7" s="453"/>
      <c r="X7" s="197">
        <v>17</v>
      </c>
      <c r="Y7" s="453">
        <v>18</v>
      </c>
      <c r="Z7" s="453"/>
      <c r="AA7" s="453">
        <v>19</v>
      </c>
      <c r="AB7" s="453">
        <v>20</v>
      </c>
      <c r="AC7" s="453">
        <v>21</v>
      </c>
      <c r="AD7" s="453"/>
      <c r="AE7" s="453">
        <v>22</v>
      </c>
      <c r="AF7" s="197">
        <v>23</v>
      </c>
      <c r="AG7" s="453">
        <v>24</v>
      </c>
      <c r="AH7" s="453"/>
      <c r="AI7" s="453">
        <v>25</v>
      </c>
      <c r="AJ7" s="453"/>
      <c r="AK7" s="453"/>
      <c r="AL7" s="453"/>
      <c r="AM7" s="453"/>
      <c r="AN7" s="197">
        <v>29</v>
      </c>
      <c r="AO7" s="575"/>
      <c r="AP7" s="453">
        <v>30</v>
      </c>
      <c r="AQ7" s="197"/>
      <c r="AR7" s="452">
        <v>31</v>
      </c>
      <c r="AS7" s="197"/>
      <c r="AT7" s="453"/>
      <c r="AU7" s="455"/>
      <c r="AV7" s="197"/>
      <c r="AW7" s="452"/>
      <c r="AX7" s="197">
        <v>35</v>
      </c>
      <c r="AY7" s="453">
        <v>36</v>
      </c>
      <c r="AZ7" s="452">
        <v>37</v>
      </c>
      <c r="BA7" s="197"/>
      <c r="BB7" s="455"/>
      <c r="BC7" s="452"/>
      <c r="BD7" s="197">
        <v>41</v>
      </c>
      <c r="BE7" s="453">
        <v>42</v>
      </c>
      <c r="BF7" s="453">
        <v>43</v>
      </c>
      <c r="BG7" s="197"/>
      <c r="BH7" s="455"/>
      <c r="BI7" s="452"/>
      <c r="BJ7" s="197">
        <v>47</v>
      </c>
      <c r="BK7" s="453">
        <v>48</v>
      </c>
      <c r="BL7" s="452">
        <v>49</v>
      </c>
      <c r="BM7" s="197"/>
      <c r="BN7" s="453"/>
      <c r="BO7" s="452"/>
      <c r="BP7" s="197">
        <v>53</v>
      </c>
      <c r="BQ7" s="453">
        <v>54</v>
      </c>
      <c r="BR7" s="452">
        <v>55</v>
      </c>
      <c r="BS7" s="197"/>
      <c r="BT7" s="455"/>
      <c r="BU7" s="452"/>
      <c r="BV7" s="453">
        <v>59</v>
      </c>
      <c r="BW7" s="453">
        <v>60</v>
      </c>
      <c r="BX7" s="453">
        <v>61</v>
      </c>
      <c r="BY7" s="453">
        <v>62</v>
      </c>
      <c r="BZ7" s="453">
        <v>63</v>
      </c>
      <c r="CA7" s="453">
        <v>64</v>
      </c>
      <c r="CB7" s="453">
        <v>65</v>
      </c>
      <c r="CC7" s="453">
        <v>66</v>
      </c>
      <c r="CD7" s="453">
        <v>67</v>
      </c>
      <c r="CE7" s="453"/>
      <c r="CF7" s="453"/>
      <c r="CG7" s="453"/>
      <c r="CH7" s="197">
        <v>71</v>
      </c>
      <c r="CI7" s="453">
        <v>72</v>
      </c>
      <c r="CJ7" s="452">
        <v>73</v>
      </c>
      <c r="CK7" s="453"/>
      <c r="CL7" s="453"/>
      <c r="CM7" s="453"/>
      <c r="CN7" s="197"/>
      <c r="CO7" s="453"/>
      <c r="CP7" s="452"/>
      <c r="CQ7" s="197"/>
      <c r="CR7" s="455"/>
      <c r="CS7" s="452"/>
      <c r="CT7" s="453">
        <v>83</v>
      </c>
      <c r="CU7" s="453">
        <v>84</v>
      </c>
      <c r="CV7" s="453">
        <v>85</v>
      </c>
      <c r="CW7" s="453"/>
      <c r="CX7" s="453"/>
      <c r="CY7" s="453"/>
      <c r="CZ7" s="453">
        <v>89</v>
      </c>
      <c r="DA7" s="453">
        <v>90</v>
      </c>
      <c r="DB7" s="452">
        <v>91</v>
      </c>
      <c r="DC7" s="453"/>
      <c r="DD7" s="453"/>
      <c r="DE7" s="453"/>
      <c r="DF7" s="453">
        <v>95</v>
      </c>
      <c r="DG7" s="453">
        <v>96</v>
      </c>
      <c r="DH7" s="453">
        <v>97</v>
      </c>
      <c r="DI7" s="453">
        <v>98</v>
      </c>
      <c r="DJ7" s="453">
        <v>99</v>
      </c>
      <c r="DK7" s="453">
        <v>100</v>
      </c>
      <c r="DL7" s="453">
        <v>101</v>
      </c>
      <c r="DM7" s="453">
        <v>102</v>
      </c>
      <c r="DN7" s="453">
        <v>103</v>
      </c>
      <c r="DO7" s="197">
        <v>104</v>
      </c>
      <c r="DP7" s="576">
        <v>105</v>
      </c>
      <c r="DQ7" s="452">
        <v>106</v>
      </c>
      <c r="DR7" s="291">
        <v>107</v>
      </c>
      <c r="DS7" s="292">
        <v>108</v>
      </c>
      <c r="DT7" s="385">
        <v>109</v>
      </c>
      <c r="DU7" s="11"/>
      <c r="DV7" s="11"/>
      <c r="DW7" s="374"/>
      <c r="DX7" s="11"/>
      <c r="DY7" s="11"/>
      <c r="DZ7" s="27"/>
      <c r="EA7" s="11"/>
      <c r="EB7" s="11"/>
      <c r="EC7" s="374"/>
      <c r="ED7" s="315"/>
      <c r="EE7" s="315"/>
      <c r="EF7" s="315"/>
      <c r="EG7" s="11"/>
      <c r="EH7" s="11"/>
      <c r="EI7" s="11"/>
      <c r="EJ7" s="25"/>
      <c r="EK7" s="315"/>
      <c r="EL7" s="315"/>
      <c r="EM7" s="315"/>
      <c r="EN7" s="315"/>
      <c r="EO7" s="11"/>
      <c r="EP7" s="11"/>
      <c r="EQ7" s="11"/>
      <c r="ER7" s="374"/>
      <c r="ES7" s="303"/>
      <c r="ET7" s="303"/>
      <c r="EU7" s="303"/>
      <c r="EV7" s="303"/>
      <c r="EW7" s="11"/>
      <c r="EX7" s="11"/>
      <c r="EY7" s="11"/>
      <c r="EZ7" s="374"/>
      <c r="FA7" s="315"/>
      <c r="FB7" s="315"/>
      <c r="FC7" s="315"/>
      <c r="FD7" s="315"/>
      <c r="FE7" s="11"/>
      <c r="FF7" s="11"/>
      <c r="FG7" s="11"/>
      <c r="FH7" s="374"/>
      <c r="FI7" s="11"/>
      <c r="FJ7" s="11"/>
      <c r="FK7" s="11"/>
      <c r="FL7" s="280"/>
      <c r="FM7" s="184"/>
    </row>
    <row r="8" spans="1:169" s="164" customFormat="1" ht="23.25">
      <c r="A8" s="45">
        <v>1</v>
      </c>
      <c r="B8" s="45" t="s">
        <v>210</v>
      </c>
      <c r="C8" s="179">
        <v>4</v>
      </c>
      <c r="D8" s="29" t="s">
        <v>487</v>
      </c>
      <c r="E8" s="175">
        <v>2</v>
      </c>
      <c r="F8" s="30">
        <v>7</v>
      </c>
      <c r="G8" s="246">
        <f>107455.95/1000</f>
        <v>107.45595</v>
      </c>
      <c r="H8" s="180">
        <v>0</v>
      </c>
      <c r="I8" s="180">
        <v>107455.95000000001</v>
      </c>
      <c r="J8" s="577">
        <v>394.14898000000005</v>
      </c>
      <c r="K8" s="495">
        <f>G8+J8</f>
        <v>501.60493000000008</v>
      </c>
      <c r="L8" s="578"/>
      <c r="M8" s="45">
        <f>(W8+AE8+AM8+AW8+BC8+BI8+BO8+BU8+CA8+CG8+CM8+CS8+CY8+DE8+DK8+DT8)/1000</f>
        <v>0</v>
      </c>
      <c r="N8" s="46">
        <f>K8-M8</f>
        <v>501.60493000000008</v>
      </c>
      <c r="O8" s="46">
        <f t="shared" ref="O8:O38" si="0">(S8+AA8+AI8+AR8+AZ8+BF8+BL8+BR8+BX8+CD8+CJ8+CP8+CV8+DB8+DH8+DN8+DQ8)/1000</f>
        <v>374</v>
      </c>
      <c r="P8" s="234"/>
      <c r="Q8" s="181"/>
      <c r="R8" s="449"/>
      <c r="S8" s="257"/>
      <c r="T8" s="46"/>
      <c r="U8" s="46"/>
      <c r="V8" s="46"/>
      <c r="W8" s="46"/>
      <c r="X8" s="198"/>
      <c r="Y8" s="181"/>
      <c r="Z8" s="181"/>
      <c r="AA8" s="46"/>
      <c r="AB8" s="46"/>
      <c r="AC8" s="46"/>
      <c r="AD8" s="46"/>
      <c r="AE8" s="46"/>
      <c r="AF8" s="198"/>
      <c r="AG8" s="181"/>
      <c r="AH8" s="181"/>
      <c r="AI8" s="46"/>
      <c r="AJ8" s="181"/>
      <c r="AK8" s="181"/>
      <c r="AL8" s="181"/>
      <c r="AM8" s="46"/>
      <c r="AN8" s="196" t="s">
        <v>254</v>
      </c>
      <c r="AO8" s="438" t="s">
        <v>324</v>
      </c>
      <c r="AP8" s="180">
        <v>280</v>
      </c>
      <c r="AQ8" s="368" t="s">
        <v>824</v>
      </c>
      <c r="AR8" s="257">
        <f>AP8*1300</f>
        <v>364000</v>
      </c>
      <c r="AS8" s="196"/>
      <c r="AT8" s="46"/>
      <c r="AU8" s="46"/>
      <c r="AV8" s="196"/>
      <c r="AW8" s="257"/>
      <c r="AX8" s="198"/>
      <c r="AY8" s="446"/>
      <c r="AZ8" s="257"/>
      <c r="BA8" s="196"/>
      <c r="BB8" s="46"/>
      <c r="BC8" s="257"/>
      <c r="BD8" s="198"/>
      <c r="BE8" s="446"/>
      <c r="BF8" s="46"/>
      <c r="BG8" s="196"/>
      <c r="BH8" s="46"/>
      <c r="BI8" s="257"/>
      <c r="BJ8" s="196"/>
      <c r="BK8" s="191"/>
      <c r="BL8" s="257"/>
      <c r="BM8" s="196"/>
      <c r="BN8" s="181"/>
      <c r="BO8" s="257"/>
      <c r="BP8" s="196"/>
      <c r="BQ8" s="190"/>
      <c r="BR8" s="46"/>
      <c r="BS8" s="196"/>
      <c r="BT8" s="46"/>
      <c r="BU8" s="257"/>
      <c r="BV8" s="181"/>
      <c r="BW8" s="181"/>
      <c r="BX8" s="46"/>
      <c r="BY8" s="46"/>
      <c r="BZ8" s="46"/>
      <c r="CA8" s="46"/>
      <c r="CB8" s="46"/>
      <c r="CC8" s="46"/>
      <c r="CD8" s="46"/>
      <c r="CE8" s="181"/>
      <c r="CF8" s="181"/>
      <c r="CG8" s="46"/>
      <c r="CH8" s="196"/>
      <c r="CI8" s="46"/>
      <c r="CJ8" s="46"/>
      <c r="CK8" s="46"/>
      <c r="CL8" s="46"/>
      <c r="CM8" s="46"/>
      <c r="CN8" s="198"/>
      <c r="CO8" s="181"/>
      <c r="CP8" s="257"/>
      <c r="CQ8" s="196"/>
      <c r="CR8" s="167"/>
      <c r="CS8" s="257"/>
      <c r="CT8" s="46"/>
      <c r="CU8" s="46"/>
      <c r="CV8" s="46"/>
      <c r="CW8" s="181"/>
      <c r="CX8" s="181"/>
      <c r="CY8" s="46"/>
      <c r="CZ8" s="46"/>
      <c r="DA8" s="46"/>
      <c r="DB8" s="46"/>
      <c r="DC8" s="46"/>
      <c r="DD8" s="46"/>
      <c r="DE8" s="46"/>
      <c r="DF8" s="181"/>
      <c r="DG8" s="181"/>
      <c r="DH8" s="46"/>
      <c r="DI8" s="46"/>
      <c r="DJ8" s="46"/>
      <c r="DK8" s="46"/>
      <c r="DL8" s="181"/>
      <c r="DM8" s="446"/>
      <c r="DN8" s="46"/>
      <c r="DO8" s="196"/>
      <c r="DP8" s="221" t="s">
        <v>825</v>
      </c>
      <c r="DQ8" s="257">
        <f>DW8+EC8+EJ8+ER8+EZ8+FH8+10000</f>
        <v>10000</v>
      </c>
      <c r="DR8" s="294"/>
      <c r="DS8" s="295"/>
      <c r="DT8" s="386">
        <f>DZ8+EF8+EN8+EV8+FD8+FL8</f>
        <v>0</v>
      </c>
      <c r="DU8" s="180"/>
      <c r="DV8" s="180"/>
      <c r="DW8" s="256"/>
      <c r="DX8" s="181"/>
      <c r="DY8" s="181"/>
      <c r="DZ8" s="68"/>
      <c r="EA8" s="181"/>
      <c r="EB8" s="181"/>
      <c r="EC8" s="256"/>
      <c r="ED8" s="316"/>
      <c r="EE8" s="316"/>
      <c r="EF8" s="308"/>
      <c r="EG8" s="181"/>
      <c r="EH8" s="181"/>
      <c r="EI8" s="181"/>
      <c r="EJ8" s="69"/>
      <c r="EK8" s="316"/>
      <c r="EL8" s="316"/>
      <c r="EM8" s="316"/>
      <c r="EN8" s="308"/>
      <c r="EO8" s="181"/>
      <c r="EP8" s="181"/>
      <c r="EQ8" s="181"/>
      <c r="ER8" s="256"/>
      <c r="ES8" s="300"/>
      <c r="ET8" s="300"/>
      <c r="EU8" s="300"/>
      <c r="EV8" s="293"/>
      <c r="EW8" s="181"/>
      <c r="EX8" s="181"/>
      <c r="EY8" s="181"/>
      <c r="EZ8" s="256"/>
      <c r="FA8" s="316"/>
      <c r="FB8" s="316"/>
      <c r="FC8" s="316"/>
      <c r="FD8" s="308"/>
      <c r="FE8" s="181"/>
      <c r="FF8" s="181"/>
      <c r="FG8" s="181"/>
      <c r="FH8" s="256"/>
      <c r="FI8" s="181"/>
      <c r="FJ8" s="181"/>
      <c r="FK8" s="181"/>
      <c r="FL8" s="253"/>
    </row>
    <row r="9" spans="1:169">
      <c r="A9" s="45">
        <v>2</v>
      </c>
      <c r="B9" s="45" t="s">
        <v>210</v>
      </c>
      <c r="C9" s="45">
        <v>4</v>
      </c>
      <c r="D9" s="29" t="s">
        <v>57</v>
      </c>
      <c r="E9" s="30">
        <v>3</v>
      </c>
      <c r="F9" s="30">
        <v>5</v>
      </c>
      <c r="G9" s="246">
        <f>269800.146/1000</f>
        <v>269.80014599999998</v>
      </c>
      <c r="H9" s="45">
        <v>269800.14600000007</v>
      </c>
      <c r="I9" s="45">
        <v>0</v>
      </c>
      <c r="J9" s="397">
        <v>252.65573000000006</v>
      </c>
      <c r="K9" s="495">
        <f t="shared" ref="K9:K73" si="1">G9+J9</f>
        <v>522.45587599999999</v>
      </c>
      <c r="L9" s="578"/>
      <c r="M9" s="45">
        <f t="shared" ref="M9:M72" si="2">(W9+AE9+AM9+AW9+BC9+BI9+BO9+BU9+CA9+CG9+CM9+CS9+CY9+DE9+DK9+DT9)/1000</f>
        <v>0</v>
      </c>
      <c r="N9" s="46">
        <f t="shared" ref="N9:N52" si="3">K9-M9</f>
        <v>522.45587599999999</v>
      </c>
      <c r="O9" s="46">
        <f t="shared" si="0"/>
        <v>390</v>
      </c>
      <c r="P9" s="234"/>
      <c r="Q9" s="46"/>
      <c r="R9" s="450"/>
      <c r="S9" s="257"/>
      <c r="T9" s="46"/>
      <c r="U9" s="46"/>
      <c r="V9" s="46"/>
      <c r="W9" s="46"/>
      <c r="X9" s="196"/>
      <c r="Y9" s="46"/>
      <c r="Z9" s="46"/>
      <c r="AA9" s="46"/>
      <c r="AB9" s="46"/>
      <c r="AC9" s="46"/>
      <c r="AD9" s="46"/>
      <c r="AE9" s="46"/>
      <c r="AF9" s="196"/>
      <c r="AG9" s="46"/>
      <c r="AH9" s="46"/>
      <c r="AI9" s="46"/>
      <c r="AJ9" s="46"/>
      <c r="AK9" s="46"/>
      <c r="AL9" s="46"/>
      <c r="AM9" s="46"/>
      <c r="AN9" s="196"/>
      <c r="AO9" s="438"/>
      <c r="AP9" s="46"/>
      <c r="AQ9" s="368"/>
      <c r="AR9" s="257"/>
      <c r="AS9" s="196"/>
      <c r="AT9" s="46"/>
      <c r="AU9" s="46"/>
      <c r="AV9" s="196"/>
      <c r="AW9" s="257"/>
      <c r="AX9" s="196" t="s">
        <v>225</v>
      </c>
      <c r="AY9" s="191">
        <f>88+17*4</f>
        <v>156</v>
      </c>
      <c r="AZ9" s="257">
        <f>AY9*2500</f>
        <v>390000</v>
      </c>
      <c r="BA9" s="196"/>
      <c r="BB9" s="46"/>
      <c r="BC9" s="257"/>
      <c r="BD9" s="196"/>
      <c r="BE9" s="191"/>
      <c r="BF9" s="46"/>
      <c r="BG9" s="196"/>
      <c r="BH9" s="46"/>
      <c r="BI9" s="257"/>
      <c r="BJ9" s="196"/>
      <c r="BK9" s="191"/>
      <c r="BL9" s="257"/>
      <c r="BM9" s="196"/>
      <c r="BN9" s="46"/>
      <c r="BO9" s="257"/>
      <c r="BP9" s="196"/>
      <c r="BQ9" s="190"/>
      <c r="BR9" s="46"/>
      <c r="BS9" s="196"/>
      <c r="BT9" s="46"/>
      <c r="BU9" s="257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196"/>
      <c r="CI9" s="46"/>
      <c r="CJ9" s="46"/>
      <c r="CK9" s="46"/>
      <c r="CL9" s="46"/>
      <c r="CM9" s="46"/>
      <c r="CN9" s="196"/>
      <c r="CO9" s="190"/>
      <c r="CP9" s="257"/>
      <c r="CQ9" s="196"/>
      <c r="CR9" s="167"/>
      <c r="CS9" s="257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191"/>
      <c r="DN9" s="46"/>
      <c r="DO9" s="196"/>
      <c r="DP9" s="221"/>
      <c r="DQ9" s="257">
        <f t="shared" ref="DQ9:DQ70" si="4">DW9+EC9+EJ9+ER9+EZ9+FH9</f>
        <v>0</v>
      </c>
      <c r="DR9" s="294"/>
      <c r="DS9" s="295"/>
      <c r="DT9" s="386">
        <f t="shared" ref="DT9:DT72" si="5">DZ9+EF9+EN9+EV9+FD9+FL9</f>
        <v>0</v>
      </c>
      <c r="DU9" s="41"/>
      <c r="DV9" s="41"/>
      <c r="DW9" s="256"/>
      <c r="DX9" s="41"/>
      <c r="DY9" s="41"/>
      <c r="DZ9" s="68"/>
      <c r="EA9" s="41"/>
      <c r="EB9" s="41"/>
      <c r="EC9" s="256"/>
      <c r="ED9" s="308"/>
      <c r="EE9" s="308"/>
      <c r="EF9" s="308"/>
      <c r="EG9" s="41"/>
      <c r="EH9" s="41"/>
      <c r="EI9" s="41"/>
      <c r="EJ9" s="69"/>
      <c r="EK9" s="308"/>
      <c r="EL9" s="308"/>
      <c r="EM9" s="308"/>
      <c r="EN9" s="308"/>
      <c r="EO9" s="41"/>
      <c r="EP9" s="41"/>
      <c r="EQ9" s="41"/>
      <c r="ER9" s="256"/>
      <c r="ES9" s="293"/>
      <c r="ET9" s="293"/>
      <c r="EU9" s="293"/>
      <c r="EV9" s="293"/>
      <c r="EW9" s="41"/>
      <c r="EX9" s="41"/>
      <c r="EY9" s="41"/>
      <c r="EZ9" s="256"/>
      <c r="FA9" s="308"/>
      <c r="FB9" s="308"/>
      <c r="FC9" s="308"/>
      <c r="FD9" s="308"/>
      <c r="FE9" s="46"/>
      <c r="FF9" s="41"/>
      <c r="FG9" s="41"/>
      <c r="FH9" s="256"/>
      <c r="FI9" s="41"/>
      <c r="FJ9" s="41"/>
      <c r="FK9" s="41"/>
      <c r="FL9" s="276"/>
    </row>
    <row r="10" spans="1:169">
      <c r="A10" s="45">
        <v>3</v>
      </c>
      <c r="B10" s="45"/>
      <c r="C10" s="45">
        <v>4</v>
      </c>
      <c r="D10" s="29" t="s">
        <v>487</v>
      </c>
      <c r="E10" s="30">
        <v>10</v>
      </c>
      <c r="F10" s="30">
        <v>5</v>
      </c>
      <c r="G10" s="246">
        <f>372556.8/1000</f>
        <v>372.55680000000001</v>
      </c>
      <c r="H10" s="45">
        <v>372556.80000000005</v>
      </c>
      <c r="I10" s="45">
        <v>0</v>
      </c>
      <c r="J10" s="397">
        <v>140.67654999999993</v>
      </c>
      <c r="K10" s="495">
        <f t="shared" si="1"/>
        <v>513.23334999999997</v>
      </c>
      <c r="L10" s="578"/>
      <c r="M10" s="45">
        <f t="shared" si="2"/>
        <v>1.46428</v>
      </c>
      <c r="N10" s="46">
        <f t="shared" si="3"/>
        <v>511.76907</v>
      </c>
      <c r="O10" s="46">
        <f t="shared" si="0"/>
        <v>429</v>
      </c>
      <c r="P10" s="234"/>
      <c r="Q10" s="46"/>
      <c r="R10" s="450"/>
      <c r="S10" s="257"/>
      <c r="T10" s="46"/>
      <c r="U10" s="46"/>
      <c r="V10" s="46"/>
      <c r="W10" s="46"/>
      <c r="X10" s="196"/>
      <c r="Y10" s="46"/>
      <c r="Z10" s="46"/>
      <c r="AA10" s="46"/>
      <c r="AB10" s="46"/>
      <c r="AC10" s="46"/>
      <c r="AD10" s="46"/>
      <c r="AE10" s="46"/>
      <c r="AF10" s="196"/>
      <c r="AG10" s="46"/>
      <c r="AH10" s="46"/>
      <c r="AI10" s="46"/>
      <c r="AJ10" s="46"/>
      <c r="AK10" s="46"/>
      <c r="AL10" s="46"/>
      <c r="AM10" s="46"/>
      <c r="AN10" s="196"/>
      <c r="AO10" s="438"/>
      <c r="AP10" s="46"/>
      <c r="AQ10" s="368"/>
      <c r="AR10" s="257"/>
      <c r="AS10" s="196"/>
      <c r="AT10" s="46"/>
      <c r="AU10" s="46"/>
      <c r="AV10" s="196"/>
      <c r="AW10" s="257"/>
      <c r="AX10" s="196" t="s">
        <v>225</v>
      </c>
      <c r="AY10" s="191">
        <v>132</v>
      </c>
      <c r="AZ10" s="257">
        <f>AY10*2000</f>
        <v>264000</v>
      </c>
      <c r="BA10" s="218"/>
      <c r="BB10" s="46"/>
      <c r="BC10" s="257"/>
      <c r="BD10" s="196" t="s">
        <v>248</v>
      </c>
      <c r="BE10" s="191">
        <v>66</v>
      </c>
      <c r="BF10" s="46">
        <f>BE10*2500</f>
        <v>165000</v>
      </c>
      <c r="BG10" s="196" t="s">
        <v>523</v>
      </c>
      <c r="BH10" s="46">
        <f>1.5</f>
        <v>1.5</v>
      </c>
      <c r="BI10" s="257">
        <f>1464.28</f>
        <v>1464.28</v>
      </c>
      <c r="BJ10" s="196"/>
      <c r="BK10" s="191"/>
      <c r="BL10" s="257"/>
      <c r="BM10" s="196"/>
      <c r="BN10" s="46"/>
      <c r="BO10" s="257"/>
      <c r="BP10" s="196"/>
      <c r="BQ10" s="190"/>
      <c r="BR10" s="46"/>
      <c r="BS10" s="196"/>
      <c r="BT10" s="46"/>
      <c r="BU10" s="257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196"/>
      <c r="CI10" s="46"/>
      <c r="CJ10" s="46"/>
      <c r="CK10" s="46"/>
      <c r="CL10" s="46"/>
      <c r="CM10" s="46"/>
      <c r="CN10" s="196"/>
      <c r="CO10" s="191"/>
      <c r="CP10" s="257"/>
      <c r="CQ10" s="196"/>
      <c r="CR10" s="167"/>
      <c r="CS10" s="257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191"/>
      <c r="DN10" s="46"/>
      <c r="DO10" s="196"/>
      <c r="DP10" s="221"/>
      <c r="DQ10" s="257">
        <f t="shared" si="4"/>
        <v>0</v>
      </c>
      <c r="DR10" s="296"/>
      <c r="DS10" s="295"/>
      <c r="DT10" s="386">
        <f t="shared" si="5"/>
        <v>0</v>
      </c>
      <c r="DU10" s="41"/>
      <c r="DV10" s="41"/>
      <c r="DW10" s="256"/>
      <c r="DX10" s="41"/>
      <c r="DY10" s="41"/>
      <c r="DZ10" s="68"/>
      <c r="EA10" s="41"/>
      <c r="EB10" s="41"/>
      <c r="EC10" s="256"/>
      <c r="ED10" s="308"/>
      <c r="EE10" s="308"/>
      <c r="EF10" s="308"/>
      <c r="EG10" s="41"/>
      <c r="EH10" s="41"/>
      <c r="EI10" s="41"/>
      <c r="EJ10" s="69"/>
      <c r="EK10" s="308"/>
      <c r="EL10" s="308"/>
      <c r="EM10" s="308"/>
      <c r="EN10" s="308"/>
      <c r="EO10" s="41"/>
      <c r="EP10" s="41"/>
      <c r="EQ10" s="41"/>
      <c r="ER10" s="256"/>
      <c r="ES10" s="293"/>
      <c r="ET10" s="293"/>
      <c r="EU10" s="293"/>
      <c r="EV10" s="293"/>
      <c r="EW10" s="41"/>
      <c r="EX10" s="41"/>
      <c r="EY10" s="41"/>
      <c r="EZ10" s="256"/>
      <c r="FA10" s="308"/>
      <c r="FB10" s="308"/>
      <c r="FC10" s="308"/>
      <c r="FD10" s="308"/>
      <c r="FE10" s="46"/>
      <c r="FF10" s="41"/>
      <c r="FG10" s="41"/>
      <c r="FH10" s="256"/>
      <c r="FI10" s="41"/>
      <c r="FJ10" s="41"/>
      <c r="FK10" s="41"/>
      <c r="FL10" s="276"/>
    </row>
    <row r="11" spans="1:169" s="50" customFormat="1">
      <c r="A11" s="45">
        <v>4</v>
      </c>
      <c r="B11" s="45" t="s">
        <v>210</v>
      </c>
      <c r="C11" s="179">
        <v>4</v>
      </c>
      <c r="D11" s="29" t="s">
        <v>488</v>
      </c>
      <c r="E11" s="175">
        <v>7</v>
      </c>
      <c r="F11" s="193">
        <v>7</v>
      </c>
      <c r="G11" s="246">
        <f>45000.774/1000</f>
        <v>45.000774</v>
      </c>
      <c r="H11" s="45">
        <v>0</v>
      </c>
      <c r="I11" s="45">
        <v>45000.773999999998</v>
      </c>
      <c r="J11" s="397">
        <v>108.00172999999998</v>
      </c>
      <c r="K11" s="495">
        <f t="shared" si="1"/>
        <v>153.00250399999999</v>
      </c>
      <c r="L11" s="578"/>
      <c r="M11" s="45">
        <f t="shared" si="2"/>
        <v>0</v>
      </c>
      <c r="N11" s="46">
        <f>K11-M11</f>
        <v>153.00250399999999</v>
      </c>
      <c r="O11" s="46">
        <f t="shared" si="0"/>
        <v>153</v>
      </c>
      <c r="P11" s="234"/>
      <c r="Q11" s="181"/>
      <c r="R11" s="450"/>
      <c r="S11" s="257"/>
      <c r="T11" s="46"/>
      <c r="U11" s="46"/>
      <c r="V11" s="46"/>
      <c r="W11" s="46"/>
      <c r="X11" s="198"/>
      <c r="Y11" s="181"/>
      <c r="Z11" s="46"/>
      <c r="AA11" s="46"/>
      <c r="AB11" s="46"/>
      <c r="AC11" s="46"/>
      <c r="AD11" s="46"/>
      <c r="AE11" s="46"/>
      <c r="AF11" s="198"/>
      <c r="AG11" s="181"/>
      <c r="AH11" s="46"/>
      <c r="AI11" s="46"/>
      <c r="AJ11" s="181"/>
      <c r="AK11" s="181"/>
      <c r="AL11" s="46"/>
      <c r="AM11" s="46"/>
      <c r="AN11" s="198"/>
      <c r="AO11" s="438"/>
      <c r="AP11" s="181"/>
      <c r="AQ11" s="368"/>
      <c r="AR11" s="257"/>
      <c r="AS11" s="196"/>
      <c r="AT11" s="46"/>
      <c r="AU11" s="46"/>
      <c r="AV11" s="196"/>
      <c r="AW11" s="257"/>
      <c r="AX11" s="198"/>
      <c r="AY11" s="446"/>
      <c r="AZ11" s="257"/>
      <c r="BA11" s="196"/>
      <c r="BB11" s="46"/>
      <c r="BC11" s="257"/>
      <c r="BD11" s="198"/>
      <c r="BE11" s="446"/>
      <c r="BF11" s="46"/>
      <c r="BG11" s="196"/>
      <c r="BH11" s="46"/>
      <c r="BI11" s="257"/>
      <c r="BJ11" s="196"/>
      <c r="BK11" s="191"/>
      <c r="BL11" s="257"/>
      <c r="BM11" s="196"/>
      <c r="BN11" s="180"/>
      <c r="BO11" s="257"/>
      <c r="BP11" s="196"/>
      <c r="BQ11" s="190"/>
      <c r="BR11" s="46"/>
      <c r="BS11" s="196"/>
      <c r="BT11" s="46"/>
      <c r="BU11" s="257"/>
      <c r="BV11" s="181"/>
      <c r="BW11" s="181"/>
      <c r="BX11" s="46"/>
      <c r="BY11" s="46"/>
      <c r="BZ11" s="46"/>
      <c r="CA11" s="46"/>
      <c r="CB11" s="46"/>
      <c r="CC11" s="46"/>
      <c r="CD11" s="46"/>
      <c r="CE11" s="181"/>
      <c r="CF11" s="181"/>
      <c r="CG11" s="46"/>
      <c r="CH11" s="196"/>
      <c r="CI11" s="46"/>
      <c r="CJ11" s="46"/>
      <c r="CK11" s="46"/>
      <c r="CL11" s="46"/>
      <c r="CM11" s="46"/>
      <c r="CN11" s="198"/>
      <c r="CO11" s="181"/>
      <c r="CP11" s="257"/>
      <c r="CQ11" s="196"/>
      <c r="CR11" s="167"/>
      <c r="CS11" s="257"/>
      <c r="CT11" s="46"/>
      <c r="CU11" s="46"/>
      <c r="CV11" s="46"/>
      <c r="CW11" s="181"/>
      <c r="CX11" s="181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191"/>
      <c r="DN11" s="46"/>
      <c r="DO11" s="198"/>
      <c r="DP11" s="221" t="s">
        <v>531</v>
      </c>
      <c r="DQ11" s="257">
        <f>DW11+EC11+EJ11+ER11+EZ11+FH11+153000</f>
        <v>153000</v>
      </c>
      <c r="DR11" s="294"/>
      <c r="DS11" s="295"/>
      <c r="DT11" s="386">
        <f t="shared" si="5"/>
        <v>0</v>
      </c>
      <c r="DU11" s="181"/>
      <c r="DV11" s="181"/>
      <c r="DW11" s="256"/>
      <c r="DX11" s="181"/>
      <c r="DY11" s="181"/>
      <c r="DZ11" s="68"/>
      <c r="EA11" s="181"/>
      <c r="EB11" s="181"/>
      <c r="EC11" s="256"/>
      <c r="ED11" s="316"/>
      <c r="EE11" s="316"/>
      <c r="EF11" s="308"/>
      <c r="EG11" s="181"/>
      <c r="EH11" s="181"/>
      <c r="EI11" s="181"/>
      <c r="EJ11" s="69"/>
      <c r="EK11" s="316"/>
      <c r="EL11" s="316"/>
      <c r="EM11" s="316"/>
      <c r="EN11" s="308"/>
      <c r="EO11" s="181"/>
      <c r="EP11" s="181"/>
      <c r="EQ11" s="181"/>
      <c r="ER11" s="256"/>
      <c r="ES11" s="300"/>
      <c r="ET11" s="300"/>
      <c r="EU11" s="300"/>
      <c r="EV11" s="293"/>
      <c r="EW11" s="181"/>
      <c r="EX11" s="181"/>
      <c r="EY11" s="181"/>
      <c r="EZ11" s="256"/>
      <c r="FA11" s="316"/>
      <c r="FB11" s="316"/>
      <c r="FC11" s="316"/>
      <c r="FD11" s="308"/>
      <c r="FE11" s="181"/>
      <c r="FF11" s="181"/>
      <c r="FG11" s="181"/>
      <c r="FH11" s="256"/>
      <c r="FI11" s="49"/>
      <c r="FJ11" s="49"/>
      <c r="FK11" s="49"/>
      <c r="FL11" s="371"/>
    </row>
    <row r="12" spans="1:169" ht="20.25">
      <c r="A12" s="45">
        <v>5</v>
      </c>
      <c r="B12" s="45" t="s">
        <v>210</v>
      </c>
      <c r="C12" s="45">
        <v>4</v>
      </c>
      <c r="D12" s="29" t="s">
        <v>58</v>
      </c>
      <c r="E12" s="30">
        <v>8</v>
      </c>
      <c r="F12" s="30">
        <v>7</v>
      </c>
      <c r="G12" s="246">
        <f>39478.95/1000</f>
        <v>39.478949999999998</v>
      </c>
      <c r="H12" s="45">
        <v>0</v>
      </c>
      <c r="I12" s="45">
        <v>39478.949999999997</v>
      </c>
      <c r="J12" s="397">
        <v>89.317560000000014</v>
      </c>
      <c r="K12" s="495">
        <f t="shared" si="1"/>
        <v>128.79651000000001</v>
      </c>
      <c r="L12" s="578"/>
      <c r="M12" s="45">
        <f t="shared" si="2"/>
        <v>0</v>
      </c>
      <c r="N12" s="46">
        <f t="shared" si="3"/>
        <v>128.79651000000001</v>
      </c>
      <c r="O12" s="46">
        <f t="shared" si="0"/>
        <v>76.8</v>
      </c>
      <c r="P12" s="234"/>
      <c r="Q12" s="46"/>
      <c r="R12" s="450"/>
      <c r="S12" s="257"/>
      <c r="T12" s="46"/>
      <c r="U12" s="46"/>
      <c r="V12" s="46"/>
      <c r="W12" s="46"/>
      <c r="X12" s="196"/>
      <c r="Y12" s="46"/>
      <c r="Z12" s="46"/>
      <c r="AA12" s="46"/>
      <c r="AB12" s="46"/>
      <c r="AC12" s="46"/>
      <c r="AD12" s="46"/>
      <c r="AE12" s="46"/>
      <c r="AF12" s="196"/>
      <c r="AG12" s="46"/>
      <c r="AH12" s="46"/>
      <c r="AI12" s="46"/>
      <c r="AJ12" s="46"/>
      <c r="AK12" s="46"/>
      <c r="AL12" s="46"/>
      <c r="AM12" s="46"/>
      <c r="AN12" s="196"/>
      <c r="AO12" s="438"/>
      <c r="AP12" s="46"/>
      <c r="AQ12" s="368"/>
      <c r="AR12" s="257"/>
      <c r="AS12" s="196"/>
      <c r="AT12" s="46"/>
      <c r="AU12" s="46"/>
      <c r="AV12" s="196"/>
      <c r="AW12" s="257"/>
      <c r="AX12" s="196"/>
      <c r="AY12" s="191"/>
      <c r="AZ12" s="257"/>
      <c r="BA12" s="196"/>
      <c r="BB12" s="46"/>
      <c r="BC12" s="257"/>
      <c r="BD12" s="196"/>
      <c r="BE12" s="191"/>
      <c r="BF12" s="46"/>
      <c r="BG12" s="196"/>
      <c r="BH12" s="46"/>
      <c r="BI12" s="257"/>
      <c r="BJ12" s="196"/>
      <c r="BK12" s="191"/>
      <c r="BL12" s="257"/>
      <c r="BM12" s="196"/>
      <c r="BN12" s="46"/>
      <c r="BO12" s="257"/>
      <c r="BP12" s="196"/>
      <c r="BQ12" s="190"/>
      <c r="BR12" s="46"/>
      <c r="BS12" s="196"/>
      <c r="BT12" s="46"/>
      <c r="BU12" s="257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196"/>
      <c r="CI12" s="46"/>
      <c r="CJ12" s="46"/>
      <c r="CK12" s="46"/>
      <c r="CL12" s="46"/>
      <c r="CM12" s="46"/>
      <c r="CN12" s="196"/>
      <c r="CO12" s="191"/>
      <c r="CP12" s="257"/>
      <c r="CQ12" s="196"/>
      <c r="CR12" s="167"/>
      <c r="CS12" s="257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191"/>
      <c r="DN12" s="46"/>
      <c r="DO12" s="196"/>
      <c r="DP12" s="221" t="s">
        <v>826</v>
      </c>
      <c r="DQ12" s="257">
        <f t="shared" si="4"/>
        <v>76800</v>
      </c>
      <c r="DR12" s="294"/>
      <c r="DS12" s="295"/>
      <c r="DT12" s="386">
        <f t="shared" si="5"/>
        <v>0</v>
      </c>
      <c r="DU12" s="41"/>
      <c r="DV12" s="41"/>
      <c r="DW12" s="256"/>
      <c r="DX12" s="41"/>
      <c r="DY12" s="41"/>
      <c r="DZ12" s="68"/>
      <c r="EA12" s="41">
        <v>10</v>
      </c>
      <c r="EB12" s="41">
        <v>96</v>
      </c>
      <c r="EC12" s="256">
        <f>EB12*800</f>
        <v>76800</v>
      </c>
      <c r="ED12" s="308"/>
      <c r="EE12" s="308"/>
      <c r="EF12" s="308"/>
      <c r="EG12" s="41"/>
      <c r="EH12" s="41"/>
      <c r="EI12" s="41"/>
      <c r="EJ12" s="69"/>
      <c r="EK12" s="308"/>
      <c r="EL12" s="308"/>
      <c r="EM12" s="308"/>
      <c r="EN12" s="308"/>
      <c r="EO12" s="41"/>
      <c r="EP12" s="41"/>
      <c r="EQ12" s="41"/>
      <c r="ER12" s="256"/>
      <c r="ES12" s="293"/>
      <c r="ET12" s="293"/>
      <c r="EU12" s="293"/>
      <c r="EV12" s="293"/>
      <c r="EW12" s="41"/>
      <c r="EX12" s="41"/>
      <c r="EY12" s="41"/>
      <c r="EZ12" s="256"/>
      <c r="FA12" s="308"/>
      <c r="FB12" s="308"/>
      <c r="FC12" s="308"/>
      <c r="FD12" s="308"/>
      <c r="FE12" s="41"/>
      <c r="FF12" s="41"/>
      <c r="FG12" s="41"/>
      <c r="FH12" s="256"/>
      <c r="FI12" s="41"/>
      <c r="FJ12" s="41"/>
      <c r="FK12" s="41"/>
      <c r="FL12" s="276"/>
    </row>
    <row r="13" spans="1:169">
      <c r="A13" s="45">
        <v>6</v>
      </c>
      <c r="B13" s="45" t="s">
        <v>210</v>
      </c>
      <c r="C13" s="45">
        <v>4</v>
      </c>
      <c r="D13" s="29" t="s">
        <v>59</v>
      </c>
      <c r="E13" s="30" t="s">
        <v>60</v>
      </c>
      <c r="F13" s="30">
        <v>7</v>
      </c>
      <c r="G13" s="246">
        <f>35159.796/1000</f>
        <v>35.159796</v>
      </c>
      <c r="H13" s="45">
        <v>0</v>
      </c>
      <c r="I13" s="45">
        <v>35159.795999999995</v>
      </c>
      <c r="J13" s="397">
        <v>152.45105799999999</v>
      </c>
      <c r="K13" s="495">
        <f t="shared" si="1"/>
        <v>187.61085399999999</v>
      </c>
      <c r="L13" s="578"/>
      <c r="M13" s="45">
        <f t="shared" si="2"/>
        <v>0</v>
      </c>
      <c r="N13" s="46">
        <f t="shared" si="3"/>
        <v>187.61085399999999</v>
      </c>
      <c r="O13" s="46">
        <f t="shared" si="0"/>
        <v>128</v>
      </c>
      <c r="P13" s="234"/>
      <c r="Q13" s="46"/>
      <c r="R13" s="450"/>
      <c r="S13" s="257"/>
      <c r="T13" s="46"/>
      <c r="U13" s="46"/>
      <c r="V13" s="46"/>
      <c r="W13" s="46"/>
      <c r="X13" s="196"/>
      <c r="Y13" s="46"/>
      <c r="Z13" s="46"/>
      <c r="AA13" s="46"/>
      <c r="AB13" s="46"/>
      <c r="AC13" s="46"/>
      <c r="AD13" s="46"/>
      <c r="AE13" s="46"/>
      <c r="AF13" s="196"/>
      <c r="AG13" s="46"/>
      <c r="AH13" s="46"/>
      <c r="AI13" s="46"/>
      <c r="AJ13" s="46"/>
      <c r="AK13" s="46"/>
      <c r="AL13" s="46"/>
      <c r="AM13" s="46"/>
      <c r="AN13" s="196"/>
      <c r="AO13" s="438"/>
      <c r="AP13" s="46"/>
      <c r="AQ13" s="368"/>
      <c r="AR13" s="257"/>
      <c r="AS13" s="196"/>
      <c r="AT13" s="46"/>
      <c r="AU13" s="46"/>
      <c r="AV13" s="196"/>
      <c r="AW13" s="257"/>
      <c r="AX13" s="196"/>
      <c r="AY13" s="191"/>
      <c r="AZ13" s="257"/>
      <c r="BA13" s="196"/>
      <c r="BB13" s="46"/>
      <c r="BC13" s="257"/>
      <c r="BD13" s="196"/>
      <c r="BE13" s="191"/>
      <c r="BF13" s="46"/>
      <c r="BG13" s="196"/>
      <c r="BH13" s="46"/>
      <c r="BI13" s="257"/>
      <c r="BJ13" s="196"/>
      <c r="BK13" s="191"/>
      <c r="BL13" s="257"/>
      <c r="BM13" s="196"/>
      <c r="BN13" s="46"/>
      <c r="BO13" s="257"/>
      <c r="BP13" s="196"/>
      <c r="BQ13" s="190"/>
      <c r="BR13" s="46"/>
      <c r="BS13" s="196"/>
      <c r="BT13" s="46"/>
      <c r="BU13" s="257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196"/>
      <c r="CI13" s="46"/>
      <c r="CJ13" s="46"/>
      <c r="CK13" s="46"/>
      <c r="CL13" s="46"/>
      <c r="CM13" s="46"/>
      <c r="CN13" s="196"/>
      <c r="CO13" s="191"/>
      <c r="CP13" s="257"/>
      <c r="CQ13" s="196"/>
      <c r="CR13" s="167"/>
      <c r="CS13" s="257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191"/>
      <c r="DN13" s="46"/>
      <c r="DO13" s="196"/>
      <c r="DP13" s="221" t="s">
        <v>827</v>
      </c>
      <c r="DQ13" s="257">
        <f t="shared" si="4"/>
        <v>128000</v>
      </c>
      <c r="DR13" s="294"/>
      <c r="DS13" s="295"/>
      <c r="DT13" s="386">
        <f t="shared" si="5"/>
        <v>0</v>
      </c>
      <c r="DU13" s="41"/>
      <c r="DV13" s="41"/>
      <c r="DW13" s="256"/>
      <c r="DX13" s="41"/>
      <c r="DY13" s="41"/>
      <c r="DZ13" s="68"/>
      <c r="EA13" s="41">
        <v>10</v>
      </c>
      <c r="EB13" s="41">
        <v>160</v>
      </c>
      <c r="EC13" s="256">
        <f>EB13*800</f>
        <v>128000</v>
      </c>
      <c r="ED13" s="308"/>
      <c r="EE13" s="308"/>
      <c r="EF13" s="308"/>
      <c r="EG13" s="41"/>
      <c r="EH13" s="41"/>
      <c r="EI13" s="41"/>
      <c r="EJ13" s="69"/>
      <c r="EK13" s="308"/>
      <c r="EL13" s="308"/>
      <c r="EM13" s="308"/>
      <c r="EN13" s="308"/>
      <c r="EO13" s="41"/>
      <c r="EP13" s="41"/>
      <c r="EQ13" s="41"/>
      <c r="ER13" s="256"/>
      <c r="ES13" s="293"/>
      <c r="ET13" s="293"/>
      <c r="EU13" s="293"/>
      <c r="EV13" s="293"/>
      <c r="EW13" s="41"/>
      <c r="EX13" s="41"/>
      <c r="EY13" s="41"/>
      <c r="EZ13" s="256"/>
      <c r="FA13" s="308"/>
      <c r="FB13" s="308"/>
      <c r="FC13" s="308"/>
      <c r="FD13" s="308"/>
      <c r="FE13" s="41"/>
      <c r="FF13" s="41"/>
      <c r="FG13" s="41"/>
      <c r="FH13" s="256"/>
      <c r="FI13" s="41"/>
      <c r="FJ13" s="41"/>
      <c r="FK13" s="41"/>
      <c r="FL13" s="276"/>
    </row>
    <row r="14" spans="1:169">
      <c r="A14" s="45">
        <v>7</v>
      </c>
      <c r="B14" s="45" t="s">
        <v>210</v>
      </c>
      <c r="C14" s="45">
        <v>4</v>
      </c>
      <c r="D14" s="31" t="s">
        <v>63</v>
      </c>
      <c r="E14" s="30">
        <v>1</v>
      </c>
      <c r="F14" s="30">
        <v>7</v>
      </c>
      <c r="G14" s="246">
        <f>13302.576/1000</f>
        <v>13.302575999999998</v>
      </c>
      <c r="H14" s="45">
        <v>0</v>
      </c>
      <c r="I14" s="45">
        <v>13302.576000000001</v>
      </c>
      <c r="J14" s="397">
        <v>64.096080000000001</v>
      </c>
      <c r="K14" s="495">
        <f t="shared" si="1"/>
        <v>77.398656000000003</v>
      </c>
      <c r="L14" s="578"/>
      <c r="M14" s="45">
        <f t="shared" si="2"/>
        <v>0</v>
      </c>
      <c r="N14" s="46">
        <f t="shared" si="3"/>
        <v>77.398656000000003</v>
      </c>
      <c r="O14" s="46">
        <f t="shared" si="0"/>
        <v>77</v>
      </c>
      <c r="P14" s="234"/>
      <c r="Q14" s="46"/>
      <c r="R14" s="450"/>
      <c r="S14" s="257"/>
      <c r="T14" s="46"/>
      <c r="U14" s="46"/>
      <c r="V14" s="46"/>
      <c r="W14" s="46"/>
      <c r="X14" s="196"/>
      <c r="Y14" s="46"/>
      <c r="Z14" s="46"/>
      <c r="AA14" s="46"/>
      <c r="AB14" s="46"/>
      <c r="AC14" s="46"/>
      <c r="AD14" s="46"/>
      <c r="AE14" s="46"/>
      <c r="AF14" s="196"/>
      <c r="AG14" s="46"/>
      <c r="AH14" s="46"/>
      <c r="AI14" s="46"/>
      <c r="AJ14" s="46"/>
      <c r="AK14" s="46"/>
      <c r="AL14" s="46"/>
      <c r="AM14" s="46"/>
      <c r="AN14" s="196"/>
      <c r="AO14" s="438"/>
      <c r="AP14" s="46"/>
      <c r="AQ14" s="368"/>
      <c r="AR14" s="257"/>
      <c r="AS14" s="196"/>
      <c r="AT14" s="46"/>
      <c r="AU14" s="46"/>
      <c r="AV14" s="196"/>
      <c r="AW14" s="257"/>
      <c r="AX14" s="196"/>
      <c r="AY14" s="191"/>
      <c r="AZ14" s="257"/>
      <c r="BA14" s="196"/>
      <c r="BB14" s="46"/>
      <c r="BC14" s="257"/>
      <c r="BD14" s="196"/>
      <c r="BE14" s="191"/>
      <c r="BF14" s="46"/>
      <c r="BG14" s="196"/>
      <c r="BH14" s="46"/>
      <c r="BI14" s="257"/>
      <c r="BJ14" s="196"/>
      <c r="BK14" s="191"/>
      <c r="BL14" s="257"/>
      <c r="BM14" s="196"/>
      <c r="BN14" s="46"/>
      <c r="BO14" s="257"/>
      <c r="BP14" s="196"/>
      <c r="BQ14" s="190"/>
      <c r="BR14" s="46"/>
      <c r="BS14" s="196"/>
      <c r="BT14" s="46"/>
      <c r="BU14" s="257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196"/>
      <c r="CI14" s="46"/>
      <c r="CJ14" s="46"/>
      <c r="CK14" s="46"/>
      <c r="CL14" s="46"/>
      <c r="CM14" s="46"/>
      <c r="CN14" s="196"/>
      <c r="CO14" s="191"/>
      <c r="CP14" s="257"/>
      <c r="CQ14" s="196"/>
      <c r="CR14" s="167"/>
      <c r="CS14" s="257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191"/>
      <c r="DN14" s="46"/>
      <c r="DO14" s="196"/>
      <c r="DP14" s="221" t="s">
        <v>531</v>
      </c>
      <c r="DQ14" s="257">
        <f>DW14+EC14+EJ14+ER14+EZ14+FH14+77000</f>
        <v>77000</v>
      </c>
      <c r="DR14" s="294"/>
      <c r="DS14" s="295"/>
      <c r="DT14" s="386">
        <f t="shared" si="5"/>
        <v>0</v>
      </c>
      <c r="DU14" s="41"/>
      <c r="DV14" s="41"/>
      <c r="DW14" s="256"/>
      <c r="DX14" s="41"/>
      <c r="DY14" s="41"/>
      <c r="DZ14" s="68"/>
      <c r="EA14" s="41"/>
      <c r="EB14" s="41"/>
      <c r="EC14" s="256"/>
      <c r="ED14" s="308"/>
      <c r="EE14" s="308"/>
      <c r="EF14" s="308"/>
      <c r="EG14" s="41"/>
      <c r="EH14" s="41"/>
      <c r="EI14" s="41"/>
      <c r="EJ14" s="69"/>
      <c r="EK14" s="308"/>
      <c r="EL14" s="308"/>
      <c r="EM14" s="308"/>
      <c r="EN14" s="308"/>
      <c r="EO14" s="41"/>
      <c r="EP14" s="41"/>
      <c r="EQ14" s="41"/>
      <c r="ER14" s="256"/>
      <c r="ES14" s="293"/>
      <c r="ET14" s="293"/>
      <c r="EU14" s="293"/>
      <c r="EV14" s="293"/>
      <c r="EW14" s="41"/>
      <c r="EX14" s="41"/>
      <c r="EY14" s="41"/>
      <c r="EZ14" s="256"/>
      <c r="FA14" s="308"/>
      <c r="FB14" s="308"/>
      <c r="FC14" s="308"/>
      <c r="FD14" s="308"/>
      <c r="FE14" s="41"/>
      <c r="FF14" s="41"/>
      <c r="FG14" s="41"/>
      <c r="FH14" s="256"/>
      <c r="FI14" s="41"/>
      <c r="FJ14" s="41"/>
      <c r="FK14" s="41"/>
      <c r="FL14" s="276"/>
    </row>
    <row r="15" spans="1:169">
      <c r="A15" s="45">
        <v>8</v>
      </c>
      <c r="B15" s="45" t="s">
        <v>210</v>
      </c>
      <c r="C15" s="45">
        <v>4</v>
      </c>
      <c r="D15" s="31" t="s">
        <v>63</v>
      </c>
      <c r="E15" s="30">
        <v>2</v>
      </c>
      <c r="F15" s="30">
        <v>7</v>
      </c>
      <c r="G15" s="246">
        <f>17454.402/1000</f>
        <v>17.454401999999998</v>
      </c>
      <c r="H15" s="45">
        <v>0</v>
      </c>
      <c r="I15" s="45">
        <v>17454.402000000002</v>
      </c>
      <c r="J15" s="397">
        <v>81.774119999999996</v>
      </c>
      <c r="K15" s="495">
        <f t="shared" si="1"/>
        <v>99.228521999999998</v>
      </c>
      <c r="L15" s="578"/>
      <c r="M15" s="45">
        <f t="shared" si="2"/>
        <v>0</v>
      </c>
      <c r="N15" s="46">
        <f t="shared" si="3"/>
        <v>99.228521999999998</v>
      </c>
      <c r="O15" s="46">
        <f t="shared" si="0"/>
        <v>99</v>
      </c>
      <c r="P15" s="234"/>
      <c r="Q15" s="46"/>
      <c r="R15" s="450"/>
      <c r="S15" s="257"/>
      <c r="T15" s="46"/>
      <c r="U15" s="46"/>
      <c r="V15" s="46"/>
      <c r="W15" s="46"/>
      <c r="X15" s="196"/>
      <c r="Y15" s="46"/>
      <c r="Z15" s="46"/>
      <c r="AA15" s="46"/>
      <c r="AB15" s="46"/>
      <c r="AC15" s="46"/>
      <c r="AD15" s="46"/>
      <c r="AE15" s="46"/>
      <c r="AF15" s="196"/>
      <c r="AG15" s="46"/>
      <c r="AH15" s="46"/>
      <c r="AI15" s="46"/>
      <c r="AJ15" s="46"/>
      <c r="AK15" s="46"/>
      <c r="AL15" s="46"/>
      <c r="AM15" s="46"/>
      <c r="AN15" s="196"/>
      <c r="AO15" s="438"/>
      <c r="AP15" s="46"/>
      <c r="AQ15" s="368"/>
      <c r="AR15" s="257"/>
      <c r="AS15" s="196"/>
      <c r="AT15" s="46"/>
      <c r="AU15" s="46"/>
      <c r="AV15" s="196"/>
      <c r="AW15" s="257"/>
      <c r="AX15" s="196"/>
      <c r="AY15" s="191"/>
      <c r="AZ15" s="257"/>
      <c r="BA15" s="196"/>
      <c r="BB15" s="46"/>
      <c r="BC15" s="257"/>
      <c r="BD15" s="196"/>
      <c r="BE15" s="191"/>
      <c r="BF15" s="46"/>
      <c r="BG15" s="196"/>
      <c r="BH15" s="46"/>
      <c r="BI15" s="257"/>
      <c r="BJ15" s="196"/>
      <c r="BK15" s="191"/>
      <c r="BL15" s="257"/>
      <c r="BM15" s="196"/>
      <c r="BN15" s="46"/>
      <c r="BO15" s="257"/>
      <c r="BP15" s="196"/>
      <c r="BQ15" s="190"/>
      <c r="BR15" s="46"/>
      <c r="BS15" s="196"/>
      <c r="BT15" s="46"/>
      <c r="BU15" s="257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196"/>
      <c r="CI15" s="46"/>
      <c r="CJ15" s="46"/>
      <c r="CK15" s="46"/>
      <c r="CL15" s="46"/>
      <c r="CM15" s="46"/>
      <c r="CN15" s="196"/>
      <c r="CO15" s="191"/>
      <c r="CP15" s="257"/>
      <c r="CQ15" s="196"/>
      <c r="CR15" s="167"/>
      <c r="CS15" s="257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191"/>
      <c r="DN15" s="46"/>
      <c r="DO15" s="196"/>
      <c r="DP15" s="221" t="s">
        <v>531</v>
      </c>
      <c r="DQ15" s="257">
        <f>DW15+EC15+EJ15+ER15+EZ15+FH15+99000</f>
        <v>99000</v>
      </c>
      <c r="DR15" s="294"/>
      <c r="DS15" s="295"/>
      <c r="DT15" s="386">
        <f t="shared" si="5"/>
        <v>0</v>
      </c>
      <c r="DU15" s="41"/>
      <c r="DV15" s="41"/>
      <c r="DW15" s="256"/>
      <c r="DX15" s="41"/>
      <c r="DY15" s="41"/>
      <c r="DZ15" s="68"/>
      <c r="EA15" s="41"/>
      <c r="EB15" s="41"/>
      <c r="EC15" s="256"/>
      <c r="ED15" s="308"/>
      <c r="EE15" s="308"/>
      <c r="EF15" s="308"/>
      <c r="EG15" s="41"/>
      <c r="EH15" s="41"/>
      <c r="EI15" s="41"/>
      <c r="EJ15" s="69"/>
      <c r="EK15" s="308"/>
      <c r="EL15" s="308"/>
      <c r="EM15" s="308"/>
      <c r="EN15" s="308"/>
      <c r="EO15" s="41"/>
      <c r="EP15" s="41"/>
      <c r="EQ15" s="41"/>
      <c r="ER15" s="256"/>
      <c r="ES15" s="293"/>
      <c r="ET15" s="293"/>
      <c r="EU15" s="293"/>
      <c r="EV15" s="293"/>
      <c r="EW15" s="41"/>
      <c r="EX15" s="41"/>
      <c r="EY15" s="41"/>
      <c r="EZ15" s="256"/>
      <c r="FA15" s="308"/>
      <c r="FB15" s="308"/>
      <c r="FC15" s="308"/>
      <c r="FD15" s="308"/>
      <c r="FE15" s="41"/>
      <c r="FF15" s="41"/>
      <c r="FG15" s="41"/>
      <c r="FH15" s="256"/>
      <c r="FI15" s="41"/>
      <c r="FJ15" s="41"/>
      <c r="FK15" s="41"/>
      <c r="FL15" s="276"/>
    </row>
    <row r="16" spans="1:169">
      <c r="A16" s="45">
        <v>9</v>
      </c>
      <c r="B16" s="45" t="s">
        <v>210</v>
      </c>
      <c r="C16" s="45">
        <v>4</v>
      </c>
      <c r="D16" s="31" t="s">
        <v>63</v>
      </c>
      <c r="E16" s="30">
        <v>3</v>
      </c>
      <c r="F16" s="30">
        <v>7</v>
      </c>
      <c r="G16" s="246">
        <f>15624.252/1000</f>
        <v>15.624252</v>
      </c>
      <c r="H16" s="45">
        <v>0</v>
      </c>
      <c r="I16" s="45">
        <v>15624.252000000002</v>
      </c>
      <c r="J16" s="397">
        <v>75.282660000000007</v>
      </c>
      <c r="K16" s="495">
        <f t="shared" si="1"/>
        <v>90.906912000000005</v>
      </c>
      <c r="L16" s="578"/>
      <c r="M16" s="45">
        <f t="shared" si="2"/>
        <v>0</v>
      </c>
      <c r="N16" s="46">
        <f t="shared" si="3"/>
        <v>90.906912000000005</v>
      </c>
      <c r="O16" s="46">
        <f t="shared" si="0"/>
        <v>90</v>
      </c>
      <c r="P16" s="234"/>
      <c r="Q16" s="46"/>
      <c r="R16" s="450"/>
      <c r="S16" s="257"/>
      <c r="T16" s="46"/>
      <c r="U16" s="46"/>
      <c r="V16" s="46"/>
      <c r="W16" s="46"/>
      <c r="X16" s="196"/>
      <c r="Y16" s="46"/>
      <c r="Z16" s="46"/>
      <c r="AA16" s="46"/>
      <c r="AB16" s="46"/>
      <c r="AC16" s="46"/>
      <c r="AD16" s="46"/>
      <c r="AE16" s="46"/>
      <c r="AF16" s="196"/>
      <c r="AG16" s="46"/>
      <c r="AH16" s="46"/>
      <c r="AI16" s="46"/>
      <c r="AJ16" s="46"/>
      <c r="AK16" s="46"/>
      <c r="AL16" s="46"/>
      <c r="AM16" s="46"/>
      <c r="AN16" s="196"/>
      <c r="AO16" s="438"/>
      <c r="AP16" s="46"/>
      <c r="AQ16" s="368"/>
      <c r="AR16" s="257"/>
      <c r="AS16" s="196"/>
      <c r="AT16" s="46"/>
      <c r="AU16" s="46"/>
      <c r="AV16" s="196"/>
      <c r="AW16" s="257"/>
      <c r="AX16" s="196"/>
      <c r="AY16" s="191"/>
      <c r="AZ16" s="257"/>
      <c r="BA16" s="196"/>
      <c r="BB16" s="46"/>
      <c r="BC16" s="257"/>
      <c r="BD16" s="196"/>
      <c r="BE16" s="191"/>
      <c r="BF16" s="46"/>
      <c r="BG16" s="196"/>
      <c r="BH16" s="46"/>
      <c r="BI16" s="257"/>
      <c r="BJ16" s="196"/>
      <c r="BK16" s="191"/>
      <c r="BL16" s="257"/>
      <c r="BM16" s="196"/>
      <c r="BN16" s="46"/>
      <c r="BO16" s="257"/>
      <c r="BP16" s="196"/>
      <c r="BQ16" s="190"/>
      <c r="BR16" s="46"/>
      <c r="BS16" s="196"/>
      <c r="BT16" s="46"/>
      <c r="BU16" s="257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196"/>
      <c r="CI16" s="46"/>
      <c r="CJ16" s="46"/>
      <c r="CK16" s="46"/>
      <c r="CL16" s="46"/>
      <c r="CM16" s="46"/>
      <c r="CN16" s="196"/>
      <c r="CO16" s="191"/>
      <c r="CP16" s="257"/>
      <c r="CQ16" s="196"/>
      <c r="CR16" s="167"/>
      <c r="CS16" s="257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191"/>
      <c r="DN16" s="46"/>
      <c r="DO16" s="196"/>
      <c r="DP16" s="221" t="s">
        <v>531</v>
      </c>
      <c r="DQ16" s="257">
        <f>DW16+EC16+EJ16+ER16+EZ16+FH16+90000</f>
        <v>90000</v>
      </c>
      <c r="DR16" s="294"/>
      <c r="DS16" s="295"/>
      <c r="DT16" s="386">
        <f t="shared" si="5"/>
        <v>0</v>
      </c>
      <c r="DU16" s="41"/>
      <c r="DV16" s="41"/>
      <c r="DW16" s="256"/>
      <c r="DX16" s="41"/>
      <c r="DY16" s="41"/>
      <c r="DZ16" s="68"/>
      <c r="EA16" s="41"/>
      <c r="EB16" s="41"/>
      <c r="EC16" s="256"/>
      <c r="ED16" s="308"/>
      <c r="EE16" s="308"/>
      <c r="EF16" s="308"/>
      <c r="EG16" s="41"/>
      <c r="EH16" s="41"/>
      <c r="EI16" s="41"/>
      <c r="EJ16" s="69"/>
      <c r="EK16" s="308"/>
      <c r="EL16" s="308"/>
      <c r="EM16" s="308"/>
      <c r="EN16" s="308"/>
      <c r="EO16" s="41"/>
      <c r="EP16" s="41"/>
      <c r="EQ16" s="41"/>
      <c r="ER16" s="256"/>
      <c r="ES16" s="293"/>
      <c r="ET16" s="293"/>
      <c r="EU16" s="293"/>
      <c r="EV16" s="293"/>
      <c r="EW16" s="41"/>
      <c r="EX16" s="41"/>
      <c r="EY16" s="41"/>
      <c r="EZ16" s="256"/>
      <c r="FA16" s="308"/>
      <c r="FB16" s="308"/>
      <c r="FC16" s="308"/>
      <c r="FD16" s="308"/>
      <c r="FE16" s="41"/>
      <c r="FF16" s="41"/>
      <c r="FG16" s="41"/>
      <c r="FH16" s="256"/>
      <c r="FI16" s="41"/>
      <c r="FJ16" s="41"/>
      <c r="FK16" s="41"/>
      <c r="FL16" s="276"/>
    </row>
    <row r="17" spans="1:168">
      <c r="A17" s="45">
        <v>10</v>
      </c>
      <c r="B17" s="45" t="s">
        <v>210</v>
      </c>
      <c r="C17" s="45">
        <v>4</v>
      </c>
      <c r="D17" s="29" t="s">
        <v>63</v>
      </c>
      <c r="E17" s="30">
        <v>43</v>
      </c>
      <c r="F17" s="30">
        <v>7</v>
      </c>
      <c r="G17" s="246">
        <f>19828.368/1000</f>
        <v>19.828367999999998</v>
      </c>
      <c r="H17" s="45">
        <v>0</v>
      </c>
      <c r="I17" s="45">
        <v>19828.368000000002</v>
      </c>
      <c r="J17" s="397">
        <v>97.28452999999999</v>
      </c>
      <c r="K17" s="495">
        <f t="shared" si="1"/>
        <v>117.11289799999999</v>
      </c>
      <c r="L17" s="578"/>
      <c r="M17" s="45">
        <f t="shared" si="2"/>
        <v>0</v>
      </c>
      <c r="N17" s="46">
        <f t="shared" si="3"/>
        <v>117.11289799999999</v>
      </c>
      <c r="O17" s="46">
        <f t="shared" si="0"/>
        <v>117</v>
      </c>
      <c r="P17" s="234"/>
      <c r="Q17" s="46"/>
      <c r="R17" s="450"/>
      <c r="S17" s="257"/>
      <c r="T17" s="46"/>
      <c r="U17" s="46"/>
      <c r="V17" s="46"/>
      <c r="W17" s="46"/>
      <c r="X17" s="196"/>
      <c r="Y17" s="46"/>
      <c r="Z17" s="46"/>
      <c r="AA17" s="46"/>
      <c r="AB17" s="46"/>
      <c r="AC17" s="46"/>
      <c r="AD17" s="46"/>
      <c r="AE17" s="46"/>
      <c r="AF17" s="196"/>
      <c r="AG17" s="46"/>
      <c r="AH17" s="46"/>
      <c r="AI17" s="46"/>
      <c r="AJ17" s="46"/>
      <c r="AK17" s="46"/>
      <c r="AL17" s="46"/>
      <c r="AM17" s="46"/>
      <c r="AN17" s="196"/>
      <c r="AO17" s="438"/>
      <c r="AP17" s="46"/>
      <c r="AQ17" s="368"/>
      <c r="AR17" s="257"/>
      <c r="AS17" s="196"/>
      <c r="AT17" s="46"/>
      <c r="AU17" s="46"/>
      <c r="AV17" s="196"/>
      <c r="AW17" s="257"/>
      <c r="AX17" s="196"/>
      <c r="AY17" s="191"/>
      <c r="AZ17" s="257"/>
      <c r="BA17" s="196"/>
      <c r="BB17" s="46"/>
      <c r="BC17" s="257"/>
      <c r="BD17" s="196"/>
      <c r="BE17" s="191"/>
      <c r="BF17" s="46"/>
      <c r="BG17" s="196"/>
      <c r="BH17" s="46"/>
      <c r="BI17" s="257"/>
      <c r="BJ17" s="196"/>
      <c r="BK17" s="191"/>
      <c r="BL17" s="257"/>
      <c r="BM17" s="196"/>
      <c r="BN17" s="46"/>
      <c r="BO17" s="257"/>
      <c r="BP17" s="196"/>
      <c r="BQ17" s="190"/>
      <c r="BR17" s="46"/>
      <c r="BS17" s="196"/>
      <c r="BT17" s="46"/>
      <c r="BU17" s="257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196"/>
      <c r="CI17" s="46"/>
      <c r="CJ17" s="46"/>
      <c r="CK17" s="46"/>
      <c r="CL17" s="46"/>
      <c r="CM17" s="46"/>
      <c r="CN17" s="196"/>
      <c r="CO17" s="191"/>
      <c r="CP17" s="257"/>
      <c r="CQ17" s="196"/>
      <c r="CR17" s="167"/>
      <c r="CS17" s="257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191"/>
      <c r="DN17" s="46"/>
      <c r="DO17" s="196"/>
      <c r="DP17" s="221" t="s">
        <v>531</v>
      </c>
      <c r="DQ17" s="257">
        <f>DW17+EC17+EJ17+ER17+EZ17+FH17+117000</f>
        <v>117000</v>
      </c>
      <c r="DR17" s="294"/>
      <c r="DS17" s="295"/>
      <c r="DT17" s="386">
        <f t="shared" si="5"/>
        <v>0</v>
      </c>
      <c r="DU17" s="41"/>
      <c r="DV17" s="41"/>
      <c r="DW17" s="256"/>
      <c r="DX17" s="41"/>
      <c r="DY17" s="41"/>
      <c r="DZ17" s="68"/>
      <c r="EA17" s="41"/>
      <c r="EB17" s="41"/>
      <c r="EC17" s="256"/>
      <c r="ED17" s="308"/>
      <c r="EE17" s="308"/>
      <c r="EF17" s="308"/>
      <c r="EG17" s="41"/>
      <c r="EH17" s="41"/>
      <c r="EI17" s="41"/>
      <c r="EJ17" s="69"/>
      <c r="EK17" s="308"/>
      <c r="EL17" s="308"/>
      <c r="EM17" s="308"/>
      <c r="EN17" s="308"/>
      <c r="EO17" s="41"/>
      <c r="EP17" s="41"/>
      <c r="EQ17" s="41"/>
      <c r="ER17" s="256"/>
      <c r="ES17" s="293"/>
      <c r="ET17" s="293"/>
      <c r="EU17" s="293"/>
      <c r="EV17" s="293"/>
      <c r="EW17" s="41"/>
      <c r="EX17" s="41"/>
      <c r="EY17" s="41"/>
      <c r="EZ17" s="256"/>
      <c r="FA17" s="308"/>
      <c r="FB17" s="308"/>
      <c r="FC17" s="308"/>
      <c r="FD17" s="308"/>
      <c r="FE17" s="41"/>
      <c r="FF17" s="41"/>
      <c r="FG17" s="41"/>
      <c r="FH17" s="256"/>
      <c r="FI17" s="41"/>
      <c r="FJ17" s="41"/>
      <c r="FK17" s="41"/>
      <c r="FL17" s="276"/>
    </row>
    <row r="18" spans="1:168">
      <c r="A18" s="45">
        <v>11</v>
      </c>
      <c r="B18" s="45" t="s">
        <v>210</v>
      </c>
      <c r="C18" s="45">
        <v>4</v>
      </c>
      <c r="D18" s="29" t="s">
        <v>64</v>
      </c>
      <c r="E18" s="30" t="s">
        <v>65</v>
      </c>
      <c r="F18" s="30">
        <v>7</v>
      </c>
      <c r="G18" s="246">
        <f>6808.158/1000</f>
        <v>6.8081580000000006</v>
      </c>
      <c r="H18" s="45">
        <v>0</v>
      </c>
      <c r="I18" s="45">
        <v>6808.1579999999985</v>
      </c>
      <c r="J18" s="397">
        <v>32.803889999999996</v>
      </c>
      <c r="K18" s="495">
        <f t="shared" si="1"/>
        <v>39.612047999999994</v>
      </c>
      <c r="L18" s="578"/>
      <c r="M18" s="45">
        <f t="shared" si="2"/>
        <v>0</v>
      </c>
      <c r="N18" s="46">
        <f t="shared" si="3"/>
        <v>39.612047999999994</v>
      </c>
      <c r="O18" s="46">
        <f t="shared" si="0"/>
        <v>30</v>
      </c>
      <c r="P18" s="234"/>
      <c r="Q18" s="46"/>
      <c r="R18" s="450"/>
      <c r="S18" s="257"/>
      <c r="T18" s="46"/>
      <c r="U18" s="46"/>
      <c r="V18" s="46"/>
      <c r="W18" s="46"/>
      <c r="X18" s="196"/>
      <c r="Y18" s="46"/>
      <c r="Z18" s="46"/>
      <c r="AA18" s="46"/>
      <c r="AB18" s="46"/>
      <c r="AC18" s="46"/>
      <c r="AD18" s="46"/>
      <c r="AE18" s="46"/>
      <c r="AF18" s="196"/>
      <c r="AG18" s="46"/>
      <c r="AH18" s="46"/>
      <c r="AI18" s="46"/>
      <c r="AJ18" s="46"/>
      <c r="AK18" s="46"/>
      <c r="AL18" s="46"/>
      <c r="AM18" s="46"/>
      <c r="AN18" s="196"/>
      <c r="AO18" s="438"/>
      <c r="AP18" s="46"/>
      <c r="AQ18" s="368"/>
      <c r="AR18" s="257"/>
      <c r="AS18" s="196"/>
      <c r="AT18" s="46"/>
      <c r="AU18" s="46"/>
      <c r="AV18" s="196"/>
      <c r="AW18" s="257"/>
      <c r="AX18" s="196"/>
      <c r="AY18" s="191"/>
      <c r="AZ18" s="257"/>
      <c r="BA18" s="196"/>
      <c r="BB18" s="46"/>
      <c r="BC18" s="257"/>
      <c r="BD18" s="196"/>
      <c r="BE18" s="191"/>
      <c r="BF18" s="46"/>
      <c r="BG18" s="196"/>
      <c r="BH18" s="46"/>
      <c r="BI18" s="257"/>
      <c r="BJ18" s="196"/>
      <c r="BK18" s="191"/>
      <c r="BL18" s="257"/>
      <c r="BM18" s="196"/>
      <c r="BN18" s="46"/>
      <c r="BO18" s="257"/>
      <c r="BP18" s="196"/>
      <c r="BQ18" s="190"/>
      <c r="BR18" s="46"/>
      <c r="BS18" s="196"/>
      <c r="BT18" s="46"/>
      <c r="BU18" s="257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196"/>
      <c r="CI18" s="46"/>
      <c r="CJ18" s="46"/>
      <c r="CK18" s="46"/>
      <c r="CL18" s="46"/>
      <c r="CM18" s="46"/>
      <c r="CN18" s="196"/>
      <c r="CO18" s="191"/>
      <c r="CP18" s="257"/>
      <c r="CQ18" s="196"/>
      <c r="CR18" s="167"/>
      <c r="CS18" s="257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191"/>
      <c r="DN18" s="46"/>
      <c r="DO18" s="196"/>
      <c r="DP18" s="221" t="s">
        <v>828</v>
      </c>
      <c r="DQ18" s="257">
        <f t="shared" si="4"/>
        <v>30000</v>
      </c>
      <c r="DR18" s="294"/>
      <c r="DS18" s="295"/>
      <c r="DT18" s="386">
        <f t="shared" si="5"/>
        <v>0</v>
      </c>
      <c r="DU18" s="41">
        <v>4</v>
      </c>
      <c r="DV18" s="41">
        <v>1</v>
      </c>
      <c r="DW18" s="256">
        <v>30000</v>
      </c>
      <c r="DX18" s="41"/>
      <c r="DY18" s="41"/>
      <c r="DZ18" s="68"/>
      <c r="EA18" s="41"/>
      <c r="EB18" s="41"/>
      <c r="EC18" s="256"/>
      <c r="ED18" s="308"/>
      <c r="EE18" s="308"/>
      <c r="EF18" s="308"/>
      <c r="EG18" s="41"/>
      <c r="EH18" s="41"/>
      <c r="EI18" s="41"/>
      <c r="EJ18" s="69"/>
      <c r="EK18" s="308"/>
      <c r="EL18" s="308"/>
      <c r="EM18" s="308"/>
      <c r="EN18" s="308"/>
      <c r="EO18" s="41"/>
      <c r="EP18" s="41"/>
      <c r="EQ18" s="41"/>
      <c r="ER18" s="256"/>
      <c r="ES18" s="293"/>
      <c r="ET18" s="293"/>
      <c r="EU18" s="293"/>
      <c r="EV18" s="293"/>
      <c r="EW18" s="41"/>
      <c r="EX18" s="41"/>
      <c r="EY18" s="41"/>
      <c r="EZ18" s="256"/>
      <c r="FA18" s="308"/>
      <c r="FB18" s="308"/>
      <c r="FC18" s="308"/>
      <c r="FD18" s="308"/>
      <c r="FE18" s="41"/>
      <c r="FF18" s="41"/>
      <c r="FG18" s="41"/>
      <c r="FH18" s="256"/>
      <c r="FI18" s="41"/>
      <c r="FJ18" s="41"/>
      <c r="FK18" s="41"/>
      <c r="FL18" s="276"/>
    </row>
    <row r="19" spans="1:168">
      <c r="A19" s="45">
        <v>12</v>
      </c>
      <c r="B19" s="45" t="s">
        <v>210</v>
      </c>
      <c r="C19" s="45">
        <v>4</v>
      </c>
      <c r="D19" s="29" t="s">
        <v>66</v>
      </c>
      <c r="E19" s="30">
        <v>58</v>
      </c>
      <c r="F19" s="30">
        <v>5</v>
      </c>
      <c r="G19" s="246">
        <f>48116.376/1000</f>
        <v>48.116375999999995</v>
      </c>
      <c r="H19" s="45">
        <v>48116.376000000004</v>
      </c>
      <c r="I19" s="45">
        <v>0</v>
      </c>
      <c r="J19" s="397">
        <v>127.46714</v>
      </c>
      <c r="K19" s="495">
        <f t="shared" si="1"/>
        <v>175.583516</v>
      </c>
      <c r="L19" s="578"/>
      <c r="M19" s="45">
        <f t="shared" si="2"/>
        <v>0</v>
      </c>
      <c r="N19" s="46">
        <f t="shared" si="3"/>
        <v>175.583516</v>
      </c>
      <c r="O19" s="46">
        <f t="shared" si="0"/>
        <v>90</v>
      </c>
      <c r="P19" s="234" t="s">
        <v>249</v>
      </c>
      <c r="Q19" s="46">
        <v>1</v>
      </c>
      <c r="R19" s="450">
        <v>2</v>
      </c>
      <c r="S19" s="257">
        <v>90000</v>
      </c>
      <c r="T19" s="46"/>
      <c r="U19" s="46"/>
      <c r="V19" s="46"/>
      <c r="W19" s="46"/>
      <c r="X19" s="196"/>
      <c r="Y19" s="46"/>
      <c r="Z19" s="46"/>
      <c r="AA19" s="46"/>
      <c r="AB19" s="46"/>
      <c r="AC19" s="46"/>
      <c r="AD19" s="46"/>
      <c r="AE19" s="46"/>
      <c r="AF19" s="196"/>
      <c r="AG19" s="46"/>
      <c r="AH19" s="46"/>
      <c r="AI19" s="46"/>
      <c r="AJ19" s="46"/>
      <c r="AK19" s="46"/>
      <c r="AL19" s="46"/>
      <c r="AM19" s="46"/>
      <c r="AN19" s="196"/>
      <c r="AO19" s="438"/>
      <c r="AP19" s="46"/>
      <c r="AQ19" s="368"/>
      <c r="AR19" s="257"/>
      <c r="AS19" s="196"/>
      <c r="AT19" s="46"/>
      <c r="AU19" s="46"/>
      <c r="AV19" s="196"/>
      <c r="AW19" s="257"/>
      <c r="AX19" s="196"/>
      <c r="AY19" s="191"/>
      <c r="AZ19" s="257"/>
      <c r="BA19" s="196"/>
      <c r="BB19" s="46"/>
      <c r="BC19" s="257"/>
      <c r="BD19" s="196"/>
      <c r="BE19" s="191"/>
      <c r="BF19" s="46"/>
      <c r="BG19" s="196"/>
      <c r="BH19" s="46"/>
      <c r="BI19" s="257"/>
      <c r="BJ19" s="196"/>
      <c r="BK19" s="191"/>
      <c r="BL19" s="257"/>
      <c r="BM19" s="196"/>
      <c r="BN19" s="46"/>
      <c r="BO19" s="257"/>
      <c r="BP19" s="196"/>
      <c r="BQ19" s="190"/>
      <c r="BR19" s="46"/>
      <c r="BS19" s="196"/>
      <c r="BT19" s="46"/>
      <c r="BU19" s="257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196"/>
      <c r="CI19" s="46"/>
      <c r="CJ19" s="46"/>
      <c r="CK19" s="46"/>
      <c r="CL19" s="46"/>
      <c r="CM19" s="46"/>
      <c r="CN19" s="196"/>
      <c r="CO19" s="191"/>
      <c r="CP19" s="257"/>
      <c r="CQ19" s="196"/>
      <c r="CR19" s="167"/>
      <c r="CS19" s="257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191"/>
      <c r="DN19" s="46"/>
      <c r="DO19" s="196"/>
      <c r="DP19" s="221"/>
      <c r="DQ19" s="257">
        <f t="shared" si="4"/>
        <v>0</v>
      </c>
      <c r="DR19" s="294"/>
      <c r="DS19" s="295"/>
      <c r="DT19" s="386">
        <f t="shared" si="5"/>
        <v>0</v>
      </c>
      <c r="DU19" s="41"/>
      <c r="DV19" s="41"/>
      <c r="DW19" s="256"/>
      <c r="DX19" s="41"/>
      <c r="DY19" s="41"/>
      <c r="DZ19" s="68"/>
      <c r="EA19" s="41"/>
      <c r="EB19" s="41"/>
      <c r="EC19" s="256"/>
      <c r="ED19" s="308"/>
      <c r="EE19" s="308"/>
      <c r="EF19" s="308"/>
      <c r="EG19" s="41"/>
      <c r="EH19" s="41"/>
      <c r="EI19" s="41"/>
      <c r="EJ19" s="69"/>
      <c r="EK19" s="308"/>
      <c r="EL19" s="308"/>
      <c r="EM19" s="308"/>
      <c r="EN19" s="308"/>
      <c r="EO19" s="41"/>
      <c r="EP19" s="41"/>
      <c r="EQ19" s="41"/>
      <c r="ER19" s="256"/>
      <c r="ES19" s="293"/>
      <c r="ET19" s="293"/>
      <c r="EU19" s="293"/>
      <c r="EV19" s="293"/>
      <c r="EW19" s="41"/>
      <c r="EX19" s="41"/>
      <c r="EY19" s="41"/>
      <c r="EZ19" s="256"/>
      <c r="FA19" s="308"/>
      <c r="FB19" s="308"/>
      <c r="FC19" s="308"/>
      <c r="FD19" s="308"/>
      <c r="FE19" s="46"/>
      <c r="FF19" s="41"/>
      <c r="FG19" s="41"/>
      <c r="FH19" s="256"/>
      <c r="FI19" s="41"/>
      <c r="FJ19" s="41"/>
      <c r="FK19" s="41"/>
      <c r="FL19" s="276"/>
    </row>
    <row r="20" spans="1:168">
      <c r="A20" s="45">
        <v>13</v>
      </c>
      <c r="B20" s="45" t="s">
        <v>210</v>
      </c>
      <c r="C20" s="45">
        <v>5</v>
      </c>
      <c r="D20" s="29" t="s">
        <v>67</v>
      </c>
      <c r="E20" s="30" t="s">
        <v>68</v>
      </c>
      <c r="F20" s="30">
        <v>6</v>
      </c>
      <c r="G20" s="246">
        <f>100191.5832/1000</f>
        <v>100.1915832</v>
      </c>
      <c r="H20" s="45">
        <v>28336.459800000001</v>
      </c>
      <c r="I20" s="45">
        <v>71855.123400000011</v>
      </c>
      <c r="J20" s="397">
        <v>98.21981000000001</v>
      </c>
      <c r="K20" s="495">
        <f t="shared" si="1"/>
        <v>198.41139320000002</v>
      </c>
      <c r="L20" s="578"/>
      <c r="M20" s="45">
        <f t="shared" si="2"/>
        <v>0</v>
      </c>
      <c r="N20" s="46">
        <f t="shared" si="3"/>
        <v>198.41139320000002</v>
      </c>
      <c r="O20" s="46">
        <f t="shared" si="0"/>
        <v>191.8</v>
      </c>
      <c r="P20" s="234"/>
      <c r="Q20" s="46">
        <v>1</v>
      </c>
      <c r="R20" s="450">
        <v>2</v>
      </c>
      <c r="S20" s="257">
        <v>90000</v>
      </c>
      <c r="T20" s="46"/>
      <c r="U20" s="46"/>
      <c r="V20" s="46"/>
      <c r="W20" s="46"/>
      <c r="X20" s="196"/>
      <c r="Y20" s="46"/>
      <c r="Z20" s="46"/>
      <c r="AA20" s="46"/>
      <c r="AB20" s="46"/>
      <c r="AC20" s="46"/>
      <c r="AD20" s="46"/>
      <c r="AE20" s="46"/>
      <c r="AF20" s="196"/>
      <c r="AG20" s="46"/>
      <c r="AH20" s="46"/>
      <c r="AI20" s="46"/>
      <c r="AJ20" s="46"/>
      <c r="AK20" s="46"/>
      <c r="AL20" s="46"/>
      <c r="AM20" s="46"/>
      <c r="AN20" s="196"/>
      <c r="AO20" s="438"/>
      <c r="AP20" s="46"/>
      <c r="AQ20" s="368"/>
      <c r="AR20" s="257"/>
      <c r="AS20" s="196"/>
      <c r="AT20" s="46"/>
      <c r="AU20" s="46"/>
      <c r="AV20" s="196"/>
      <c r="AW20" s="257"/>
      <c r="AX20" s="196"/>
      <c r="AY20" s="191"/>
      <c r="AZ20" s="257"/>
      <c r="BA20" s="196"/>
      <c r="BB20" s="46"/>
      <c r="BC20" s="257"/>
      <c r="BD20" s="196"/>
      <c r="BE20" s="191"/>
      <c r="BF20" s="46"/>
      <c r="BG20" s="196"/>
      <c r="BH20" s="46"/>
      <c r="BI20" s="257"/>
      <c r="BJ20" s="196"/>
      <c r="BK20" s="191"/>
      <c r="BL20" s="257"/>
      <c r="BM20" s="196"/>
      <c r="BN20" s="46"/>
      <c r="BO20" s="257"/>
      <c r="BP20" s="196"/>
      <c r="BQ20" s="190"/>
      <c r="BR20" s="46"/>
      <c r="BS20" s="196"/>
      <c r="BT20" s="46"/>
      <c r="BU20" s="257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196"/>
      <c r="CI20" s="46"/>
      <c r="CJ20" s="257"/>
      <c r="CK20" s="46"/>
      <c r="CL20" s="46"/>
      <c r="CM20" s="46"/>
      <c r="CN20" s="196" t="s">
        <v>225</v>
      </c>
      <c r="CO20" s="191" t="s">
        <v>322</v>
      </c>
      <c r="CP20" s="257">
        <v>25000</v>
      </c>
      <c r="CQ20" s="196"/>
      <c r="CR20" s="167"/>
      <c r="CS20" s="257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191"/>
      <c r="DN20" s="46"/>
      <c r="DO20" s="218"/>
      <c r="DP20" s="221" t="s">
        <v>811</v>
      </c>
      <c r="DQ20" s="257">
        <f t="shared" si="4"/>
        <v>76800</v>
      </c>
      <c r="DR20" s="294"/>
      <c r="DS20" s="295"/>
      <c r="DT20" s="386">
        <f t="shared" si="5"/>
        <v>0</v>
      </c>
      <c r="DU20" s="41"/>
      <c r="DV20" s="41"/>
      <c r="DW20" s="256"/>
      <c r="DX20" s="41"/>
      <c r="DY20" s="41"/>
      <c r="DZ20" s="68"/>
      <c r="EA20" s="41">
        <v>10</v>
      </c>
      <c r="EB20" s="41">
        <v>96</v>
      </c>
      <c r="EC20" s="256">
        <f>EB20*800</f>
        <v>76800</v>
      </c>
      <c r="ED20" s="308"/>
      <c r="EE20" s="308"/>
      <c r="EF20" s="308"/>
      <c r="EG20" s="41"/>
      <c r="EH20" s="41"/>
      <c r="EI20" s="41"/>
      <c r="EJ20" s="69"/>
      <c r="EK20" s="308"/>
      <c r="EL20" s="308"/>
      <c r="EM20" s="308"/>
      <c r="EN20" s="308"/>
      <c r="EO20" s="41"/>
      <c r="EP20" s="41"/>
      <c r="EQ20" s="41"/>
      <c r="ER20" s="256"/>
      <c r="ES20" s="293"/>
      <c r="ET20" s="293"/>
      <c r="EU20" s="293"/>
      <c r="EV20" s="293"/>
      <c r="EW20" s="41"/>
      <c r="EX20" s="41"/>
      <c r="EY20" s="41"/>
      <c r="EZ20" s="256"/>
      <c r="FA20" s="308"/>
      <c r="FB20" s="308"/>
      <c r="FC20" s="308"/>
      <c r="FD20" s="308"/>
      <c r="FE20" s="41"/>
      <c r="FF20" s="41"/>
      <c r="FG20" s="41"/>
      <c r="FH20" s="256"/>
      <c r="FI20" s="41"/>
      <c r="FJ20" s="41"/>
      <c r="FK20" s="41"/>
      <c r="FL20" s="276"/>
    </row>
    <row r="21" spans="1:168">
      <c r="A21" s="45">
        <v>14</v>
      </c>
      <c r="B21" s="45" t="s">
        <v>210</v>
      </c>
      <c r="C21" s="45">
        <v>5</v>
      </c>
      <c r="D21" s="29" t="s">
        <v>69</v>
      </c>
      <c r="E21" s="30">
        <v>119</v>
      </c>
      <c r="F21" s="30">
        <v>7</v>
      </c>
      <c r="G21" s="246">
        <f>107580.4002/1000</f>
        <v>107.5804002</v>
      </c>
      <c r="H21" s="45">
        <v>0</v>
      </c>
      <c r="I21" s="45">
        <v>107580.40020000002</v>
      </c>
      <c r="J21" s="397">
        <v>-109.55353940000003</v>
      </c>
      <c r="K21" s="495">
        <f t="shared" si="1"/>
        <v>-1.9731392000000341</v>
      </c>
      <c r="L21" s="578"/>
      <c r="M21" s="45">
        <f t="shared" si="2"/>
        <v>0</v>
      </c>
      <c r="N21" s="46">
        <f t="shared" si="3"/>
        <v>-1.9731392000000341</v>
      </c>
      <c r="O21" s="46">
        <f t="shared" si="0"/>
        <v>0</v>
      </c>
      <c r="P21" s="234"/>
      <c r="Q21" s="46"/>
      <c r="R21" s="450"/>
      <c r="S21" s="257"/>
      <c r="T21" s="46"/>
      <c r="U21" s="46"/>
      <c r="V21" s="46"/>
      <c r="W21" s="46"/>
      <c r="X21" s="196"/>
      <c r="Y21" s="46"/>
      <c r="Z21" s="46"/>
      <c r="AA21" s="46"/>
      <c r="AB21" s="46"/>
      <c r="AC21" s="46"/>
      <c r="AD21" s="46"/>
      <c r="AE21" s="46"/>
      <c r="AF21" s="196"/>
      <c r="AG21" s="46"/>
      <c r="AH21" s="46"/>
      <c r="AI21" s="46"/>
      <c r="AJ21" s="46"/>
      <c r="AK21" s="46"/>
      <c r="AL21" s="46"/>
      <c r="AM21" s="46"/>
      <c r="AN21" s="196"/>
      <c r="AO21" s="438"/>
      <c r="AP21" s="46"/>
      <c r="AQ21" s="368"/>
      <c r="AR21" s="257"/>
      <c r="AS21" s="196"/>
      <c r="AT21" s="46"/>
      <c r="AU21" s="46"/>
      <c r="AV21" s="196"/>
      <c r="AW21" s="257"/>
      <c r="AX21" s="196"/>
      <c r="AY21" s="191"/>
      <c r="AZ21" s="257"/>
      <c r="BA21" s="196"/>
      <c r="BB21" s="46"/>
      <c r="BC21" s="257"/>
      <c r="BD21" s="196"/>
      <c r="BE21" s="191"/>
      <c r="BF21" s="46"/>
      <c r="BG21" s="196"/>
      <c r="BH21" s="46"/>
      <c r="BI21" s="257"/>
      <c r="BJ21" s="196"/>
      <c r="BK21" s="191"/>
      <c r="BL21" s="257"/>
      <c r="BM21" s="196"/>
      <c r="BN21" s="46"/>
      <c r="BO21" s="257"/>
      <c r="BP21" s="196"/>
      <c r="BQ21" s="190"/>
      <c r="BR21" s="46"/>
      <c r="BS21" s="196"/>
      <c r="BT21" s="46"/>
      <c r="BU21" s="257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196"/>
      <c r="CI21" s="46"/>
      <c r="CJ21" s="46"/>
      <c r="CK21" s="46"/>
      <c r="CL21" s="46"/>
      <c r="CM21" s="46"/>
      <c r="CN21" s="196"/>
      <c r="CO21" s="191"/>
      <c r="CP21" s="257"/>
      <c r="CQ21" s="196"/>
      <c r="CR21" s="167"/>
      <c r="CS21" s="257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191"/>
      <c r="DN21" s="46"/>
      <c r="DO21" s="196"/>
      <c r="DP21" s="221"/>
      <c r="DQ21" s="257">
        <f t="shared" si="4"/>
        <v>0</v>
      </c>
      <c r="DR21" s="296"/>
      <c r="DS21" s="295"/>
      <c r="DT21" s="386">
        <f t="shared" si="5"/>
        <v>0</v>
      </c>
      <c r="DU21" s="41"/>
      <c r="DV21" s="41"/>
      <c r="DW21" s="256"/>
      <c r="DX21" s="41"/>
      <c r="DY21" s="41"/>
      <c r="DZ21" s="68"/>
      <c r="EA21" s="41"/>
      <c r="EB21" s="41"/>
      <c r="EC21" s="256"/>
      <c r="ED21" s="308"/>
      <c r="EE21" s="308"/>
      <c r="EF21" s="308"/>
      <c r="EG21" s="41"/>
      <c r="EH21" s="41"/>
      <c r="EI21" s="41"/>
      <c r="EJ21" s="69"/>
      <c r="EK21" s="308"/>
      <c r="EL21" s="308"/>
      <c r="EM21" s="308"/>
      <c r="EN21" s="308"/>
      <c r="EO21" s="41"/>
      <c r="EP21" s="41"/>
      <c r="EQ21" s="41"/>
      <c r="ER21" s="256"/>
      <c r="ES21" s="293"/>
      <c r="ET21" s="293"/>
      <c r="EU21" s="293"/>
      <c r="EV21" s="293"/>
      <c r="EW21" s="41"/>
      <c r="EX21" s="41"/>
      <c r="EY21" s="41"/>
      <c r="EZ21" s="256"/>
      <c r="FA21" s="308"/>
      <c r="FB21" s="308"/>
      <c r="FC21" s="308"/>
      <c r="FD21" s="308"/>
      <c r="FE21" s="41"/>
      <c r="FF21" s="41"/>
      <c r="FG21" s="41"/>
      <c r="FH21" s="256"/>
      <c r="FI21" s="41"/>
      <c r="FJ21" s="41"/>
      <c r="FK21" s="41"/>
      <c r="FL21" s="276"/>
    </row>
    <row r="22" spans="1:168">
      <c r="A22" s="45">
        <v>15</v>
      </c>
      <c r="B22" s="45" t="s">
        <v>210</v>
      </c>
      <c r="C22" s="45">
        <v>5</v>
      </c>
      <c r="D22" s="29" t="s">
        <v>70</v>
      </c>
      <c r="E22" s="30" t="s">
        <v>71</v>
      </c>
      <c r="F22" s="30">
        <v>5</v>
      </c>
      <c r="G22" s="246">
        <f>77354.6004/1000</f>
        <v>77.354600399999995</v>
      </c>
      <c r="H22" s="45">
        <v>77354.600399999996</v>
      </c>
      <c r="I22" s="45">
        <v>0</v>
      </c>
      <c r="J22" s="397">
        <v>-83.972019999999929</v>
      </c>
      <c r="K22" s="495">
        <f t="shared" si="1"/>
        <v>-6.6174195999999341</v>
      </c>
      <c r="L22" s="578"/>
      <c r="M22" s="45">
        <f t="shared" si="2"/>
        <v>0</v>
      </c>
      <c r="N22" s="46">
        <f t="shared" si="3"/>
        <v>-6.6174195999999341</v>
      </c>
      <c r="O22" s="46">
        <f t="shared" si="0"/>
        <v>0</v>
      </c>
      <c r="P22" s="234"/>
      <c r="Q22" s="46"/>
      <c r="R22" s="450"/>
      <c r="S22" s="257"/>
      <c r="T22" s="46"/>
      <c r="U22" s="46"/>
      <c r="V22" s="46"/>
      <c r="W22" s="46"/>
      <c r="X22" s="196"/>
      <c r="Y22" s="46"/>
      <c r="Z22" s="46"/>
      <c r="AA22" s="46"/>
      <c r="AB22" s="46"/>
      <c r="AC22" s="46"/>
      <c r="AD22" s="46"/>
      <c r="AE22" s="46"/>
      <c r="AF22" s="196"/>
      <c r="AG22" s="46"/>
      <c r="AH22" s="46"/>
      <c r="AI22" s="46"/>
      <c r="AJ22" s="46"/>
      <c r="AK22" s="46"/>
      <c r="AL22" s="46"/>
      <c r="AM22" s="46"/>
      <c r="AN22" s="196"/>
      <c r="AO22" s="438"/>
      <c r="AP22" s="46"/>
      <c r="AQ22" s="368"/>
      <c r="AR22" s="257"/>
      <c r="AS22" s="196"/>
      <c r="AT22" s="46"/>
      <c r="AU22" s="46"/>
      <c r="AV22" s="196"/>
      <c r="AW22" s="257"/>
      <c r="AX22" s="196"/>
      <c r="AY22" s="191"/>
      <c r="AZ22" s="257"/>
      <c r="BA22" s="196"/>
      <c r="BB22" s="46"/>
      <c r="BC22" s="257"/>
      <c r="BD22" s="196"/>
      <c r="BE22" s="191"/>
      <c r="BF22" s="46"/>
      <c r="BG22" s="196"/>
      <c r="BH22" s="46"/>
      <c r="BI22" s="257"/>
      <c r="BJ22" s="196"/>
      <c r="BK22" s="191"/>
      <c r="BL22" s="257"/>
      <c r="BM22" s="196"/>
      <c r="BN22" s="46"/>
      <c r="BO22" s="257"/>
      <c r="BP22" s="196"/>
      <c r="BQ22" s="190"/>
      <c r="BR22" s="46"/>
      <c r="BS22" s="196"/>
      <c r="BT22" s="46"/>
      <c r="BU22" s="257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196"/>
      <c r="CI22" s="46"/>
      <c r="CJ22" s="46"/>
      <c r="CK22" s="46"/>
      <c r="CL22" s="46"/>
      <c r="CM22" s="46"/>
      <c r="CN22" s="196"/>
      <c r="CO22" s="191"/>
      <c r="CP22" s="257"/>
      <c r="CQ22" s="196"/>
      <c r="CR22" s="167"/>
      <c r="CS22" s="257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191"/>
      <c r="DN22" s="46"/>
      <c r="DO22" s="218"/>
      <c r="DP22" s="221"/>
      <c r="DQ22" s="257">
        <f t="shared" si="4"/>
        <v>0</v>
      </c>
      <c r="DR22" s="296"/>
      <c r="DS22" s="295"/>
      <c r="DT22" s="386">
        <f t="shared" si="5"/>
        <v>0</v>
      </c>
      <c r="DU22" s="41"/>
      <c r="DV22" s="41"/>
      <c r="DW22" s="256"/>
      <c r="DX22" s="41"/>
      <c r="DY22" s="41"/>
      <c r="DZ22" s="68"/>
      <c r="EA22" s="41"/>
      <c r="EB22" s="41"/>
      <c r="EC22" s="256"/>
      <c r="ED22" s="308"/>
      <c r="EE22" s="308"/>
      <c r="EF22" s="308"/>
      <c r="EG22" s="41"/>
      <c r="EH22" s="41"/>
      <c r="EI22" s="41"/>
      <c r="EJ22" s="69"/>
      <c r="EK22" s="308"/>
      <c r="EL22" s="308"/>
      <c r="EM22" s="308"/>
      <c r="EN22" s="308"/>
      <c r="EO22" s="41"/>
      <c r="EP22" s="41"/>
      <c r="EQ22" s="41"/>
      <c r="ER22" s="256"/>
      <c r="ES22" s="293"/>
      <c r="ET22" s="293"/>
      <c r="EU22" s="293"/>
      <c r="EV22" s="293"/>
      <c r="EW22" s="41"/>
      <c r="EX22" s="41"/>
      <c r="EY22" s="41"/>
      <c r="EZ22" s="256"/>
      <c r="FA22" s="308"/>
      <c r="FB22" s="308"/>
      <c r="FC22" s="308"/>
      <c r="FD22" s="308"/>
      <c r="FE22" s="46"/>
      <c r="FF22" s="41"/>
      <c r="FG22" s="41"/>
      <c r="FH22" s="256"/>
      <c r="FI22" s="41"/>
      <c r="FJ22" s="41"/>
      <c r="FK22" s="41"/>
      <c r="FL22" s="276"/>
    </row>
    <row r="23" spans="1:168" ht="23.25">
      <c r="A23" s="45">
        <v>16</v>
      </c>
      <c r="B23" s="45" t="s">
        <v>210</v>
      </c>
      <c r="C23" s="45">
        <v>4</v>
      </c>
      <c r="D23" s="29" t="s">
        <v>72</v>
      </c>
      <c r="E23" s="30">
        <v>42</v>
      </c>
      <c r="F23" s="30">
        <v>5</v>
      </c>
      <c r="G23" s="246">
        <f>219727.0152/1000</f>
        <v>219.72701519999998</v>
      </c>
      <c r="H23" s="45">
        <v>219727.01519999997</v>
      </c>
      <c r="I23" s="45">
        <v>0</v>
      </c>
      <c r="J23" s="397">
        <v>22.541989999999998</v>
      </c>
      <c r="K23" s="495">
        <f t="shared" si="1"/>
        <v>242.26900519999998</v>
      </c>
      <c r="L23" s="578"/>
      <c r="M23" s="45">
        <f t="shared" si="2"/>
        <v>0</v>
      </c>
      <c r="N23" s="46">
        <f t="shared" si="3"/>
        <v>242.26900519999998</v>
      </c>
      <c r="O23" s="46">
        <f t="shared" si="0"/>
        <v>212</v>
      </c>
      <c r="P23" s="234"/>
      <c r="Q23" s="46">
        <v>1</v>
      </c>
      <c r="R23" s="450">
        <v>2</v>
      </c>
      <c r="S23" s="257">
        <v>200000</v>
      </c>
      <c r="T23" s="46"/>
      <c r="U23" s="46"/>
      <c r="V23" s="46"/>
      <c r="W23" s="46"/>
      <c r="X23" s="196"/>
      <c r="Y23" s="46"/>
      <c r="Z23" s="46"/>
      <c r="AA23" s="46"/>
      <c r="AB23" s="46"/>
      <c r="AC23" s="46"/>
      <c r="AD23" s="46"/>
      <c r="AE23" s="46"/>
      <c r="AF23" s="196"/>
      <c r="AG23" s="46"/>
      <c r="AH23" s="46"/>
      <c r="AI23" s="46"/>
      <c r="AJ23" s="46"/>
      <c r="AK23" s="46"/>
      <c r="AL23" s="46"/>
      <c r="AM23" s="46"/>
      <c r="AN23" s="196"/>
      <c r="AO23" s="438"/>
      <c r="AP23" s="46"/>
      <c r="AQ23" s="368"/>
      <c r="AR23" s="257"/>
      <c r="AS23" s="196"/>
      <c r="AT23" s="46"/>
      <c r="AU23" s="46"/>
      <c r="AV23" s="196"/>
      <c r="AW23" s="257"/>
      <c r="AX23" s="196" t="s">
        <v>254</v>
      </c>
      <c r="AY23" s="190" t="s">
        <v>829</v>
      </c>
      <c r="AZ23" s="257">
        <f>6*2000</f>
        <v>12000</v>
      </c>
      <c r="BA23" s="196"/>
      <c r="BB23" s="46"/>
      <c r="BC23" s="257"/>
      <c r="BD23" s="196"/>
      <c r="BE23" s="191"/>
      <c r="BF23" s="46"/>
      <c r="BG23" s="196"/>
      <c r="BH23" s="46"/>
      <c r="BI23" s="257"/>
      <c r="BJ23" s="196"/>
      <c r="BK23" s="191"/>
      <c r="BL23" s="257"/>
      <c r="BM23" s="196"/>
      <c r="BN23" s="46"/>
      <c r="BO23" s="257"/>
      <c r="BP23" s="196"/>
      <c r="BQ23" s="190"/>
      <c r="BR23" s="46"/>
      <c r="BS23" s="196"/>
      <c r="BT23" s="46"/>
      <c r="BU23" s="257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196"/>
      <c r="CI23" s="46"/>
      <c r="CJ23" s="46"/>
      <c r="CK23" s="46"/>
      <c r="CL23" s="46"/>
      <c r="CM23" s="46"/>
      <c r="CN23" s="196"/>
      <c r="CO23" s="191"/>
      <c r="CP23" s="257"/>
      <c r="CQ23" s="196"/>
      <c r="CR23" s="167"/>
      <c r="CS23" s="257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191"/>
      <c r="DN23" s="46"/>
      <c r="DO23" s="196"/>
      <c r="DP23" s="221"/>
      <c r="DQ23" s="257">
        <f t="shared" si="4"/>
        <v>0</v>
      </c>
      <c r="DR23" s="296"/>
      <c r="DS23" s="295"/>
      <c r="DT23" s="386">
        <f t="shared" si="5"/>
        <v>0</v>
      </c>
      <c r="DU23" s="41"/>
      <c r="DV23" s="41"/>
      <c r="DW23" s="256"/>
      <c r="DX23" s="41"/>
      <c r="DY23" s="41"/>
      <c r="DZ23" s="68"/>
      <c r="EA23" s="41"/>
      <c r="EB23" s="41"/>
      <c r="EC23" s="256"/>
      <c r="ED23" s="308"/>
      <c r="EE23" s="308"/>
      <c r="EF23" s="308"/>
      <c r="EG23" s="41"/>
      <c r="EH23" s="41"/>
      <c r="EI23" s="41"/>
      <c r="EJ23" s="69"/>
      <c r="EK23" s="308"/>
      <c r="EL23" s="308"/>
      <c r="EM23" s="308"/>
      <c r="EN23" s="308"/>
      <c r="EO23" s="41"/>
      <c r="EP23" s="41"/>
      <c r="EQ23" s="41"/>
      <c r="ER23" s="256"/>
      <c r="ES23" s="293"/>
      <c r="ET23" s="293"/>
      <c r="EU23" s="293"/>
      <c r="EV23" s="293"/>
      <c r="EW23" s="41"/>
      <c r="EX23" s="41"/>
      <c r="EY23" s="41"/>
      <c r="EZ23" s="256"/>
      <c r="FA23" s="308"/>
      <c r="FB23" s="308"/>
      <c r="FC23" s="308"/>
      <c r="FD23" s="308"/>
      <c r="FE23" s="46"/>
      <c r="FF23" s="41"/>
      <c r="FG23" s="41"/>
      <c r="FH23" s="256"/>
      <c r="FI23" s="41"/>
      <c r="FJ23" s="41"/>
      <c r="FK23" s="41"/>
      <c r="FL23" s="276"/>
    </row>
    <row r="24" spans="1:168">
      <c r="A24" s="45">
        <v>17</v>
      </c>
      <c r="B24" s="45" t="s">
        <v>210</v>
      </c>
      <c r="C24" s="45">
        <v>4</v>
      </c>
      <c r="D24" s="29" t="s">
        <v>489</v>
      </c>
      <c r="E24" s="176">
        <v>8</v>
      </c>
      <c r="F24" s="188">
        <v>7</v>
      </c>
      <c r="G24" s="246">
        <f>45387.72/1000</f>
        <v>45.387720000000002</v>
      </c>
      <c r="H24" s="45">
        <v>0</v>
      </c>
      <c r="I24" s="45">
        <v>45387.72</v>
      </c>
      <c r="J24" s="397">
        <v>129.86727000000002</v>
      </c>
      <c r="K24" s="495">
        <f t="shared" si="1"/>
        <v>175.25499000000002</v>
      </c>
      <c r="L24" s="578"/>
      <c r="M24" s="45">
        <f t="shared" si="2"/>
        <v>0</v>
      </c>
      <c r="N24" s="46">
        <f>K24-M24</f>
        <v>175.25499000000002</v>
      </c>
      <c r="O24" s="46">
        <f t="shared" si="0"/>
        <v>70</v>
      </c>
      <c r="P24" s="234"/>
      <c r="Q24" s="46"/>
      <c r="R24" s="450"/>
      <c r="S24" s="257"/>
      <c r="T24" s="46"/>
      <c r="U24" s="46"/>
      <c r="V24" s="46"/>
      <c r="W24" s="46"/>
      <c r="X24" s="196"/>
      <c r="Y24" s="46"/>
      <c r="Z24" s="46"/>
      <c r="AA24" s="46"/>
      <c r="AB24" s="46"/>
      <c r="AC24" s="46"/>
      <c r="AD24" s="46"/>
      <c r="AE24" s="46"/>
      <c r="AF24" s="196"/>
      <c r="AG24" s="46"/>
      <c r="AH24" s="46"/>
      <c r="AI24" s="46"/>
      <c r="AJ24" s="46"/>
      <c r="AK24" s="46"/>
      <c r="AL24" s="46"/>
      <c r="AM24" s="46"/>
      <c r="AN24" s="196"/>
      <c r="AO24" s="438"/>
      <c r="AP24" s="46"/>
      <c r="AQ24" s="368"/>
      <c r="AR24" s="257"/>
      <c r="AS24" s="196"/>
      <c r="AT24" s="46"/>
      <c r="AU24" s="46"/>
      <c r="AV24" s="196"/>
      <c r="AW24" s="257"/>
      <c r="AX24" s="196"/>
      <c r="AY24" s="191"/>
      <c r="AZ24" s="257"/>
      <c r="BA24" s="196"/>
      <c r="BB24" s="46"/>
      <c r="BC24" s="257"/>
      <c r="BD24" s="196"/>
      <c r="BE24" s="191"/>
      <c r="BF24" s="46"/>
      <c r="BG24" s="196"/>
      <c r="BH24" s="46"/>
      <c r="BI24" s="257"/>
      <c r="BJ24" s="196"/>
      <c r="BK24" s="190"/>
      <c r="BL24" s="257"/>
      <c r="BM24" s="196"/>
      <c r="BN24" s="46"/>
      <c r="BO24" s="257"/>
      <c r="BP24" s="196"/>
      <c r="BQ24" s="190"/>
      <c r="BR24" s="46"/>
      <c r="BS24" s="196"/>
      <c r="BT24" s="46"/>
      <c r="BU24" s="257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196"/>
      <c r="CI24" s="46"/>
      <c r="CJ24" s="46"/>
      <c r="CK24" s="46"/>
      <c r="CL24" s="46"/>
      <c r="CM24" s="46"/>
      <c r="CN24" s="196" t="s">
        <v>225</v>
      </c>
      <c r="CO24" s="190" t="s">
        <v>830</v>
      </c>
      <c r="CP24" s="257">
        <v>70000</v>
      </c>
      <c r="CQ24" s="196"/>
      <c r="CR24" s="167"/>
      <c r="CS24" s="257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191"/>
      <c r="DN24" s="46"/>
      <c r="DO24" s="196"/>
      <c r="DP24" s="221"/>
      <c r="DQ24" s="257">
        <f t="shared" si="4"/>
        <v>0</v>
      </c>
      <c r="DR24" s="294"/>
      <c r="DS24" s="295"/>
      <c r="DT24" s="386">
        <f t="shared" si="5"/>
        <v>0</v>
      </c>
      <c r="DU24" s="46"/>
      <c r="DV24" s="46"/>
      <c r="DW24" s="256"/>
      <c r="DX24" s="46"/>
      <c r="DY24" s="46"/>
      <c r="DZ24" s="68"/>
      <c r="EA24" s="46"/>
      <c r="EB24" s="46"/>
      <c r="EC24" s="256"/>
      <c r="ED24" s="308"/>
      <c r="EE24" s="308"/>
      <c r="EF24" s="308"/>
      <c r="EG24" s="46"/>
      <c r="EH24" s="46"/>
      <c r="EI24" s="46"/>
      <c r="EJ24" s="69"/>
      <c r="EK24" s="308"/>
      <c r="EL24" s="308"/>
      <c r="EM24" s="308"/>
      <c r="EN24" s="308"/>
      <c r="EO24" s="46"/>
      <c r="EP24" s="46"/>
      <c r="EQ24" s="46"/>
      <c r="ER24" s="256"/>
      <c r="ES24" s="293"/>
      <c r="ET24" s="293"/>
      <c r="EU24" s="293"/>
      <c r="EV24" s="293"/>
      <c r="EW24" s="46"/>
      <c r="EX24" s="46"/>
      <c r="EY24" s="46"/>
      <c r="EZ24" s="256"/>
      <c r="FA24" s="308"/>
      <c r="FB24" s="308"/>
      <c r="FC24" s="308"/>
      <c r="FD24" s="308"/>
      <c r="FE24" s="46"/>
      <c r="FF24" s="46"/>
      <c r="FG24" s="46"/>
      <c r="FH24" s="256"/>
      <c r="FI24" s="41"/>
      <c r="FJ24" s="41"/>
      <c r="FK24" s="41"/>
      <c r="FL24" s="276"/>
    </row>
    <row r="25" spans="1:168">
      <c r="A25" s="45">
        <v>18</v>
      </c>
      <c r="B25" s="45" t="s">
        <v>210</v>
      </c>
      <c r="C25" s="45">
        <v>4</v>
      </c>
      <c r="D25" s="29" t="s">
        <v>489</v>
      </c>
      <c r="E25" s="176">
        <v>10</v>
      </c>
      <c r="F25" s="188">
        <v>7</v>
      </c>
      <c r="G25" s="246">
        <f>45021.69/1000</f>
        <v>45.02169</v>
      </c>
      <c r="H25" s="45">
        <v>0</v>
      </c>
      <c r="I25" s="45">
        <v>45021.69</v>
      </c>
      <c r="J25" s="397">
        <v>125.00692799999999</v>
      </c>
      <c r="K25" s="495">
        <f t="shared" si="1"/>
        <v>170.02861799999999</v>
      </c>
      <c r="L25" s="578"/>
      <c r="M25" s="45">
        <f t="shared" si="2"/>
        <v>0</v>
      </c>
      <c r="N25" s="46">
        <f>K25-M25</f>
        <v>170.02861799999999</v>
      </c>
      <c r="O25" s="46">
        <f t="shared" si="0"/>
        <v>168</v>
      </c>
      <c r="P25" s="234" t="s">
        <v>249</v>
      </c>
      <c r="Q25" s="46">
        <v>1</v>
      </c>
      <c r="R25" s="450">
        <v>1</v>
      </c>
      <c r="S25" s="257">
        <v>90000</v>
      </c>
      <c r="T25" s="46"/>
      <c r="U25" s="46"/>
      <c r="V25" s="46"/>
      <c r="W25" s="46"/>
      <c r="X25" s="196"/>
      <c r="Y25" s="46"/>
      <c r="Z25" s="46"/>
      <c r="AA25" s="46"/>
      <c r="AB25" s="46"/>
      <c r="AC25" s="46"/>
      <c r="AD25" s="46"/>
      <c r="AE25" s="46"/>
      <c r="AF25" s="196"/>
      <c r="AG25" s="46"/>
      <c r="AH25" s="46"/>
      <c r="AI25" s="46"/>
      <c r="AJ25" s="46"/>
      <c r="AK25" s="46"/>
      <c r="AL25" s="46"/>
      <c r="AM25" s="46"/>
      <c r="AN25" s="196" t="s">
        <v>247</v>
      </c>
      <c r="AO25" s="438" t="s">
        <v>335</v>
      </c>
      <c r="AP25" s="46">
        <v>60</v>
      </c>
      <c r="AQ25" s="368" t="s">
        <v>831</v>
      </c>
      <c r="AR25" s="257">
        <f>AP25*1300</f>
        <v>78000</v>
      </c>
      <c r="AS25" s="196"/>
      <c r="AT25" s="46"/>
      <c r="AU25" s="46"/>
      <c r="AV25" s="196"/>
      <c r="AW25" s="257"/>
      <c r="AX25" s="196"/>
      <c r="AY25" s="191"/>
      <c r="AZ25" s="257"/>
      <c r="BA25" s="196"/>
      <c r="BB25" s="46"/>
      <c r="BC25" s="257"/>
      <c r="BD25" s="196"/>
      <c r="BE25" s="191"/>
      <c r="BF25" s="46"/>
      <c r="BG25" s="196"/>
      <c r="BH25" s="46"/>
      <c r="BI25" s="257"/>
      <c r="BJ25" s="196"/>
      <c r="BK25" s="191"/>
      <c r="BL25" s="257"/>
      <c r="BM25" s="196"/>
      <c r="BN25" s="46"/>
      <c r="BO25" s="257"/>
      <c r="BP25" s="196"/>
      <c r="BQ25" s="190"/>
      <c r="BR25" s="46"/>
      <c r="BS25" s="196"/>
      <c r="BT25" s="46"/>
      <c r="BU25" s="257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196"/>
      <c r="CI25" s="46"/>
      <c r="CJ25" s="46"/>
      <c r="CK25" s="46"/>
      <c r="CL25" s="46"/>
      <c r="CM25" s="46"/>
      <c r="CN25" s="196"/>
      <c r="CO25" s="191"/>
      <c r="CP25" s="257"/>
      <c r="CQ25" s="196"/>
      <c r="CR25" s="167"/>
      <c r="CS25" s="257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191"/>
      <c r="DN25" s="46"/>
      <c r="DO25" s="196"/>
      <c r="DP25" s="221"/>
      <c r="DQ25" s="257">
        <f t="shared" si="4"/>
        <v>0</v>
      </c>
      <c r="DR25" s="296"/>
      <c r="DS25" s="295"/>
      <c r="DT25" s="386">
        <f t="shared" si="5"/>
        <v>0</v>
      </c>
      <c r="DU25" s="46"/>
      <c r="DV25" s="46"/>
      <c r="DW25" s="256"/>
      <c r="DX25" s="46"/>
      <c r="DY25" s="46"/>
      <c r="DZ25" s="68"/>
      <c r="EA25" s="46"/>
      <c r="EB25" s="46"/>
      <c r="EC25" s="256"/>
      <c r="ED25" s="308"/>
      <c r="EE25" s="308"/>
      <c r="EF25" s="308"/>
      <c r="EG25" s="46"/>
      <c r="EH25" s="46"/>
      <c r="EI25" s="46"/>
      <c r="EJ25" s="69"/>
      <c r="EK25" s="308"/>
      <c r="EL25" s="308"/>
      <c r="EM25" s="308"/>
      <c r="EN25" s="308"/>
      <c r="EO25" s="46"/>
      <c r="EP25" s="46"/>
      <c r="EQ25" s="46"/>
      <c r="ER25" s="256"/>
      <c r="ES25" s="293"/>
      <c r="ET25" s="293"/>
      <c r="EU25" s="293"/>
      <c r="EV25" s="293"/>
      <c r="EW25" s="46"/>
      <c r="EX25" s="46"/>
      <c r="EY25" s="46"/>
      <c r="EZ25" s="256"/>
      <c r="FA25" s="308"/>
      <c r="FB25" s="308"/>
      <c r="FC25" s="308"/>
      <c r="FD25" s="308"/>
      <c r="FE25" s="46"/>
      <c r="FF25" s="46"/>
      <c r="FG25" s="46"/>
      <c r="FH25" s="256"/>
      <c r="FI25" s="41"/>
      <c r="FJ25" s="41"/>
      <c r="FK25" s="41"/>
      <c r="FL25" s="276"/>
    </row>
    <row r="26" spans="1:168">
      <c r="A26" s="45">
        <v>19</v>
      </c>
      <c r="B26" s="45" t="s">
        <v>210</v>
      </c>
      <c r="C26" s="45">
        <v>4</v>
      </c>
      <c r="D26" s="29" t="s">
        <v>73</v>
      </c>
      <c r="E26" s="30">
        <v>28</v>
      </c>
      <c r="F26" s="30">
        <v>6</v>
      </c>
      <c r="G26" s="246">
        <f>40142.88/1000</f>
        <v>40.142879999999998</v>
      </c>
      <c r="H26" s="45">
        <v>11353.32</v>
      </c>
      <c r="I26" s="45">
        <v>28789.56</v>
      </c>
      <c r="J26" s="397">
        <v>-3.8866899999999953</v>
      </c>
      <c r="K26" s="495">
        <f t="shared" si="1"/>
        <v>36.256190000000004</v>
      </c>
      <c r="L26" s="578"/>
      <c r="M26" s="45">
        <f t="shared" si="2"/>
        <v>0</v>
      </c>
      <c r="N26" s="46">
        <f t="shared" si="3"/>
        <v>36.256190000000004</v>
      </c>
      <c r="O26" s="46">
        <f t="shared" si="0"/>
        <v>15</v>
      </c>
      <c r="P26" s="234"/>
      <c r="Q26" s="46"/>
      <c r="R26" s="450"/>
      <c r="S26" s="257"/>
      <c r="T26" s="46"/>
      <c r="U26" s="46"/>
      <c r="V26" s="46"/>
      <c r="W26" s="46"/>
      <c r="X26" s="196"/>
      <c r="Y26" s="46"/>
      <c r="Z26" s="46"/>
      <c r="AA26" s="46"/>
      <c r="AB26" s="46"/>
      <c r="AC26" s="46"/>
      <c r="AD26" s="46"/>
      <c r="AE26" s="46"/>
      <c r="AF26" s="196"/>
      <c r="AG26" s="46"/>
      <c r="AH26" s="46"/>
      <c r="AI26" s="46"/>
      <c r="AJ26" s="46"/>
      <c r="AK26" s="46"/>
      <c r="AL26" s="46"/>
      <c r="AM26" s="46"/>
      <c r="AN26" s="196"/>
      <c r="AO26" s="438"/>
      <c r="AP26" s="46"/>
      <c r="AQ26" s="368"/>
      <c r="AR26" s="257"/>
      <c r="AS26" s="196"/>
      <c r="AT26" s="46"/>
      <c r="AU26" s="46"/>
      <c r="AV26" s="196"/>
      <c r="AW26" s="257"/>
      <c r="AX26" s="196"/>
      <c r="AY26" s="191"/>
      <c r="AZ26" s="257"/>
      <c r="BA26" s="196"/>
      <c r="BB26" s="46"/>
      <c r="BC26" s="257"/>
      <c r="BD26" s="196"/>
      <c r="BE26" s="191"/>
      <c r="BF26" s="46"/>
      <c r="BG26" s="196"/>
      <c r="BH26" s="46"/>
      <c r="BI26" s="257"/>
      <c r="BJ26" s="196"/>
      <c r="BK26" s="191"/>
      <c r="BL26" s="257"/>
      <c r="BM26" s="196"/>
      <c r="BN26" s="46"/>
      <c r="BO26" s="257"/>
      <c r="BP26" s="196"/>
      <c r="BQ26" s="190"/>
      <c r="BR26" s="46"/>
      <c r="BS26" s="196"/>
      <c r="BT26" s="46"/>
      <c r="BU26" s="257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196"/>
      <c r="CI26" s="46"/>
      <c r="CJ26" s="46"/>
      <c r="CK26" s="46"/>
      <c r="CL26" s="46"/>
      <c r="CM26" s="46"/>
      <c r="CN26" s="196"/>
      <c r="CO26" s="191"/>
      <c r="CP26" s="257"/>
      <c r="CQ26" s="196"/>
      <c r="CR26" s="167"/>
      <c r="CS26" s="257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191"/>
      <c r="DN26" s="46"/>
      <c r="DO26" s="196"/>
      <c r="DP26" s="221" t="s">
        <v>832</v>
      </c>
      <c r="DQ26" s="257">
        <f>DW26+EC26+EJ26+ER26+EZ26+FH26+15000</f>
        <v>15000</v>
      </c>
      <c r="DR26" s="294"/>
      <c r="DS26" s="295"/>
      <c r="DT26" s="386">
        <f t="shared" si="5"/>
        <v>0</v>
      </c>
      <c r="DU26" s="41"/>
      <c r="DV26" s="41"/>
      <c r="DW26" s="256"/>
      <c r="DX26" s="41"/>
      <c r="DY26" s="41"/>
      <c r="DZ26" s="68"/>
      <c r="EA26" s="41"/>
      <c r="EB26" s="41"/>
      <c r="EC26" s="256"/>
      <c r="ED26" s="308"/>
      <c r="EE26" s="308"/>
      <c r="EF26" s="308"/>
      <c r="EG26" s="41"/>
      <c r="EH26" s="41"/>
      <c r="EI26" s="41"/>
      <c r="EJ26" s="69"/>
      <c r="EK26" s="308"/>
      <c r="EL26" s="308"/>
      <c r="EM26" s="308"/>
      <c r="EN26" s="308"/>
      <c r="EO26" s="41"/>
      <c r="EP26" s="41"/>
      <c r="EQ26" s="41"/>
      <c r="ER26" s="256"/>
      <c r="ES26" s="293"/>
      <c r="ET26" s="293"/>
      <c r="EU26" s="293"/>
      <c r="EV26" s="293"/>
      <c r="EW26" s="41"/>
      <c r="EX26" s="41"/>
      <c r="EY26" s="41"/>
      <c r="EZ26" s="256"/>
      <c r="FA26" s="308"/>
      <c r="FB26" s="308"/>
      <c r="FC26" s="308"/>
      <c r="FD26" s="308"/>
      <c r="FE26" s="41"/>
      <c r="FF26" s="41"/>
      <c r="FG26" s="41"/>
      <c r="FH26" s="256"/>
      <c r="FI26" s="41"/>
      <c r="FJ26" s="41"/>
      <c r="FK26" s="41"/>
      <c r="FL26" s="276"/>
    </row>
    <row r="27" spans="1:168">
      <c r="A27" s="45">
        <v>20</v>
      </c>
      <c r="B27" s="45" t="s">
        <v>210</v>
      </c>
      <c r="C27" s="45">
        <v>4</v>
      </c>
      <c r="D27" s="29" t="s">
        <v>73</v>
      </c>
      <c r="E27" s="30">
        <v>34</v>
      </c>
      <c r="F27" s="30">
        <v>6</v>
      </c>
      <c r="G27" s="246">
        <f>9607.968/1000</f>
        <v>9.6079680000000014</v>
      </c>
      <c r="H27" s="45">
        <v>2717.3519999999999</v>
      </c>
      <c r="I27" s="45">
        <v>6890.616</v>
      </c>
      <c r="J27" s="397">
        <v>45.490389999999998</v>
      </c>
      <c r="K27" s="495">
        <f t="shared" si="1"/>
        <v>55.098357999999998</v>
      </c>
      <c r="L27" s="578"/>
      <c r="M27" s="45">
        <f t="shared" si="2"/>
        <v>0</v>
      </c>
      <c r="N27" s="46">
        <f t="shared" si="3"/>
        <v>55.098357999999998</v>
      </c>
      <c r="O27" s="46">
        <f t="shared" si="0"/>
        <v>55</v>
      </c>
      <c r="P27" s="234"/>
      <c r="Q27" s="46"/>
      <c r="R27" s="450"/>
      <c r="S27" s="257"/>
      <c r="T27" s="46"/>
      <c r="U27" s="46"/>
      <c r="V27" s="46"/>
      <c r="W27" s="46"/>
      <c r="X27" s="196"/>
      <c r="Y27" s="46"/>
      <c r="Z27" s="46"/>
      <c r="AA27" s="46"/>
      <c r="AB27" s="46"/>
      <c r="AC27" s="46"/>
      <c r="AD27" s="46"/>
      <c r="AE27" s="46"/>
      <c r="AF27" s="196"/>
      <c r="AG27" s="46"/>
      <c r="AH27" s="46"/>
      <c r="AI27" s="46"/>
      <c r="AJ27" s="46"/>
      <c r="AK27" s="46"/>
      <c r="AL27" s="46"/>
      <c r="AM27" s="46"/>
      <c r="AN27" s="196"/>
      <c r="AO27" s="438"/>
      <c r="AP27" s="218"/>
      <c r="AQ27" s="368"/>
      <c r="AR27" s="257"/>
      <c r="AS27" s="196"/>
      <c r="AT27" s="46"/>
      <c r="AU27" s="46"/>
      <c r="AV27" s="196"/>
      <c r="AW27" s="257"/>
      <c r="AX27" s="196"/>
      <c r="AY27" s="191"/>
      <c r="AZ27" s="257"/>
      <c r="BA27" s="196"/>
      <c r="BB27" s="46"/>
      <c r="BC27" s="257"/>
      <c r="BD27" s="196"/>
      <c r="BE27" s="191"/>
      <c r="BF27" s="46"/>
      <c r="BG27" s="196"/>
      <c r="BH27" s="46"/>
      <c r="BI27" s="257"/>
      <c r="BJ27" s="196"/>
      <c r="BK27" s="191"/>
      <c r="BL27" s="257"/>
      <c r="BM27" s="196"/>
      <c r="BN27" s="46"/>
      <c r="BO27" s="257"/>
      <c r="BP27" s="196"/>
      <c r="BQ27" s="190"/>
      <c r="BR27" s="46"/>
      <c r="BS27" s="196"/>
      <c r="BT27" s="46"/>
      <c r="BU27" s="257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196"/>
      <c r="CI27" s="46"/>
      <c r="CJ27" s="46"/>
      <c r="CK27" s="46"/>
      <c r="CL27" s="46"/>
      <c r="CM27" s="46"/>
      <c r="CN27" s="196"/>
      <c r="CO27" s="191"/>
      <c r="CP27" s="257"/>
      <c r="CQ27" s="196"/>
      <c r="CR27" s="167"/>
      <c r="CS27" s="257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191"/>
      <c r="DN27" s="46"/>
      <c r="DO27" s="196"/>
      <c r="DP27" s="221" t="s">
        <v>531</v>
      </c>
      <c r="DQ27" s="257">
        <f>DW27+EC27+EJ27+ER27+EZ27+FH27+55000</f>
        <v>55000</v>
      </c>
      <c r="DR27" s="294"/>
      <c r="DS27" s="295"/>
      <c r="DT27" s="386">
        <f t="shared" si="5"/>
        <v>0</v>
      </c>
      <c r="DU27" s="41"/>
      <c r="DV27" s="41"/>
      <c r="DW27" s="256"/>
      <c r="DX27" s="41"/>
      <c r="DY27" s="41"/>
      <c r="DZ27" s="68"/>
      <c r="EA27" s="41"/>
      <c r="EB27" s="41"/>
      <c r="EC27" s="256"/>
      <c r="ED27" s="308"/>
      <c r="EE27" s="308"/>
      <c r="EF27" s="308"/>
      <c r="EG27" s="41"/>
      <c r="EH27" s="41"/>
      <c r="EI27" s="41"/>
      <c r="EJ27" s="69"/>
      <c r="EK27" s="308"/>
      <c r="EL27" s="308"/>
      <c r="EM27" s="308"/>
      <c r="EN27" s="308"/>
      <c r="EO27" s="41"/>
      <c r="EP27" s="41"/>
      <c r="EQ27" s="41"/>
      <c r="ER27" s="256"/>
      <c r="ES27" s="293"/>
      <c r="ET27" s="293"/>
      <c r="EU27" s="293"/>
      <c r="EV27" s="293"/>
      <c r="EW27" s="41"/>
      <c r="EX27" s="41"/>
      <c r="EY27" s="41"/>
      <c r="EZ27" s="256"/>
      <c r="FA27" s="308"/>
      <c r="FB27" s="308"/>
      <c r="FC27" s="308"/>
      <c r="FD27" s="308"/>
      <c r="FE27" s="41"/>
      <c r="FF27" s="41"/>
      <c r="FG27" s="41"/>
      <c r="FH27" s="256"/>
      <c r="FI27" s="41"/>
      <c r="FJ27" s="41"/>
      <c r="FK27" s="41"/>
      <c r="FL27" s="276"/>
    </row>
    <row r="28" spans="1:168">
      <c r="A28" s="45">
        <v>21</v>
      </c>
      <c r="B28" s="45" t="s">
        <v>210</v>
      </c>
      <c r="C28" s="45">
        <v>4</v>
      </c>
      <c r="D28" s="29" t="s">
        <v>490</v>
      </c>
      <c r="E28" s="175">
        <v>23</v>
      </c>
      <c r="F28" s="188">
        <v>7</v>
      </c>
      <c r="G28" s="246">
        <f>43996.806/1000</f>
        <v>43.996805999999999</v>
      </c>
      <c r="H28" s="187">
        <v>0</v>
      </c>
      <c r="I28" s="45">
        <v>43996.806000000011</v>
      </c>
      <c r="J28" s="397">
        <v>151.87700000000001</v>
      </c>
      <c r="K28" s="495">
        <f t="shared" si="1"/>
        <v>195.873806</v>
      </c>
      <c r="L28" s="578"/>
      <c r="M28" s="45">
        <f t="shared" si="2"/>
        <v>0</v>
      </c>
      <c r="N28" s="46">
        <f t="shared" ref="N28:N36" si="6">K28-M28</f>
        <v>195.873806</v>
      </c>
      <c r="O28" s="46">
        <f t="shared" si="0"/>
        <v>69.599999999999994</v>
      </c>
      <c r="P28" s="234" t="s">
        <v>254</v>
      </c>
      <c r="Q28" s="46">
        <v>1</v>
      </c>
      <c r="R28" s="450" t="s">
        <v>834</v>
      </c>
      <c r="S28" s="257">
        <v>20000</v>
      </c>
      <c r="T28" s="46"/>
      <c r="U28" s="46"/>
      <c r="V28" s="46"/>
      <c r="W28" s="46"/>
      <c r="X28" s="196"/>
      <c r="Y28" s="46"/>
      <c r="Z28" s="46"/>
      <c r="AA28" s="46"/>
      <c r="AB28" s="46"/>
      <c r="AC28" s="46"/>
      <c r="AD28" s="46"/>
      <c r="AE28" s="46"/>
      <c r="AF28" s="196"/>
      <c r="AG28" s="46"/>
      <c r="AH28" s="46"/>
      <c r="AI28" s="46"/>
      <c r="AJ28" s="46"/>
      <c r="AK28" s="46"/>
      <c r="AL28" s="46"/>
      <c r="AM28" s="46"/>
      <c r="AN28" s="196"/>
      <c r="AO28" s="438"/>
      <c r="AP28" s="46"/>
      <c r="AQ28" s="368"/>
      <c r="AR28" s="257"/>
      <c r="AS28" s="196"/>
      <c r="AT28" s="46"/>
      <c r="AU28" s="46"/>
      <c r="AV28" s="196"/>
      <c r="AW28" s="257"/>
      <c r="AX28" s="196"/>
      <c r="AY28" s="191"/>
      <c r="AZ28" s="257"/>
      <c r="BA28" s="196"/>
      <c r="BB28" s="46"/>
      <c r="BC28" s="257"/>
      <c r="BD28" s="196"/>
      <c r="BE28" s="191"/>
      <c r="BF28" s="46"/>
      <c r="BG28" s="196"/>
      <c r="BH28" s="46"/>
      <c r="BI28" s="257"/>
      <c r="BJ28" s="196"/>
      <c r="BK28" s="191"/>
      <c r="BL28" s="257"/>
      <c r="BM28" s="196"/>
      <c r="BN28" s="46"/>
      <c r="BO28" s="257"/>
      <c r="BP28" s="196"/>
      <c r="BQ28" s="190"/>
      <c r="BR28" s="46"/>
      <c r="BS28" s="196"/>
      <c r="BT28" s="46"/>
      <c r="BU28" s="257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196"/>
      <c r="CI28" s="46"/>
      <c r="CJ28" s="46"/>
      <c r="CK28" s="46"/>
      <c r="CL28" s="46"/>
      <c r="CM28" s="46"/>
      <c r="CN28" s="196"/>
      <c r="CO28" s="191"/>
      <c r="CP28" s="257"/>
      <c r="CQ28" s="196"/>
      <c r="CR28" s="167"/>
      <c r="CS28" s="257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191"/>
      <c r="DN28" s="46"/>
      <c r="DO28" s="218"/>
      <c r="DP28" s="221" t="s">
        <v>833</v>
      </c>
      <c r="DQ28" s="257">
        <f t="shared" si="4"/>
        <v>49600</v>
      </c>
      <c r="DR28" s="294"/>
      <c r="DS28" s="295"/>
      <c r="DT28" s="386">
        <f t="shared" si="5"/>
        <v>0</v>
      </c>
      <c r="DU28" s="46"/>
      <c r="DV28" s="46"/>
      <c r="DW28" s="256"/>
      <c r="DX28" s="46"/>
      <c r="DY28" s="46"/>
      <c r="DZ28" s="68"/>
      <c r="EA28" s="46">
        <v>10</v>
      </c>
      <c r="EB28" s="46">
        <v>62</v>
      </c>
      <c r="EC28" s="256">
        <f>EB28*800</f>
        <v>49600</v>
      </c>
      <c r="ED28" s="308"/>
      <c r="EE28" s="308"/>
      <c r="EF28" s="308"/>
      <c r="EG28" s="46"/>
      <c r="EH28" s="46"/>
      <c r="EI28" s="46"/>
      <c r="EJ28" s="69"/>
      <c r="EK28" s="308"/>
      <c r="EL28" s="308"/>
      <c r="EM28" s="308"/>
      <c r="EN28" s="308"/>
      <c r="EO28" s="46"/>
      <c r="EP28" s="46"/>
      <c r="EQ28" s="46"/>
      <c r="ER28" s="256"/>
      <c r="ES28" s="293"/>
      <c r="ET28" s="293"/>
      <c r="EU28" s="293"/>
      <c r="EV28" s="293"/>
      <c r="EW28" s="46"/>
      <c r="EX28" s="46"/>
      <c r="EY28" s="46"/>
      <c r="EZ28" s="256"/>
      <c r="FA28" s="308"/>
      <c r="FB28" s="308"/>
      <c r="FC28" s="308"/>
      <c r="FD28" s="308"/>
      <c r="FE28" s="46"/>
      <c r="FF28" s="46"/>
      <c r="FG28" s="46"/>
      <c r="FH28" s="256"/>
      <c r="FI28" s="41"/>
      <c r="FJ28" s="41"/>
      <c r="FK28" s="41"/>
      <c r="FL28" s="276"/>
    </row>
    <row r="29" spans="1:168">
      <c r="A29" s="45">
        <v>22</v>
      </c>
      <c r="B29" s="45" t="s">
        <v>210</v>
      </c>
      <c r="C29" s="45">
        <v>4</v>
      </c>
      <c r="D29" s="29" t="s">
        <v>74</v>
      </c>
      <c r="E29" s="30" t="s">
        <v>75</v>
      </c>
      <c r="F29" s="30">
        <v>7</v>
      </c>
      <c r="G29" s="246">
        <f>43944.516/1000</f>
        <v>43.944516</v>
      </c>
      <c r="H29" s="45">
        <v>0</v>
      </c>
      <c r="I29" s="45">
        <v>43944.515999999996</v>
      </c>
      <c r="J29" s="397">
        <v>172.24553</v>
      </c>
      <c r="K29" s="495">
        <f t="shared" si="1"/>
        <v>216.190046</v>
      </c>
      <c r="L29" s="578"/>
      <c r="M29" s="45">
        <f t="shared" si="2"/>
        <v>0</v>
      </c>
      <c r="N29" s="46">
        <f t="shared" si="6"/>
        <v>216.190046</v>
      </c>
      <c r="O29" s="46">
        <f t="shared" si="0"/>
        <v>216</v>
      </c>
      <c r="P29" s="234"/>
      <c r="Q29" s="46"/>
      <c r="R29" s="450"/>
      <c r="S29" s="257"/>
      <c r="T29" s="46"/>
      <c r="U29" s="46"/>
      <c r="V29" s="46"/>
      <c r="W29" s="46"/>
      <c r="X29" s="196"/>
      <c r="Y29" s="46"/>
      <c r="Z29" s="46"/>
      <c r="AA29" s="46"/>
      <c r="AB29" s="46"/>
      <c r="AC29" s="46"/>
      <c r="AD29" s="46"/>
      <c r="AE29" s="46"/>
      <c r="AF29" s="196"/>
      <c r="AG29" s="46"/>
      <c r="AH29" s="46"/>
      <c r="AI29" s="46"/>
      <c r="AJ29" s="46"/>
      <c r="AK29" s="46"/>
      <c r="AL29" s="46"/>
      <c r="AM29" s="46"/>
      <c r="AN29" s="196"/>
      <c r="AO29" s="438"/>
      <c r="AP29" s="46"/>
      <c r="AQ29" s="368"/>
      <c r="AR29" s="257"/>
      <c r="AS29" s="196"/>
      <c r="AT29" s="46"/>
      <c r="AU29" s="46"/>
      <c r="AV29" s="196"/>
      <c r="AW29" s="257"/>
      <c r="AX29" s="196"/>
      <c r="AY29" s="191"/>
      <c r="AZ29" s="257"/>
      <c r="BA29" s="196"/>
      <c r="BB29" s="46"/>
      <c r="BC29" s="257"/>
      <c r="BD29" s="196"/>
      <c r="BE29" s="191"/>
      <c r="BF29" s="46"/>
      <c r="BG29" s="196"/>
      <c r="BH29" s="46"/>
      <c r="BI29" s="257"/>
      <c r="BJ29" s="196"/>
      <c r="BK29" s="191"/>
      <c r="BL29" s="257"/>
      <c r="BM29" s="196"/>
      <c r="BN29" s="46"/>
      <c r="BO29" s="257"/>
      <c r="BP29" s="196"/>
      <c r="BQ29" s="190"/>
      <c r="BR29" s="46"/>
      <c r="BS29" s="196"/>
      <c r="BT29" s="46"/>
      <c r="BU29" s="257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196"/>
      <c r="CI29" s="46"/>
      <c r="CJ29" s="46"/>
      <c r="CK29" s="46"/>
      <c r="CL29" s="46"/>
      <c r="CM29" s="46"/>
      <c r="CN29" s="196"/>
      <c r="CO29" s="191"/>
      <c r="CP29" s="257"/>
      <c r="CQ29" s="196"/>
      <c r="CR29" s="167"/>
      <c r="CS29" s="257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191"/>
      <c r="DN29" s="46"/>
      <c r="DO29" s="196"/>
      <c r="DP29" s="221" t="s">
        <v>531</v>
      </c>
      <c r="DQ29" s="257">
        <f>DW29+EC29+EJ29+ER29+EZ29+FH29+216000</f>
        <v>216000</v>
      </c>
      <c r="DR29" s="294"/>
      <c r="DS29" s="295"/>
      <c r="DT29" s="386">
        <f t="shared" si="5"/>
        <v>0</v>
      </c>
      <c r="DU29" s="41"/>
      <c r="DV29" s="41"/>
      <c r="DW29" s="256"/>
      <c r="DX29" s="41"/>
      <c r="DY29" s="41"/>
      <c r="DZ29" s="68"/>
      <c r="EA29" s="41"/>
      <c r="EB29" s="41"/>
      <c r="EC29" s="256"/>
      <c r="ED29" s="308"/>
      <c r="EE29" s="308"/>
      <c r="EF29" s="308"/>
      <c r="EG29" s="41"/>
      <c r="EH29" s="41"/>
      <c r="EI29" s="41"/>
      <c r="EJ29" s="69"/>
      <c r="EK29" s="308"/>
      <c r="EL29" s="308"/>
      <c r="EM29" s="308"/>
      <c r="EN29" s="308"/>
      <c r="EO29" s="41"/>
      <c r="EP29" s="41"/>
      <c r="EQ29" s="41"/>
      <c r="ER29" s="256"/>
      <c r="ES29" s="293"/>
      <c r="ET29" s="293"/>
      <c r="EU29" s="293"/>
      <c r="EV29" s="293"/>
      <c r="EW29" s="41"/>
      <c r="EX29" s="41"/>
      <c r="EY29" s="41"/>
      <c r="EZ29" s="256"/>
      <c r="FA29" s="308"/>
      <c r="FB29" s="308"/>
      <c r="FC29" s="308"/>
      <c r="FD29" s="308"/>
      <c r="FE29" s="41"/>
      <c r="FF29" s="41"/>
      <c r="FG29" s="41"/>
      <c r="FH29" s="256"/>
      <c r="FI29" s="41"/>
      <c r="FJ29" s="41"/>
      <c r="FK29" s="41"/>
      <c r="FL29" s="276"/>
    </row>
    <row r="30" spans="1:168">
      <c r="A30" s="45">
        <v>23</v>
      </c>
      <c r="B30" s="45" t="s">
        <v>210</v>
      </c>
      <c r="C30" s="45">
        <v>4</v>
      </c>
      <c r="D30" s="29" t="s">
        <v>490</v>
      </c>
      <c r="E30" s="175">
        <v>25</v>
      </c>
      <c r="F30" s="188">
        <v>7</v>
      </c>
      <c r="G30" s="246">
        <f>43902.684/1000</f>
        <v>43.902684000000001</v>
      </c>
      <c r="H30" s="45">
        <v>0</v>
      </c>
      <c r="I30" s="45">
        <v>43902.683999999994</v>
      </c>
      <c r="J30" s="397">
        <v>20.267379999999999</v>
      </c>
      <c r="K30" s="495">
        <f t="shared" si="1"/>
        <v>64.170063999999996</v>
      </c>
      <c r="L30" s="578"/>
      <c r="M30" s="45">
        <f t="shared" si="2"/>
        <v>0</v>
      </c>
      <c r="N30" s="46">
        <f t="shared" si="6"/>
        <v>64.170063999999996</v>
      </c>
      <c r="O30" s="46">
        <f t="shared" si="0"/>
        <v>49.6</v>
      </c>
      <c r="P30" s="234"/>
      <c r="Q30" s="46"/>
      <c r="R30" s="450"/>
      <c r="S30" s="257"/>
      <c r="T30" s="46"/>
      <c r="U30" s="46"/>
      <c r="V30" s="46"/>
      <c r="W30" s="46"/>
      <c r="X30" s="196"/>
      <c r="Y30" s="46"/>
      <c r="Z30" s="46"/>
      <c r="AA30" s="46"/>
      <c r="AB30" s="46"/>
      <c r="AC30" s="46"/>
      <c r="AD30" s="46"/>
      <c r="AE30" s="46"/>
      <c r="AF30" s="196"/>
      <c r="AG30" s="46"/>
      <c r="AH30" s="46"/>
      <c r="AI30" s="46"/>
      <c r="AJ30" s="46"/>
      <c r="AK30" s="46"/>
      <c r="AL30" s="46"/>
      <c r="AM30" s="46"/>
      <c r="AN30" s="196"/>
      <c r="AO30" s="438"/>
      <c r="AP30" s="46"/>
      <c r="AQ30" s="368"/>
      <c r="AR30" s="257"/>
      <c r="AS30" s="196"/>
      <c r="AT30" s="46"/>
      <c r="AU30" s="46"/>
      <c r="AV30" s="196"/>
      <c r="AW30" s="257"/>
      <c r="AX30" s="196"/>
      <c r="AY30" s="191"/>
      <c r="AZ30" s="257"/>
      <c r="BA30" s="196"/>
      <c r="BB30" s="46"/>
      <c r="BC30" s="257"/>
      <c r="BD30" s="196"/>
      <c r="BE30" s="191"/>
      <c r="BF30" s="46"/>
      <c r="BG30" s="196"/>
      <c r="BH30" s="46"/>
      <c r="BI30" s="257"/>
      <c r="BJ30" s="196"/>
      <c r="BK30" s="191"/>
      <c r="BL30" s="257"/>
      <c r="BM30" s="196"/>
      <c r="BN30" s="46"/>
      <c r="BO30" s="257"/>
      <c r="BP30" s="196"/>
      <c r="BQ30" s="190"/>
      <c r="BR30" s="46"/>
      <c r="BS30" s="196"/>
      <c r="BT30" s="46"/>
      <c r="BU30" s="257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196"/>
      <c r="CI30" s="46"/>
      <c r="CJ30" s="46"/>
      <c r="CK30" s="46"/>
      <c r="CL30" s="46"/>
      <c r="CM30" s="46"/>
      <c r="CN30" s="196"/>
      <c r="CO30" s="191"/>
      <c r="CP30" s="257"/>
      <c r="CQ30" s="196"/>
      <c r="CR30" s="167"/>
      <c r="CS30" s="257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191"/>
      <c r="DN30" s="46"/>
      <c r="DO30" s="218"/>
      <c r="DP30" s="221" t="s">
        <v>835</v>
      </c>
      <c r="DQ30" s="257">
        <f t="shared" si="4"/>
        <v>49600</v>
      </c>
      <c r="DR30" s="294"/>
      <c r="DS30" s="295"/>
      <c r="DT30" s="386">
        <f t="shared" si="5"/>
        <v>0</v>
      </c>
      <c r="DU30" s="46"/>
      <c r="DV30" s="46"/>
      <c r="DW30" s="256"/>
      <c r="DX30" s="46"/>
      <c r="DY30" s="46"/>
      <c r="DZ30" s="68"/>
      <c r="EA30" s="41">
        <v>10</v>
      </c>
      <c r="EB30" s="41">
        <v>62</v>
      </c>
      <c r="EC30" s="256">
        <f>EB30*800</f>
        <v>49600</v>
      </c>
      <c r="ED30" s="308"/>
      <c r="EE30" s="308"/>
      <c r="EF30" s="308"/>
      <c r="EG30" s="46"/>
      <c r="EH30" s="46"/>
      <c r="EI30" s="46"/>
      <c r="EJ30" s="69"/>
      <c r="EK30" s="308"/>
      <c r="EL30" s="308"/>
      <c r="EM30" s="308"/>
      <c r="EN30" s="308"/>
      <c r="EO30" s="46"/>
      <c r="EP30" s="46"/>
      <c r="EQ30" s="46"/>
      <c r="ER30" s="256"/>
      <c r="ES30" s="293"/>
      <c r="ET30" s="293"/>
      <c r="EU30" s="293"/>
      <c r="EV30" s="293"/>
      <c r="EW30" s="46"/>
      <c r="EX30" s="46"/>
      <c r="EY30" s="46"/>
      <c r="EZ30" s="256"/>
      <c r="FA30" s="308"/>
      <c r="FB30" s="308"/>
      <c r="FC30" s="308"/>
      <c r="FD30" s="308"/>
      <c r="FE30" s="46"/>
      <c r="FF30" s="46"/>
      <c r="FG30" s="46"/>
      <c r="FH30" s="256"/>
      <c r="FI30" s="41"/>
      <c r="FJ30" s="41"/>
      <c r="FK30" s="41"/>
      <c r="FL30" s="276"/>
    </row>
    <row r="31" spans="1:168">
      <c r="A31" s="45">
        <v>24</v>
      </c>
      <c r="B31" s="45" t="s">
        <v>210</v>
      </c>
      <c r="C31" s="45">
        <v>4</v>
      </c>
      <c r="D31" s="29" t="s">
        <v>74</v>
      </c>
      <c r="E31" s="30">
        <v>27</v>
      </c>
      <c r="F31" s="30">
        <v>7</v>
      </c>
      <c r="G31" s="246">
        <f>45032.148/1000</f>
        <v>45.032147999999999</v>
      </c>
      <c r="H31" s="45">
        <v>0</v>
      </c>
      <c r="I31" s="45">
        <v>45032.148000000001</v>
      </c>
      <c r="J31" s="397">
        <v>75.417910000000006</v>
      </c>
      <c r="K31" s="495">
        <f t="shared" si="1"/>
        <v>120.45005800000001</v>
      </c>
      <c r="L31" s="578"/>
      <c r="M31" s="45">
        <f t="shared" si="2"/>
        <v>0</v>
      </c>
      <c r="N31" s="46">
        <f t="shared" si="6"/>
        <v>120.45005800000001</v>
      </c>
      <c r="O31" s="46">
        <f t="shared" si="0"/>
        <v>120</v>
      </c>
      <c r="P31" s="234"/>
      <c r="Q31" s="46"/>
      <c r="R31" s="450"/>
      <c r="S31" s="257"/>
      <c r="T31" s="46"/>
      <c r="U31" s="46"/>
      <c r="V31" s="46"/>
      <c r="W31" s="46"/>
      <c r="X31" s="196"/>
      <c r="Y31" s="46"/>
      <c r="Z31" s="46"/>
      <c r="AA31" s="46"/>
      <c r="AB31" s="46"/>
      <c r="AC31" s="46"/>
      <c r="AD31" s="46"/>
      <c r="AE31" s="46"/>
      <c r="AF31" s="196"/>
      <c r="AG31" s="46"/>
      <c r="AH31" s="46"/>
      <c r="AI31" s="46"/>
      <c r="AJ31" s="46"/>
      <c r="AK31" s="46"/>
      <c r="AL31" s="46"/>
      <c r="AM31" s="46"/>
      <c r="AN31" s="196"/>
      <c r="AO31" s="438"/>
      <c r="AP31" s="46"/>
      <c r="AQ31" s="368"/>
      <c r="AR31" s="257"/>
      <c r="AS31" s="196"/>
      <c r="AT31" s="46"/>
      <c r="AU31" s="46"/>
      <c r="AV31" s="196"/>
      <c r="AW31" s="257"/>
      <c r="AX31" s="196"/>
      <c r="AY31" s="191"/>
      <c r="AZ31" s="257"/>
      <c r="BA31" s="196"/>
      <c r="BB31" s="46"/>
      <c r="BC31" s="257"/>
      <c r="BD31" s="196"/>
      <c r="BE31" s="191"/>
      <c r="BF31" s="46"/>
      <c r="BG31" s="196"/>
      <c r="BH31" s="46"/>
      <c r="BI31" s="257"/>
      <c r="BJ31" s="196"/>
      <c r="BK31" s="191"/>
      <c r="BL31" s="257"/>
      <c r="BM31" s="196"/>
      <c r="BN31" s="46"/>
      <c r="BO31" s="257"/>
      <c r="BP31" s="196"/>
      <c r="BQ31" s="190"/>
      <c r="BR31" s="46"/>
      <c r="BS31" s="196"/>
      <c r="BT31" s="46"/>
      <c r="BU31" s="257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196"/>
      <c r="CI31" s="46"/>
      <c r="CJ31" s="46"/>
      <c r="CK31" s="46"/>
      <c r="CL31" s="46"/>
      <c r="CM31" s="46"/>
      <c r="CN31" s="196"/>
      <c r="CO31" s="191"/>
      <c r="CP31" s="257"/>
      <c r="CQ31" s="196"/>
      <c r="CR31" s="167"/>
      <c r="CS31" s="257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191"/>
      <c r="DN31" s="46"/>
      <c r="DO31" s="196"/>
      <c r="DP31" s="221" t="s">
        <v>531</v>
      </c>
      <c r="DQ31" s="257">
        <f>DW31+EC31+EJ31+ER31+EZ31+FH31+120000</f>
        <v>120000</v>
      </c>
      <c r="DR31" s="294"/>
      <c r="DS31" s="295"/>
      <c r="DT31" s="386">
        <f t="shared" si="5"/>
        <v>0</v>
      </c>
      <c r="DU31" s="41"/>
      <c r="DV31" s="41"/>
      <c r="DW31" s="256"/>
      <c r="DX31" s="41"/>
      <c r="DY31" s="41"/>
      <c r="DZ31" s="68"/>
      <c r="EA31" s="41"/>
      <c r="EB31" s="41"/>
      <c r="EC31" s="256"/>
      <c r="ED31" s="308"/>
      <c r="EE31" s="308"/>
      <c r="EF31" s="308"/>
      <c r="EG31" s="41"/>
      <c r="EH31" s="41"/>
      <c r="EI31" s="41"/>
      <c r="EJ31" s="69"/>
      <c r="EK31" s="308"/>
      <c r="EL31" s="308"/>
      <c r="EM31" s="308"/>
      <c r="EN31" s="308"/>
      <c r="EO31" s="41"/>
      <c r="EP31" s="41"/>
      <c r="EQ31" s="41"/>
      <c r="ER31" s="256"/>
      <c r="ES31" s="293"/>
      <c r="ET31" s="293"/>
      <c r="EU31" s="293"/>
      <c r="EV31" s="293"/>
      <c r="EW31" s="41"/>
      <c r="EX31" s="41"/>
      <c r="EY31" s="41"/>
      <c r="EZ31" s="256"/>
      <c r="FA31" s="308"/>
      <c r="FB31" s="308"/>
      <c r="FC31" s="308"/>
      <c r="FD31" s="308"/>
      <c r="FE31" s="41"/>
      <c r="FF31" s="41"/>
      <c r="FG31" s="41"/>
      <c r="FH31" s="256"/>
      <c r="FI31" s="41"/>
      <c r="FJ31" s="41"/>
      <c r="FK31" s="41"/>
      <c r="FL31" s="276"/>
    </row>
    <row r="32" spans="1:168">
      <c r="A32" s="45">
        <v>25</v>
      </c>
      <c r="B32" s="45" t="s">
        <v>210</v>
      </c>
      <c r="C32" s="45">
        <v>4</v>
      </c>
      <c r="D32" s="29" t="s">
        <v>490</v>
      </c>
      <c r="E32" s="175">
        <v>29</v>
      </c>
      <c r="F32" s="188">
        <v>7</v>
      </c>
      <c r="G32" s="246">
        <f>20735.0766/1000</f>
        <v>20.735076599999999</v>
      </c>
      <c r="H32" s="45">
        <v>0</v>
      </c>
      <c r="I32" s="45">
        <v>20735.0766</v>
      </c>
      <c r="J32" s="397">
        <v>59.136918999999999</v>
      </c>
      <c r="K32" s="495">
        <f t="shared" si="1"/>
        <v>79.871995599999991</v>
      </c>
      <c r="L32" s="578"/>
      <c r="M32" s="45">
        <f t="shared" si="2"/>
        <v>0</v>
      </c>
      <c r="N32" s="46">
        <f t="shared" si="6"/>
        <v>79.871995599999991</v>
      </c>
      <c r="O32" s="46">
        <f t="shared" si="0"/>
        <v>79</v>
      </c>
      <c r="P32" s="234"/>
      <c r="Q32" s="46"/>
      <c r="R32" s="450"/>
      <c r="S32" s="257"/>
      <c r="T32" s="46"/>
      <c r="U32" s="46"/>
      <c r="V32" s="46"/>
      <c r="W32" s="46"/>
      <c r="X32" s="196"/>
      <c r="Y32" s="46"/>
      <c r="Z32" s="46"/>
      <c r="AA32" s="46"/>
      <c r="AB32" s="46"/>
      <c r="AC32" s="46"/>
      <c r="AD32" s="46"/>
      <c r="AE32" s="46"/>
      <c r="AF32" s="196"/>
      <c r="AG32" s="46"/>
      <c r="AH32" s="46"/>
      <c r="AI32" s="46"/>
      <c r="AJ32" s="46"/>
      <c r="AK32" s="46"/>
      <c r="AL32" s="46"/>
      <c r="AM32" s="46"/>
      <c r="AN32" s="196"/>
      <c r="AO32" s="438"/>
      <c r="AP32" s="46"/>
      <c r="AQ32" s="368"/>
      <c r="AR32" s="257"/>
      <c r="AS32" s="196"/>
      <c r="AT32" s="46"/>
      <c r="AU32" s="46"/>
      <c r="AV32" s="196"/>
      <c r="AW32" s="257"/>
      <c r="AX32" s="196"/>
      <c r="AY32" s="191"/>
      <c r="AZ32" s="257"/>
      <c r="BA32" s="196"/>
      <c r="BB32" s="46"/>
      <c r="BC32" s="257"/>
      <c r="BD32" s="196"/>
      <c r="BE32" s="191"/>
      <c r="BF32" s="46"/>
      <c r="BG32" s="196"/>
      <c r="BH32" s="46"/>
      <c r="BI32" s="257"/>
      <c r="BJ32" s="196"/>
      <c r="BK32" s="191"/>
      <c r="BL32" s="257"/>
      <c r="BM32" s="196"/>
      <c r="BN32" s="46"/>
      <c r="BO32" s="257"/>
      <c r="BP32" s="196"/>
      <c r="BQ32" s="190"/>
      <c r="BR32" s="46"/>
      <c r="BS32" s="196"/>
      <c r="BT32" s="46"/>
      <c r="BU32" s="257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196"/>
      <c r="CI32" s="46"/>
      <c r="CJ32" s="46"/>
      <c r="CK32" s="46"/>
      <c r="CL32" s="46"/>
      <c r="CM32" s="46"/>
      <c r="CN32" s="196"/>
      <c r="CO32" s="191"/>
      <c r="CP32" s="257"/>
      <c r="CQ32" s="196"/>
      <c r="CR32" s="167"/>
      <c r="CS32" s="257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191"/>
      <c r="DN32" s="46"/>
      <c r="DO32" s="196"/>
      <c r="DP32" s="221" t="s">
        <v>531</v>
      </c>
      <c r="DQ32" s="257">
        <f>DW32+EC32+EJ32+ER32+EZ32+FH32+79000</f>
        <v>79000</v>
      </c>
      <c r="DR32" s="294"/>
      <c r="DS32" s="295"/>
      <c r="DT32" s="386">
        <f t="shared" si="5"/>
        <v>0</v>
      </c>
      <c r="DU32" s="46"/>
      <c r="DV32" s="46"/>
      <c r="DW32" s="256"/>
      <c r="DX32" s="46"/>
      <c r="DY32" s="46"/>
      <c r="DZ32" s="68"/>
      <c r="EA32" s="46"/>
      <c r="EB32" s="46"/>
      <c r="EC32" s="256"/>
      <c r="ED32" s="308"/>
      <c r="EE32" s="308"/>
      <c r="EF32" s="308"/>
      <c r="EG32" s="46"/>
      <c r="EH32" s="46"/>
      <c r="EI32" s="46"/>
      <c r="EJ32" s="69"/>
      <c r="EK32" s="308"/>
      <c r="EL32" s="308"/>
      <c r="EM32" s="308"/>
      <c r="EN32" s="308"/>
      <c r="EO32" s="46"/>
      <c r="EP32" s="46"/>
      <c r="EQ32" s="46"/>
      <c r="ER32" s="256"/>
      <c r="ES32" s="293"/>
      <c r="ET32" s="293"/>
      <c r="EU32" s="293"/>
      <c r="EV32" s="293"/>
      <c r="EW32" s="46"/>
      <c r="EX32" s="46"/>
      <c r="EY32" s="46"/>
      <c r="EZ32" s="256"/>
      <c r="FA32" s="308"/>
      <c r="FB32" s="308"/>
      <c r="FC32" s="308"/>
      <c r="FD32" s="308"/>
      <c r="FE32" s="46"/>
      <c r="FF32" s="46"/>
      <c r="FG32" s="46"/>
      <c r="FH32" s="256"/>
      <c r="FI32" s="41"/>
      <c r="FJ32" s="41"/>
      <c r="FK32" s="41"/>
      <c r="FL32" s="276"/>
    </row>
    <row r="33" spans="1:168">
      <c r="A33" s="45">
        <v>26</v>
      </c>
      <c r="B33" s="45" t="s">
        <v>210</v>
      </c>
      <c r="C33" s="45">
        <v>4</v>
      </c>
      <c r="D33" s="29" t="s">
        <v>490</v>
      </c>
      <c r="E33" s="175">
        <v>31</v>
      </c>
      <c r="F33" s="188">
        <v>7</v>
      </c>
      <c r="G33" s="246">
        <f>43003.296/1000</f>
        <v>43.003295999999999</v>
      </c>
      <c r="H33" s="45">
        <v>0</v>
      </c>
      <c r="I33" s="45">
        <v>43003.296000000002</v>
      </c>
      <c r="J33" s="397">
        <v>131.44751000000002</v>
      </c>
      <c r="K33" s="495">
        <f t="shared" si="1"/>
        <v>174.45080600000003</v>
      </c>
      <c r="L33" s="578"/>
      <c r="M33" s="45">
        <f t="shared" si="2"/>
        <v>0</v>
      </c>
      <c r="N33" s="46">
        <f t="shared" si="6"/>
        <v>174.45080600000003</v>
      </c>
      <c r="O33" s="46">
        <f t="shared" si="0"/>
        <v>174</v>
      </c>
      <c r="P33" s="234"/>
      <c r="Q33" s="46"/>
      <c r="R33" s="450"/>
      <c r="S33" s="257"/>
      <c r="T33" s="46"/>
      <c r="U33" s="46"/>
      <c r="V33" s="46"/>
      <c r="W33" s="46"/>
      <c r="X33" s="196"/>
      <c r="Y33" s="46"/>
      <c r="Z33" s="46"/>
      <c r="AA33" s="46"/>
      <c r="AB33" s="46"/>
      <c r="AC33" s="46"/>
      <c r="AD33" s="46"/>
      <c r="AE33" s="46"/>
      <c r="AF33" s="196"/>
      <c r="AG33" s="46"/>
      <c r="AH33" s="46"/>
      <c r="AI33" s="46"/>
      <c r="AJ33" s="46"/>
      <c r="AK33" s="46"/>
      <c r="AL33" s="46"/>
      <c r="AM33" s="46"/>
      <c r="AN33" s="196"/>
      <c r="AO33" s="438"/>
      <c r="AP33" s="46"/>
      <c r="AQ33" s="368"/>
      <c r="AR33" s="257"/>
      <c r="AS33" s="196"/>
      <c r="AT33" s="46"/>
      <c r="AU33" s="46"/>
      <c r="AV33" s="196"/>
      <c r="AW33" s="257"/>
      <c r="AX33" s="196"/>
      <c r="AY33" s="191"/>
      <c r="AZ33" s="257"/>
      <c r="BA33" s="196"/>
      <c r="BB33" s="46"/>
      <c r="BC33" s="257"/>
      <c r="BD33" s="196"/>
      <c r="BE33" s="191"/>
      <c r="BF33" s="46"/>
      <c r="BG33" s="196"/>
      <c r="BH33" s="46"/>
      <c r="BI33" s="257"/>
      <c r="BJ33" s="196"/>
      <c r="BK33" s="191"/>
      <c r="BL33" s="257"/>
      <c r="BM33" s="196"/>
      <c r="BN33" s="46"/>
      <c r="BO33" s="257"/>
      <c r="BP33" s="196"/>
      <c r="BQ33" s="190"/>
      <c r="BR33" s="46"/>
      <c r="BS33" s="196"/>
      <c r="BT33" s="46"/>
      <c r="BU33" s="257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196"/>
      <c r="CI33" s="46"/>
      <c r="CJ33" s="46"/>
      <c r="CK33" s="46"/>
      <c r="CL33" s="46"/>
      <c r="CM33" s="46"/>
      <c r="CN33" s="196"/>
      <c r="CO33" s="191"/>
      <c r="CP33" s="257"/>
      <c r="CQ33" s="196"/>
      <c r="CR33" s="167"/>
      <c r="CS33" s="257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191"/>
      <c r="DN33" s="46"/>
      <c r="DO33" s="196"/>
      <c r="DP33" s="221" t="s">
        <v>531</v>
      </c>
      <c r="DQ33" s="257">
        <f>DW33+EC33+EJ33+ER33+EZ33+FH33+174000</f>
        <v>174000</v>
      </c>
      <c r="DR33" s="294"/>
      <c r="DS33" s="295"/>
      <c r="DT33" s="386">
        <f t="shared" si="5"/>
        <v>0</v>
      </c>
      <c r="DU33" s="46"/>
      <c r="DV33" s="46"/>
      <c r="DW33" s="256"/>
      <c r="DX33" s="46"/>
      <c r="DY33" s="46"/>
      <c r="DZ33" s="68"/>
      <c r="EA33" s="46"/>
      <c r="EB33" s="46"/>
      <c r="EC33" s="256"/>
      <c r="ED33" s="308"/>
      <c r="EE33" s="308"/>
      <c r="EF33" s="308"/>
      <c r="EG33" s="46"/>
      <c r="EH33" s="46"/>
      <c r="EI33" s="46"/>
      <c r="EJ33" s="69"/>
      <c r="EK33" s="308"/>
      <c r="EL33" s="308"/>
      <c r="EM33" s="308"/>
      <c r="EN33" s="308"/>
      <c r="EO33" s="46"/>
      <c r="EP33" s="46"/>
      <c r="EQ33" s="46"/>
      <c r="ER33" s="256"/>
      <c r="ES33" s="293"/>
      <c r="ET33" s="293"/>
      <c r="EU33" s="293"/>
      <c r="EV33" s="293"/>
      <c r="EW33" s="46"/>
      <c r="EX33" s="46"/>
      <c r="EY33" s="46"/>
      <c r="EZ33" s="256"/>
      <c r="FA33" s="308"/>
      <c r="FB33" s="308"/>
      <c r="FC33" s="308"/>
      <c r="FD33" s="308"/>
      <c r="FE33" s="46"/>
      <c r="FF33" s="46"/>
      <c r="FG33" s="46"/>
      <c r="FH33" s="256"/>
      <c r="FI33" s="41"/>
      <c r="FJ33" s="41"/>
      <c r="FK33" s="41"/>
      <c r="FL33" s="276"/>
    </row>
    <row r="34" spans="1:168">
      <c r="A34" s="45">
        <v>27</v>
      </c>
      <c r="B34" s="45" t="s">
        <v>210</v>
      </c>
      <c r="C34" s="45">
        <v>4</v>
      </c>
      <c r="D34" s="29" t="s">
        <v>490</v>
      </c>
      <c r="E34" s="175">
        <v>33</v>
      </c>
      <c r="F34" s="188">
        <v>7</v>
      </c>
      <c r="G34" s="246">
        <f>45073.98/1000</f>
        <v>45.073980000000006</v>
      </c>
      <c r="H34" s="45">
        <v>0</v>
      </c>
      <c r="I34" s="45">
        <v>45073.979999999996</v>
      </c>
      <c r="J34" s="397">
        <v>94.045579999999987</v>
      </c>
      <c r="K34" s="495">
        <f t="shared" si="1"/>
        <v>139.11955999999998</v>
      </c>
      <c r="L34" s="578"/>
      <c r="M34" s="45">
        <f t="shared" si="2"/>
        <v>0</v>
      </c>
      <c r="N34" s="46">
        <f t="shared" si="6"/>
        <v>139.11955999999998</v>
      </c>
      <c r="O34" s="46">
        <f t="shared" si="0"/>
        <v>139</v>
      </c>
      <c r="P34" s="234"/>
      <c r="Q34" s="46"/>
      <c r="R34" s="450"/>
      <c r="S34" s="257"/>
      <c r="T34" s="46"/>
      <c r="U34" s="46"/>
      <c r="V34" s="46"/>
      <c r="W34" s="46"/>
      <c r="X34" s="196"/>
      <c r="Y34" s="46"/>
      <c r="Z34" s="46"/>
      <c r="AA34" s="46"/>
      <c r="AB34" s="46"/>
      <c r="AC34" s="46"/>
      <c r="AD34" s="46"/>
      <c r="AE34" s="46"/>
      <c r="AF34" s="196"/>
      <c r="AG34" s="46"/>
      <c r="AH34" s="46"/>
      <c r="AI34" s="46"/>
      <c r="AJ34" s="46"/>
      <c r="AK34" s="46"/>
      <c r="AL34" s="46"/>
      <c r="AM34" s="46"/>
      <c r="AN34" s="196"/>
      <c r="AO34" s="438"/>
      <c r="AP34" s="46"/>
      <c r="AQ34" s="368"/>
      <c r="AR34" s="257"/>
      <c r="AS34" s="196"/>
      <c r="AT34" s="46"/>
      <c r="AU34" s="46"/>
      <c r="AV34" s="196"/>
      <c r="AW34" s="257"/>
      <c r="AX34" s="196"/>
      <c r="AY34" s="191"/>
      <c r="AZ34" s="257"/>
      <c r="BA34" s="196"/>
      <c r="BB34" s="46"/>
      <c r="BC34" s="257"/>
      <c r="BD34" s="196"/>
      <c r="BE34" s="191"/>
      <c r="BF34" s="46"/>
      <c r="BG34" s="196"/>
      <c r="BH34" s="46"/>
      <c r="BI34" s="257"/>
      <c r="BJ34" s="196"/>
      <c r="BK34" s="191"/>
      <c r="BL34" s="257"/>
      <c r="BM34" s="196"/>
      <c r="BN34" s="46"/>
      <c r="BO34" s="257"/>
      <c r="BP34" s="196"/>
      <c r="BQ34" s="190"/>
      <c r="BR34" s="46"/>
      <c r="BS34" s="196"/>
      <c r="BT34" s="46"/>
      <c r="BU34" s="257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196"/>
      <c r="CI34" s="46"/>
      <c r="CJ34" s="46"/>
      <c r="CK34" s="46"/>
      <c r="CL34" s="46"/>
      <c r="CM34" s="46"/>
      <c r="CN34" s="196"/>
      <c r="CO34" s="191"/>
      <c r="CP34" s="257"/>
      <c r="CQ34" s="196"/>
      <c r="CR34" s="167"/>
      <c r="CS34" s="257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191"/>
      <c r="DN34" s="46"/>
      <c r="DO34" s="196"/>
      <c r="DP34" s="221" t="s">
        <v>531</v>
      </c>
      <c r="DQ34" s="257">
        <f>DW34+EC34+EJ34+ER34+EZ34+FH34+139000</f>
        <v>139000</v>
      </c>
      <c r="DR34" s="294"/>
      <c r="DS34" s="295"/>
      <c r="DT34" s="386">
        <f t="shared" si="5"/>
        <v>0</v>
      </c>
      <c r="DU34" s="41"/>
      <c r="DV34" s="41"/>
      <c r="DW34" s="256"/>
      <c r="DX34" s="41"/>
      <c r="DY34" s="41"/>
      <c r="DZ34" s="68"/>
      <c r="EA34" s="41"/>
      <c r="EB34" s="41"/>
      <c r="EC34" s="256"/>
      <c r="ED34" s="308"/>
      <c r="EE34" s="308"/>
      <c r="EF34" s="308"/>
      <c r="EG34" s="41"/>
      <c r="EH34" s="41"/>
      <c r="EI34" s="41"/>
      <c r="EJ34" s="69"/>
      <c r="EK34" s="308"/>
      <c r="EL34" s="308"/>
      <c r="EM34" s="308"/>
      <c r="EN34" s="308"/>
      <c r="EO34" s="41"/>
      <c r="EP34" s="41"/>
      <c r="EQ34" s="41"/>
      <c r="ER34" s="256"/>
      <c r="ES34" s="293"/>
      <c r="ET34" s="293"/>
      <c r="EU34" s="293"/>
      <c r="EV34" s="293"/>
      <c r="EW34" s="41"/>
      <c r="EX34" s="41"/>
      <c r="EY34" s="41"/>
      <c r="EZ34" s="256"/>
      <c r="FA34" s="308"/>
      <c r="FB34" s="308"/>
      <c r="FC34" s="308"/>
      <c r="FD34" s="308"/>
      <c r="FE34" s="41"/>
      <c r="FF34" s="41"/>
      <c r="FG34" s="41"/>
      <c r="FH34" s="256"/>
      <c r="FI34" s="41"/>
      <c r="FJ34" s="41"/>
      <c r="FK34" s="41"/>
      <c r="FL34" s="276"/>
    </row>
    <row r="35" spans="1:168">
      <c r="A35" s="45">
        <v>28</v>
      </c>
      <c r="B35" s="45" t="s">
        <v>210</v>
      </c>
      <c r="C35" s="45">
        <v>4</v>
      </c>
      <c r="D35" s="29" t="s">
        <v>74</v>
      </c>
      <c r="E35" s="30" t="s">
        <v>76</v>
      </c>
      <c r="F35" s="30">
        <v>7</v>
      </c>
      <c r="G35" s="246">
        <f>42867.342/1000</f>
        <v>42.867341999999994</v>
      </c>
      <c r="H35" s="45">
        <v>0</v>
      </c>
      <c r="I35" s="45">
        <v>42867.34199999999</v>
      </c>
      <c r="J35" s="397">
        <v>132.46532999999997</v>
      </c>
      <c r="K35" s="495">
        <f t="shared" si="1"/>
        <v>175.33267199999995</v>
      </c>
      <c r="L35" s="578"/>
      <c r="M35" s="45">
        <f t="shared" si="2"/>
        <v>0</v>
      </c>
      <c r="N35" s="46">
        <f t="shared" si="6"/>
        <v>175.33267199999995</v>
      </c>
      <c r="O35" s="46">
        <f t="shared" si="0"/>
        <v>175</v>
      </c>
      <c r="P35" s="234"/>
      <c r="Q35" s="46"/>
      <c r="R35" s="450"/>
      <c r="S35" s="257"/>
      <c r="T35" s="46"/>
      <c r="U35" s="46"/>
      <c r="V35" s="46"/>
      <c r="W35" s="46"/>
      <c r="X35" s="196"/>
      <c r="Y35" s="46"/>
      <c r="Z35" s="46"/>
      <c r="AA35" s="46"/>
      <c r="AB35" s="46"/>
      <c r="AC35" s="46"/>
      <c r="AD35" s="46"/>
      <c r="AE35" s="46"/>
      <c r="AF35" s="196"/>
      <c r="AG35" s="46"/>
      <c r="AH35" s="46"/>
      <c r="AI35" s="46"/>
      <c r="AJ35" s="46"/>
      <c r="AK35" s="46"/>
      <c r="AL35" s="46"/>
      <c r="AM35" s="46"/>
      <c r="AN35" s="196"/>
      <c r="AO35" s="438"/>
      <c r="AP35" s="46"/>
      <c r="AQ35" s="368"/>
      <c r="AR35" s="257"/>
      <c r="AS35" s="196"/>
      <c r="AT35" s="46"/>
      <c r="AU35" s="46"/>
      <c r="AV35" s="196"/>
      <c r="AW35" s="257"/>
      <c r="AX35" s="196"/>
      <c r="AY35" s="191"/>
      <c r="AZ35" s="257"/>
      <c r="BA35" s="196"/>
      <c r="BB35" s="46"/>
      <c r="BC35" s="257"/>
      <c r="BD35" s="196"/>
      <c r="BE35" s="191"/>
      <c r="BF35" s="46"/>
      <c r="BG35" s="196"/>
      <c r="BH35" s="46"/>
      <c r="BI35" s="257"/>
      <c r="BJ35" s="196"/>
      <c r="BK35" s="191"/>
      <c r="BL35" s="257"/>
      <c r="BM35" s="196"/>
      <c r="BN35" s="46"/>
      <c r="BO35" s="257"/>
      <c r="BP35" s="196"/>
      <c r="BQ35" s="190"/>
      <c r="BR35" s="46"/>
      <c r="BS35" s="196"/>
      <c r="BT35" s="46"/>
      <c r="BU35" s="257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196"/>
      <c r="CI35" s="46"/>
      <c r="CJ35" s="46"/>
      <c r="CK35" s="46"/>
      <c r="CL35" s="46"/>
      <c r="CM35" s="46"/>
      <c r="CN35" s="196"/>
      <c r="CO35" s="191"/>
      <c r="CP35" s="257"/>
      <c r="CQ35" s="196"/>
      <c r="CR35" s="167"/>
      <c r="CS35" s="257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191"/>
      <c r="DN35" s="46"/>
      <c r="DO35" s="196"/>
      <c r="DP35" s="221" t="s">
        <v>531</v>
      </c>
      <c r="DQ35" s="257">
        <f>DW35+EC35+EJ35+ER35+EZ35+FH35+175000</f>
        <v>175000</v>
      </c>
      <c r="DR35" s="294"/>
      <c r="DS35" s="295"/>
      <c r="DT35" s="386">
        <f t="shared" si="5"/>
        <v>0</v>
      </c>
      <c r="DU35" s="41"/>
      <c r="DV35" s="41"/>
      <c r="DW35" s="256"/>
      <c r="DX35" s="41"/>
      <c r="DY35" s="41"/>
      <c r="DZ35" s="68"/>
      <c r="EA35" s="41"/>
      <c r="EB35" s="41"/>
      <c r="EC35" s="256"/>
      <c r="ED35" s="308"/>
      <c r="EE35" s="308"/>
      <c r="EF35" s="308"/>
      <c r="EG35" s="41"/>
      <c r="EH35" s="41"/>
      <c r="EI35" s="41"/>
      <c r="EJ35" s="69"/>
      <c r="EK35" s="308"/>
      <c r="EL35" s="308"/>
      <c r="EM35" s="308"/>
      <c r="EN35" s="308"/>
      <c r="EO35" s="41"/>
      <c r="EP35" s="41"/>
      <c r="EQ35" s="41"/>
      <c r="ER35" s="256"/>
      <c r="ES35" s="293"/>
      <c r="ET35" s="293"/>
      <c r="EU35" s="293"/>
      <c r="EV35" s="293"/>
      <c r="EW35" s="41"/>
      <c r="EX35" s="41"/>
      <c r="EY35" s="41"/>
      <c r="EZ35" s="256"/>
      <c r="FA35" s="308"/>
      <c r="FB35" s="308"/>
      <c r="FC35" s="308"/>
      <c r="FD35" s="308"/>
      <c r="FE35" s="41"/>
      <c r="FF35" s="41"/>
      <c r="FG35" s="41"/>
      <c r="FH35" s="256"/>
      <c r="FI35" s="41"/>
      <c r="FJ35" s="41"/>
      <c r="FK35" s="41"/>
      <c r="FL35" s="276"/>
    </row>
    <row r="36" spans="1:168">
      <c r="A36" s="45">
        <v>29</v>
      </c>
      <c r="B36" s="45" t="s">
        <v>210</v>
      </c>
      <c r="C36" s="45">
        <v>4</v>
      </c>
      <c r="D36" s="29" t="s">
        <v>490</v>
      </c>
      <c r="E36" s="175">
        <v>35</v>
      </c>
      <c r="F36" s="188">
        <v>7</v>
      </c>
      <c r="G36" s="246">
        <f>44592.912/1000</f>
        <v>44.592911999999998</v>
      </c>
      <c r="H36" s="45">
        <v>0</v>
      </c>
      <c r="I36" s="45">
        <v>44592.911999999997</v>
      </c>
      <c r="J36" s="397">
        <v>158.96451999999999</v>
      </c>
      <c r="K36" s="495">
        <f t="shared" si="1"/>
        <v>203.55743200000001</v>
      </c>
      <c r="L36" s="578"/>
      <c r="M36" s="45">
        <f t="shared" si="2"/>
        <v>0</v>
      </c>
      <c r="N36" s="46">
        <f t="shared" si="6"/>
        <v>203.55743200000001</v>
      </c>
      <c r="O36" s="46">
        <f t="shared" si="0"/>
        <v>203</v>
      </c>
      <c r="P36" s="234"/>
      <c r="Q36" s="46"/>
      <c r="R36" s="450"/>
      <c r="S36" s="257"/>
      <c r="T36" s="46"/>
      <c r="U36" s="46"/>
      <c r="V36" s="46"/>
      <c r="W36" s="46"/>
      <c r="X36" s="196"/>
      <c r="Y36" s="46"/>
      <c r="Z36" s="46"/>
      <c r="AA36" s="46"/>
      <c r="AB36" s="46"/>
      <c r="AC36" s="46"/>
      <c r="AD36" s="46"/>
      <c r="AE36" s="46"/>
      <c r="AF36" s="196"/>
      <c r="AG36" s="46"/>
      <c r="AH36" s="46"/>
      <c r="AI36" s="46"/>
      <c r="AJ36" s="46"/>
      <c r="AK36" s="46"/>
      <c r="AL36" s="46"/>
      <c r="AM36" s="46"/>
      <c r="AN36" s="196"/>
      <c r="AO36" s="438"/>
      <c r="AP36" s="46"/>
      <c r="AQ36" s="368"/>
      <c r="AR36" s="257"/>
      <c r="AS36" s="196"/>
      <c r="AT36" s="46"/>
      <c r="AU36" s="46"/>
      <c r="AV36" s="196"/>
      <c r="AW36" s="257"/>
      <c r="AX36" s="196"/>
      <c r="AY36" s="191"/>
      <c r="AZ36" s="257"/>
      <c r="BA36" s="196"/>
      <c r="BB36" s="46"/>
      <c r="BC36" s="257"/>
      <c r="BD36" s="196"/>
      <c r="BE36" s="191"/>
      <c r="BF36" s="46"/>
      <c r="BG36" s="196"/>
      <c r="BH36" s="46"/>
      <c r="BI36" s="257"/>
      <c r="BJ36" s="196"/>
      <c r="BK36" s="191"/>
      <c r="BL36" s="257"/>
      <c r="BM36" s="196"/>
      <c r="BN36" s="46"/>
      <c r="BO36" s="257"/>
      <c r="BP36" s="196"/>
      <c r="BQ36" s="190"/>
      <c r="BR36" s="46"/>
      <c r="BS36" s="196"/>
      <c r="BT36" s="46"/>
      <c r="BU36" s="257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196"/>
      <c r="CI36" s="46"/>
      <c r="CJ36" s="46"/>
      <c r="CK36" s="46"/>
      <c r="CL36" s="46"/>
      <c r="CM36" s="46"/>
      <c r="CN36" s="196"/>
      <c r="CO36" s="191"/>
      <c r="CP36" s="257"/>
      <c r="CQ36" s="196"/>
      <c r="CR36" s="167"/>
      <c r="CS36" s="257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191"/>
      <c r="DN36" s="46"/>
      <c r="DO36" s="196"/>
      <c r="DP36" s="221" t="s">
        <v>531</v>
      </c>
      <c r="DQ36" s="257">
        <f>DW36+EC36+EJ36+ER36+EZ36+FH36+203000</f>
        <v>203000</v>
      </c>
      <c r="DR36" s="294"/>
      <c r="DS36" s="295"/>
      <c r="DT36" s="386">
        <f t="shared" si="5"/>
        <v>0</v>
      </c>
      <c r="DU36" s="41"/>
      <c r="DV36" s="41"/>
      <c r="DW36" s="256"/>
      <c r="DX36" s="41"/>
      <c r="DY36" s="41"/>
      <c r="DZ36" s="68"/>
      <c r="EA36" s="41"/>
      <c r="EB36" s="41"/>
      <c r="EC36" s="256"/>
      <c r="ED36" s="308"/>
      <c r="EE36" s="308"/>
      <c r="EF36" s="308"/>
      <c r="EG36" s="41"/>
      <c r="EH36" s="41"/>
      <c r="EI36" s="41"/>
      <c r="EJ36" s="69"/>
      <c r="EK36" s="308"/>
      <c r="EL36" s="308"/>
      <c r="EM36" s="308"/>
      <c r="EN36" s="308"/>
      <c r="EO36" s="41"/>
      <c r="EP36" s="41"/>
      <c r="EQ36" s="41"/>
      <c r="ER36" s="256"/>
      <c r="ES36" s="293"/>
      <c r="ET36" s="293"/>
      <c r="EU36" s="293"/>
      <c r="EV36" s="293"/>
      <c r="EW36" s="41"/>
      <c r="EX36" s="41"/>
      <c r="EY36" s="41"/>
      <c r="EZ36" s="256"/>
      <c r="FA36" s="308"/>
      <c r="FB36" s="308"/>
      <c r="FC36" s="308"/>
      <c r="FD36" s="308"/>
      <c r="FE36" s="41"/>
      <c r="FF36" s="41"/>
      <c r="FG36" s="41"/>
      <c r="FH36" s="256"/>
      <c r="FI36" s="41"/>
      <c r="FJ36" s="41"/>
      <c r="FK36" s="41"/>
      <c r="FL36" s="276"/>
    </row>
    <row r="37" spans="1:168">
      <c r="A37" s="45">
        <v>30</v>
      </c>
      <c r="B37" s="45" t="s">
        <v>210</v>
      </c>
      <c r="C37" s="45">
        <v>4</v>
      </c>
      <c r="D37" s="29" t="s">
        <v>74</v>
      </c>
      <c r="E37" s="30">
        <v>37</v>
      </c>
      <c r="F37" s="30">
        <v>7</v>
      </c>
      <c r="G37" s="246">
        <f>44059.554/1000</f>
        <v>44.059553999999999</v>
      </c>
      <c r="H37" s="45">
        <v>0</v>
      </c>
      <c r="I37" s="45">
        <v>44059.554000000004</v>
      </c>
      <c r="J37" s="397">
        <v>84.525620000000004</v>
      </c>
      <c r="K37" s="495">
        <f t="shared" si="1"/>
        <v>128.58517399999999</v>
      </c>
      <c r="L37" s="578"/>
      <c r="M37" s="45">
        <f t="shared" si="2"/>
        <v>0</v>
      </c>
      <c r="N37" s="46">
        <f t="shared" si="3"/>
        <v>128.58517399999999</v>
      </c>
      <c r="O37" s="46">
        <f t="shared" si="0"/>
        <v>126.6</v>
      </c>
      <c r="P37" s="234"/>
      <c r="Q37" s="46"/>
      <c r="R37" s="450"/>
      <c r="S37" s="257"/>
      <c r="T37" s="46"/>
      <c r="U37" s="46"/>
      <c r="V37" s="46"/>
      <c r="W37" s="46"/>
      <c r="X37" s="196"/>
      <c r="Y37" s="46"/>
      <c r="Z37" s="46"/>
      <c r="AA37" s="46"/>
      <c r="AB37" s="46"/>
      <c r="AC37" s="46"/>
      <c r="AD37" s="46"/>
      <c r="AE37" s="46"/>
      <c r="AF37" s="196"/>
      <c r="AG37" s="46"/>
      <c r="AH37" s="46"/>
      <c r="AI37" s="46"/>
      <c r="AJ37" s="46"/>
      <c r="AK37" s="46"/>
      <c r="AL37" s="46"/>
      <c r="AM37" s="46"/>
      <c r="AN37" s="196"/>
      <c r="AO37" s="438"/>
      <c r="AP37" s="46"/>
      <c r="AQ37" s="368"/>
      <c r="AR37" s="257"/>
      <c r="AS37" s="196"/>
      <c r="AT37" s="46"/>
      <c r="AU37" s="46"/>
      <c r="AV37" s="196"/>
      <c r="AW37" s="257"/>
      <c r="AX37" s="196"/>
      <c r="AY37" s="191"/>
      <c r="AZ37" s="257"/>
      <c r="BA37" s="196"/>
      <c r="BB37" s="46"/>
      <c r="BC37" s="257"/>
      <c r="BD37" s="196"/>
      <c r="BE37" s="191"/>
      <c r="BF37" s="46"/>
      <c r="BG37" s="196"/>
      <c r="BH37" s="46"/>
      <c r="BI37" s="257"/>
      <c r="BJ37" s="196"/>
      <c r="BK37" s="191"/>
      <c r="BL37" s="257"/>
      <c r="BM37" s="196"/>
      <c r="BN37" s="46"/>
      <c r="BO37" s="257"/>
      <c r="BP37" s="196"/>
      <c r="BQ37" s="190"/>
      <c r="BR37" s="46"/>
      <c r="BS37" s="196"/>
      <c r="BT37" s="46"/>
      <c r="BU37" s="257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196"/>
      <c r="CI37" s="46"/>
      <c r="CJ37" s="46"/>
      <c r="CK37" s="46"/>
      <c r="CL37" s="46"/>
      <c r="CM37" s="46"/>
      <c r="CN37" s="196"/>
      <c r="CO37" s="191"/>
      <c r="CP37" s="257"/>
      <c r="CQ37" s="196"/>
      <c r="CR37" s="167"/>
      <c r="CS37" s="257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>
        <v>62</v>
      </c>
      <c r="DH37" s="46">
        <f>DG37*1800</f>
        <v>111600</v>
      </c>
      <c r="DI37" s="46"/>
      <c r="DJ37" s="46"/>
      <c r="DK37" s="46"/>
      <c r="DL37" s="46"/>
      <c r="DM37" s="191"/>
      <c r="DN37" s="46"/>
      <c r="DO37" s="196"/>
      <c r="DP37" s="221" t="s">
        <v>788</v>
      </c>
      <c r="DQ37" s="257">
        <f t="shared" si="4"/>
        <v>15000</v>
      </c>
      <c r="DR37" s="294"/>
      <c r="DS37" s="295"/>
      <c r="DT37" s="386">
        <f t="shared" si="5"/>
        <v>0</v>
      </c>
      <c r="DU37" s="41"/>
      <c r="DV37" s="41"/>
      <c r="DW37" s="256"/>
      <c r="DX37" s="41"/>
      <c r="DY37" s="41"/>
      <c r="DZ37" s="68"/>
      <c r="EA37" s="41"/>
      <c r="EB37" s="41"/>
      <c r="EC37" s="256"/>
      <c r="ED37" s="308"/>
      <c r="EE37" s="308"/>
      <c r="EF37" s="308"/>
      <c r="EG37" s="41"/>
      <c r="EH37" s="41"/>
      <c r="EI37" s="41"/>
      <c r="EJ37" s="69"/>
      <c r="EK37" s="308"/>
      <c r="EL37" s="308"/>
      <c r="EM37" s="308"/>
      <c r="EN37" s="308"/>
      <c r="EO37" s="46">
        <v>3</v>
      </c>
      <c r="EP37" s="41">
        <v>1</v>
      </c>
      <c r="EQ37" s="41">
        <v>1</v>
      </c>
      <c r="ER37" s="256">
        <v>15000</v>
      </c>
      <c r="ES37" s="293"/>
      <c r="ET37" s="293"/>
      <c r="EU37" s="293"/>
      <c r="EV37" s="293"/>
      <c r="EW37" s="41"/>
      <c r="EX37" s="41"/>
      <c r="EY37" s="41"/>
      <c r="EZ37" s="256"/>
      <c r="FA37" s="308"/>
      <c r="FB37" s="308"/>
      <c r="FC37" s="308"/>
      <c r="FD37" s="308"/>
      <c r="FE37" s="41"/>
      <c r="FF37" s="41"/>
      <c r="FG37" s="41"/>
      <c r="FH37" s="256"/>
      <c r="FI37" s="41"/>
      <c r="FJ37" s="41"/>
      <c r="FK37" s="41"/>
      <c r="FL37" s="276"/>
    </row>
    <row r="38" spans="1:168">
      <c r="A38" s="45">
        <v>31</v>
      </c>
      <c r="B38" s="45" t="s">
        <v>210</v>
      </c>
      <c r="C38" s="45">
        <v>4</v>
      </c>
      <c r="D38" s="29" t="s">
        <v>74</v>
      </c>
      <c r="E38" s="30" t="s">
        <v>77</v>
      </c>
      <c r="F38" s="30">
        <v>7</v>
      </c>
      <c r="G38" s="246">
        <f>43515.738/1000</f>
        <v>43.515737999999999</v>
      </c>
      <c r="H38" s="45">
        <v>0</v>
      </c>
      <c r="I38" s="45">
        <v>43515.737999999998</v>
      </c>
      <c r="J38" s="397">
        <v>137.9006</v>
      </c>
      <c r="K38" s="495">
        <f t="shared" si="1"/>
        <v>181.416338</v>
      </c>
      <c r="L38" s="578"/>
      <c r="M38" s="45">
        <f t="shared" si="2"/>
        <v>0</v>
      </c>
      <c r="N38" s="46">
        <f t="shared" si="3"/>
        <v>181.416338</v>
      </c>
      <c r="O38" s="46">
        <f t="shared" si="0"/>
        <v>0</v>
      </c>
      <c r="P38" s="234"/>
      <c r="Q38" s="46"/>
      <c r="R38" s="450"/>
      <c r="S38" s="257"/>
      <c r="T38" s="46"/>
      <c r="U38" s="46"/>
      <c r="V38" s="46"/>
      <c r="W38" s="46"/>
      <c r="X38" s="196"/>
      <c r="Y38" s="46"/>
      <c r="Z38" s="46"/>
      <c r="AA38" s="46"/>
      <c r="AB38" s="46"/>
      <c r="AC38" s="46"/>
      <c r="AD38" s="46"/>
      <c r="AE38" s="46"/>
      <c r="AF38" s="196"/>
      <c r="AG38" s="46"/>
      <c r="AH38" s="46"/>
      <c r="AI38" s="46"/>
      <c r="AJ38" s="46"/>
      <c r="AK38" s="46"/>
      <c r="AL38" s="46"/>
      <c r="AM38" s="46"/>
      <c r="AN38" s="196"/>
      <c r="AO38" s="438"/>
      <c r="AP38" s="46"/>
      <c r="AQ38" s="368"/>
      <c r="AR38" s="257"/>
      <c r="AS38" s="196"/>
      <c r="AT38" s="46"/>
      <c r="AU38" s="46"/>
      <c r="AV38" s="196"/>
      <c r="AW38" s="257"/>
      <c r="AX38" s="196"/>
      <c r="AY38" s="191"/>
      <c r="AZ38" s="257"/>
      <c r="BA38" s="196"/>
      <c r="BB38" s="46"/>
      <c r="BC38" s="257"/>
      <c r="BD38" s="196"/>
      <c r="BE38" s="191"/>
      <c r="BF38" s="46"/>
      <c r="BG38" s="196"/>
      <c r="BH38" s="46"/>
      <c r="BI38" s="257"/>
      <c r="BJ38" s="196"/>
      <c r="BK38" s="191"/>
      <c r="BL38" s="257"/>
      <c r="BM38" s="196"/>
      <c r="BN38" s="46"/>
      <c r="BO38" s="257"/>
      <c r="BP38" s="196"/>
      <c r="BQ38" s="190"/>
      <c r="BR38" s="46"/>
      <c r="BS38" s="196"/>
      <c r="BT38" s="46"/>
      <c r="BU38" s="257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196"/>
      <c r="CI38" s="46"/>
      <c r="CJ38" s="46"/>
      <c r="CK38" s="46"/>
      <c r="CL38" s="46"/>
      <c r="CM38" s="46"/>
      <c r="CN38" s="196"/>
      <c r="CO38" s="191"/>
      <c r="CP38" s="257"/>
      <c r="CQ38" s="196"/>
      <c r="CR38" s="167"/>
      <c r="CS38" s="257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191"/>
      <c r="DN38" s="46"/>
      <c r="DO38" s="196"/>
      <c r="DP38" s="221" t="s">
        <v>531</v>
      </c>
      <c r="DQ38" s="257">
        <f t="shared" si="4"/>
        <v>0</v>
      </c>
      <c r="DR38" s="294"/>
      <c r="DS38" s="295"/>
      <c r="DT38" s="386">
        <f t="shared" si="5"/>
        <v>0</v>
      </c>
      <c r="DU38" s="41"/>
      <c r="DV38" s="41"/>
      <c r="DW38" s="256"/>
      <c r="DX38" s="41"/>
      <c r="DY38" s="41"/>
      <c r="DZ38" s="68"/>
      <c r="EA38" s="41"/>
      <c r="EB38" s="41"/>
      <c r="EC38" s="256"/>
      <c r="ED38" s="308"/>
      <c r="EE38" s="308"/>
      <c r="EF38" s="308"/>
      <c r="EG38" s="41"/>
      <c r="EH38" s="41"/>
      <c r="EI38" s="41"/>
      <c r="EJ38" s="69"/>
      <c r="EK38" s="308"/>
      <c r="EL38" s="308"/>
      <c r="EM38" s="308"/>
      <c r="EN38" s="308"/>
      <c r="EO38" s="46"/>
      <c r="EP38" s="41"/>
      <c r="EQ38" s="41"/>
      <c r="ER38" s="256"/>
      <c r="ES38" s="293"/>
      <c r="ET38" s="293"/>
      <c r="EU38" s="293"/>
      <c r="EV38" s="293"/>
      <c r="EW38" s="41"/>
      <c r="EX38" s="41"/>
      <c r="EY38" s="41"/>
      <c r="EZ38" s="256"/>
      <c r="FA38" s="308"/>
      <c r="FB38" s="308"/>
      <c r="FC38" s="308"/>
      <c r="FD38" s="308"/>
      <c r="FE38" s="41"/>
      <c r="FF38" s="41"/>
      <c r="FG38" s="41"/>
      <c r="FH38" s="256"/>
      <c r="FI38" s="41"/>
      <c r="FJ38" s="41"/>
      <c r="FK38" s="41"/>
      <c r="FL38" s="276"/>
    </row>
    <row r="39" spans="1:168">
      <c r="A39" s="45">
        <v>32</v>
      </c>
      <c r="B39" s="45" t="s">
        <v>210</v>
      </c>
      <c r="C39" s="45">
        <v>4</v>
      </c>
      <c r="D39" s="29" t="s">
        <v>74</v>
      </c>
      <c r="E39" s="30">
        <v>43</v>
      </c>
      <c r="F39" s="30">
        <v>7</v>
      </c>
      <c r="G39" s="246">
        <f>39593.988/1000</f>
        <v>39.593987999999996</v>
      </c>
      <c r="H39" s="45">
        <v>0</v>
      </c>
      <c r="I39" s="45">
        <v>39593.987999999998</v>
      </c>
      <c r="J39" s="397">
        <v>164.35398999999998</v>
      </c>
      <c r="K39" s="495">
        <f t="shared" si="1"/>
        <v>203.94797799999998</v>
      </c>
      <c r="L39" s="578"/>
      <c r="M39" s="45">
        <f t="shared" si="2"/>
        <v>0</v>
      </c>
      <c r="N39" s="46">
        <f t="shared" si="3"/>
        <v>203.94797799999998</v>
      </c>
      <c r="O39" s="46">
        <f t="shared" ref="O39:O79" si="7">(S39+AA39+AI39+AR39+AZ39+BF39+BL39+BR39+BX39+CD39+CJ39+CP39+CV39+DB39+DH39+DN39+DQ39)/1000</f>
        <v>203</v>
      </c>
      <c r="P39" s="234"/>
      <c r="Q39" s="46"/>
      <c r="R39" s="450"/>
      <c r="S39" s="257"/>
      <c r="T39" s="46"/>
      <c r="U39" s="46"/>
      <c r="V39" s="46"/>
      <c r="W39" s="46"/>
      <c r="X39" s="196"/>
      <c r="Y39" s="46"/>
      <c r="Z39" s="46"/>
      <c r="AA39" s="46"/>
      <c r="AB39" s="46"/>
      <c r="AC39" s="46"/>
      <c r="AD39" s="46"/>
      <c r="AE39" s="46"/>
      <c r="AF39" s="196"/>
      <c r="AG39" s="46"/>
      <c r="AH39" s="46"/>
      <c r="AI39" s="46"/>
      <c r="AJ39" s="46"/>
      <c r="AK39" s="46"/>
      <c r="AL39" s="46"/>
      <c r="AM39" s="46"/>
      <c r="AN39" s="196"/>
      <c r="AO39" s="438"/>
      <c r="AP39" s="46"/>
      <c r="AQ39" s="368"/>
      <c r="AR39" s="257"/>
      <c r="AS39" s="196"/>
      <c r="AT39" s="46"/>
      <c r="AU39" s="46"/>
      <c r="AV39" s="196"/>
      <c r="AW39" s="257"/>
      <c r="AX39" s="196"/>
      <c r="AY39" s="191"/>
      <c r="AZ39" s="257"/>
      <c r="BA39" s="196"/>
      <c r="BB39" s="46"/>
      <c r="BC39" s="257"/>
      <c r="BD39" s="196"/>
      <c r="BE39" s="191"/>
      <c r="BF39" s="46"/>
      <c r="BG39" s="196"/>
      <c r="BH39" s="46"/>
      <c r="BI39" s="257"/>
      <c r="BJ39" s="196"/>
      <c r="BK39" s="191"/>
      <c r="BL39" s="257"/>
      <c r="BM39" s="196"/>
      <c r="BN39" s="46"/>
      <c r="BO39" s="257"/>
      <c r="BP39" s="196"/>
      <c r="BQ39" s="190"/>
      <c r="BR39" s="46"/>
      <c r="BS39" s="196"/>
      <c r="BT39" s="46"/>
      <c r="BU39" s="257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196"/>
      <c r="CI39" s="46"/>
      <c r="CJ39" s="46"/>
      <c r="CK39" s="46"/>
      <c r="CL39" s="46"/>
      <c r="CM39" s="46"/>
      <c r="CN39" s="196"/>
      <c r="CO39" s="191"/>
      <c r="CP39" s="257"/>
      <c r="CQ39" s="196"/>
      <c r="CR39" s="167"/>
      <c r="CS39" s="257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191"/>
      <c r="DN39" s="46"/>
      <c r="DO39" s="196"/>
      <c r="DP39" s="221" t="s">
        <v>531</v>
      </c>
      <c r="DQ39" s="257">
        <f>DW39+EC39+EJ39+ER39+EZ39+FH39+203000</f>
        <v>203000</v>
      </c>
      <c r="DR39" s="294"/>
      <c r="DS39" s="295"/>
      <c r="DT39" s="386">
        <f t="shared" si="5"/>
        <v>0</v>
      </c>
      <c r="DU39" s="41"/>
      <c r="DV39" s="41"/>
      <c r="DW39" s="256"/>
      <c r="DX39" s="41"/>
      <c r="DY39" s="41"/>
      <c r="DZ39" s="68"/>
      <c r="EA39" s="41"/>
      <c r="EB39" s="41"/>
      <c r="EC39" s="256"/>
      <c r="ED39" s="308"/>
      <c r="EE39" s="308"/>
      <c r="EF39" s="308"/>
      <c r="EG39" s="41"/>
      <c r="EH39" s="41"/>
      <c r="EI39" s="41"/>
      <c r="EJ39" s="69"/>
      <c r="EK39" s="308"/>
      <c r="EL39" s="308"/>
      <c r="EM39" s="308"/>
      <c r="EN39" s="308"/>
      <c r="EO39" s="46"/>
      <c r="EP39" s="41"/>
      <c r="EQ39" s="41"/>
      <c r="ER39" s="256"/>
      <c r="ES39" s="293"/>
      <c r="ET39" s="293"/>
      <c r="EU39" s="293"/>
      <c r="EV39" s="293"/>
      <c r="EW39" s="41"/>
      <c r="EX39" s="41"/>
      <c r="EY39" s="41"/>
      <c r="EZ39" s="256"/>
      <c r="FA39" s="308"/>
      <c r="FB39" s="308"/>
      <c r="FC39" s="308"/>
      <c r="FD39" s="308"/>
      <c r="FE39" s="41"/>
      <c r="FF39" s="41"/>
      <c r="FG39" s="41"/>
      <c r="FH39" s="256"/>
      <c r="FI39" s="41"/>
      <c r="FJ39" s="41"/>
      <c r="FK39" s="41"/>
      <c r="FL39" s="276"/>
    </row>
    <row r="40" spans="1:168">
      <c r="A40" s="45">
        <v>33</v>
      </c>
      <c r="B40" s="45" t="s">
        <v>210</v>
      </c>
      <c r="C40" s="45">
        <v>4</v>
      </c>
      <c r="D40" s="29" t="s">
        <v>490</v>
      </c>
      <c r="E40" s="175">
        <v>45</v>
      </c>
      <c r="F40" s="188">
        <v>7</v>
      </c>
      <c r="G40" s="246">
        <f>39844.98/1000</f>
        <v>39.844980000000007</v>
      </c>
      <c r="H40" s="45">
        <v>0</v>
      </c>
      <c r="I40" s="45">
        <v>39844.979999999996</v>
      </c>
      <c r="J40" s="397">
        <v>90.29943999999999</v>
      </c>
      <c r="K40" s="495">
        <f t="shared" si="1"/>
        <v>130.14442</v>
      </c>
      <c r="L40" s="578"/>
      <c r="M40" s="45">
        <f t="shared" si="2"/>
        <v>0</v>
      </c>
      <c r="N40" s="46">
        <f>K40-M40</f>
        <v>130.14442</v>
      </c>
      <c r="O40" s="46">
        <f t="shared" si="7"/>
        <v>110.6</v>
      </c>
      <c r="P40" s="234"/>
      <c r="Q40" s="46"/>
      <c r="R40" s="450"/>
      <c r="S40" s="257"/>
      <c r="T40" s="46"/>
      <c r="U40" s="46"/>
      <c r="V40" s="46"/>
      <c r="W40" s="46"/>
      <c r="X40" s="196"/>
      <c r="Y40" s="46"/>
      <c r="Z40" s="46"/>
      <c r="AA40" s="46"/>
      <c r="AB40" s="46"/>
      <c r="AC40" s="46"/>
      <c r="AD40" s="46"/>
      <c r="AE40" s="46"/>
      <c r="AF40" s="196"/>
      <c r="AG40" s="46"/>
      <c r="AH40" s="46"/>
      <c r="AI40" s="46"/>
      <c r="AJ40" s="46"/>
      <c r="AK40" s="46"/>
      <c r="AL40" s="46"/>
      <c r="AM40" s="46"/>
      <c r="AN40" s="196" t="s">
        <v>249</v>
      </c>
      <c r="AO40" s="438" t="s">
        <v>335</v>
      </c>
      <c r="AP40" s="46">
        <v>26</v>
      </c>
      <c r="AQ40" s="368" t="s">
        <v>552</v>
      </c>
      <c r="AR40" s="257">
        <f>AP40*1300</f>
        <v>33800</v>
      </c>
      <c r="AS40" s="196"/>
      <c r="AT40" s="46"/>
      <c r="AU40" s="46"/>
      <c r="AV40" s="196"/>
      <c r="AW40" s="257"/>
      <c r="AX40" s="196"/>
      <c r="AY40" s="191"/>
      <c r="AZ40" s="257"/>
      <c r="BA40" s="196"/>
      <c r="BB40" s="46"/>
      <c r="BC40" s="257"/>
      <c r="BD40" s="196"/>
      <c r="BE40" s="191"/>
      <c r="BF40" s="46"/>
      <c r="BG40" s="196"/>
      <c r="BH40" s="46"/>
      <c r="BI40" s="257"/>
      <c r="BJ40" s="196"/>
      <c r="BK40" s="191"/>
      <c r="BL40" s="257"/>
      <c r="BM40" s="196"/>
      <c r="BN40" s="46"/>
      <c r="BO40" s="257"/>
      <c r="BP40" s="196"/>
      <c r="BQ40" s="190"/>
      <c r="BR40" s="46"/>
      <c r="BS40" s="196"/>
      <c r="BT40" s="46"/>
      <c r="BU40" s="257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196"/>
      <c r="CI40" s="46"/>
      <c r="CJ40" s="46"/>
      <c r="CK40" s="46"/>
      <c r="CL40" s="46"/>
      <c r="CM40" s="46"/>
      <c r="CN40" s="196"/>
      <c r="CO40" s="191"/>
      <c r="CP40" s="257"/>
      <c r="CQ40" s="196"/>
      <c r="CR40" s="167"/>
      <c r="CS40" s="257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191"/>
      <c r="DN40" s="46"/>
      <c r="DO40" s="196"/>
      <c r="DP40" s="221" t="s">
        <v>811</v>
      </c>
      <c r="DQ40" s="257">
        <f t="shared" si="4"/>
        <v>76800</v>
      </c>
      <c r="DR40" s="294"/>
      <c r="DS40" s="295"/>
      <c r="DT40" s="386">
        <f t="shared" si="5"/>
        <v>0</v>
      </c>
      <c r="DU40" s="41"/>
      <c r="DV40" s="41"/>
      <c r="DW40" s="256"/>
      <c r="DX40" s="41"/>
      <c r="DY40" s="41"/>
      <c r="DZ40" s="68"/>
      <c r="EA40" s="41">
        <v>10</v>
      </c>
      <c r="EB40" s="41">
        <v>96</v>
      </c>
      <c r="EC40" s="256">
        <f>EB40*800</f>
        <v>76800</v>
      </c>
      <c r="ED40" s="308"/>
      <c r="EE40" s="308"/>
      <c r="EF40" s="308"/>
      <c r="EG40" s="41"/>
      <c r="EH40" s="41"/>
      <c r="EI40" s="41"/>
      <c r="EJ40" s="69"/>
      <c r="EK40" s="308"/>
      <c r="EL40" s="308"/>
      <c r="EM40" s="308"/>
      <c r="EN40" s="308"/>
      <c r="EO40" s="41"/>
      <c r="EP40" s="41"/>
      <c r="EQ40" s="41"/>
      <c r="ER40" s="256"/>
      <c r="ES40" s="293"/>
      <c r="ET40" s="293"/>
      <c r="EU40" s="293"/>
      <c r="EV40" s="293"/>
      <c r="EW40" s="41"/>
      <c r="EX40" s="41"/>
      <c r="EY40" s="41"/>
      <c r="EZ40" s="256"/>
      <c r="FA40" s="308"/>
      <c r="FB40" s="308"/>
      <c r="FC40" s="308"/>
      <c r="FD40" s="308"/>
      <c r="FE40" s="41"/>
      <c r="FF40" s="41"/>
      <c r="FG40" s="41"/>
      <c r="FH40" s="256"/>
      <c r="FI40" s="41"/>
      <c r="FJ40" s="41"/>
      <c r="FK40" s="41"/>
      <c r="FL40" s="276"/>
    </row>
    <row r="41" spans="1:168">
      <c r="A41" s="45">
        <v>34</v>
      </c>
      <c r="B41" s="45" t="s">
        <v>210</v>
      </c>
      <c r="C41" s="45">
        <v>4</v>
      </c>
      <c r="D41" s="29" t="s">
        <v>78</v>
      </c>
      <c r="E41" s="30">
        <v>2</v>
      </c>
      <c r="F41" s="30">
        <v>5</v>
      </c>
      <c r="G41" s="246">
        <f>149064.3/1000</f>
        <v>149.06429999999997</v>
      </c>
      <c r="H41" s="45">
        <v>149064.29999999999</v>
      </c>
      <c r="I41" s="45">
        <v>0</v>
      </c>
      <c r="J41" s="397">
        <v>-144.00796000000003</v>
      </c>
      <c r="K41" s="495">
        <f t="shared" si="1"/>
        <v>5.056339999999949</v>
      </c>
      <c r="L41" s="578"/>
      <c r="M41" s="45">
        <f t="shared" si="2"/>
        <v>0</v>
      </c>
      <c r="N41" s="46">
        <f t="shared" si="3"/>
        <v>5.056339999999949</v>
      </c>
      <c r="O41" s="46">
        <f t="shared" si="7"/>
        <v>5</v>
      </c>
      <c r="P41" s="234"/>
      <c r="Q41" s="46"/>
      <c r="R41" s="450"/>
      <c r="S41" s="257"/>
      <c r="T41" s="46"/>
      <c r="U41" s="46"/>
      <c r="V41" s="46"/>
      <c r="W41" s="46"/>
      <c r="X41" s="196"/>
      <c r="Y41" s="46"/>
      <c r="Z41" s="46"/>
      <c r="AA41" s="46"/>
      <c r="AB41" s="46"/>
      <c r="AC41" s="46"/>
      <c r="AD41" s="46"/>
      <c r="AE41" s="46"/>
      <c r="AF41" s="196"/>
      <c r="AG41" s="46"/>
      <c r="AH41" s="46"/>
      <c r="AI41" s="46"/>
      <c r="AJ41" s="46"/>
      <c r="AK41" s="46"/>
      <c r="AL41" s="46"/>
      <c r="AM41" s="46"/>
      <c r="AN41" s="196"/>
      <c r="AO41" s="438"/>
      <c r="AP41" s="46"/>
      <c r="AQ41" s="368"/>
      <c r="AR41" s="257"/>
      <c r="AS41" s="196"/>
      <c r="AT41" s="46"/>
      <c r="AU41" s="46"/>
      <c r="AV41" s="196"/>
      <c r="AW41" s="257"/>
      <c r="AX41" s="196"/>
      <c r="AY41" s="191"/>
      <c r="AZ41" s="257"/>
      <c r="BA41" s="196"/>
      <c r="BB41" s="46"/>
      <c r="BC41" s="257"/>
      <c r="BD41" s="196"/>
      <c r="BE41" s="191"/>
      <c r="BF41" s="46"/>
      <c r="BG41" s="196"/>
      <c r="BH41" s="46"/>
      <c r="BI41" s="257"/>
      <c r="BJ41" s="196"/>
      <c r="BK41" s="191"/>
      <c r="BL41" s="257"/>
      <c r="BM41" s="196"/>
      <c r="BN41" s="46"/>
      <c r="BO41" s="257"/>
      <c r="BP41" s="196"/>
      <c r="BQ41" s="190"/>
      <c r="BR41" s="46"/>
      <c r="BS41" s="196"/>
      <c r="BT41" s="46"/>
      <c r="BU41" s="257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196"/>
      <c r="CI41" s="46"/>
      <c r="CJ41" s="46"/>
      <c r="CK41" s="46"/>
      <c r="CL41" s="46"/>
      <c r="CM41" s="46"/>
      <c r="CN41" s="196"/>
      <c r="CO41" s="191"/>
      <c r="CP41" s="257"/>
      <c r="CQ41" s="196"/>
      <c r="CR41" s="167"/>
      <c r="CS41" s="257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191"/>
      <c r="DN41" s="46"/>
      <c r="DO41" s="196"/>
      <c r="DP41" s="221" t="s">
        <v>531</v>
      </c>
      <c r="DQ41" s="257">
        <f>DW41+EC41+EJ41+ER41+EZ41+FH41+5000</f>
        <v>5000</v>
      </c>
      <c r="DR41" s="294"/>
      <c r="DS41" s="295"/>
      <c r="DT41" s="386">
        <f t="shared" si="5"/>
        <v>0</v>
      </c>
      <c r="DU41" s="41"/>
      <c r="DV41" s="41"/>
      <c r="DW41" s="256"/>
      <c r="DX41" s="41"/>
      <c r="DY41" s="41"/>
      <c r="DZ41" s="68"/>
      <c r="EA41" s="41"/>
      <c r="EB41" s="41"/>
      <c r="EC41" s="256"/>
      <c r="ED41" s="308"/>
      <c r="EE41" s="308"/>
      <c r="EF41" s="308"/>
      <c r="EG41" s="41"/>
      <c r="EH41" s="41"/>
      <c r="EI41" s="41"/>
      <c r="EJ41" s="69"/>
      <c r="EK41" s="308"/>
      <c r="EL41" s="308"/>
      <c r="EM41" s="308"/>
      <c r="EN41" s="308"/>
      <c r="EO41" s="41"/>
      <c r="EP41" s="41"/>
      <c r="EQ41" s="41"/>
      <c r="ER41" s="256"/>
      <c r="ES41" s="293"/>
      <c r="ET41" s="293"/>
      <c r="EU41" s="293"/>
      <c r="EV41" s="293"/>
      <c r="EW41" s="41"/>
      <c r="EX41" s="41"/>
      <c r="EY41" s="41"/>
      <c r="EZ41" s="256"/>
      <c r="FA41" s="308"/>
      <c r="FB41" s="308"/>
      <c r="FC41" s="308"/>
      <c r="FD41" s="308"/>
      <c r="FE41" s="46"/>
      <c r="FF41" s="41"/>
      <c r="FG41" s="41"/>
      <c r="FH41" s="256"/>
      <c r="FI41" s="41"/>
      <c r="FJ41" s="41"/>
      <c r="FK41" s="41"/>
      <c r="FL41" s="276"/>
    </row>
    <row r="42" spans="1:168">
      <c r="A42" s="45">
        <v>35</v>
      </c>
      <c r="B42" s="45" t="s">
        <v>210</v>
      </c>
      <c r="C42" s="45">
        <v>4</v>
      </c>
      <c r="D42" s="29" t="s">
        <v>491</v>
      </c>
      <c r="E42" s="175" t="s">
        <v>492</v>
      </c>
      <c r="F42" s="188">
        <v>7</v>
      </c>
      <c r="G42" s="246">
        <v>0</v>
      </c>
      <c r="H42" s="45">
        <v>0</v>
      </c>
      <c r="I42" s="45">
        <v>0</v>
      </c>
      <c r="J42" s="397">
        <v>6.6757299999999997</v>
      </c>
      <c r="K42" s="495">
        <f t="shared" si="1"/>
        <v>6.6757299999999997</v>
      </c>
      <c r="L42" s="578"/>
      <c r="M42" s="45">
        <f t="shared" si="2"/>
        <v>0</v>
      </c>
      <c r="N42" s="46">
        <f>K42-M42</f>
        <v>6.6757299999999997</v>
      </c>
      <c r="O42" s="46">
        <f t="shared" si="7"/>
        <v>6</v>
      </c>
      <c r="P42" s="234"/>
      <c r="Q42" s="46"/>
      <c r="R42" s="450"/>
      <c r="S42" s="257"/>
      <c r="T42" s="46"/>
      <c r="U42" s="46"/>
      <c r="V42" s="46"/>
      <c r="W42" s="46"/>
      <c r="X42" s="196"/>
      <c r="Y42" s="46"/>
      <c r="Z42" s="46"/>
      <c r="AA42" s="46"/>
      <c r="AB42" s="46"/>
      <c r="AC42" s="46"/>
      <c r="AD42" s="46"/>
      <c r="AE42" s="46"/>
      <c r="AF42" s="196"/>
      <c r="AG42" s="46"/>
      <c r="AH42" s="46"/>
      <c r="AI42" s="46"/>
      <c r="AJ42" s="46"/>
      <c r="AK42" s="46"/>
      <c r="AL42" s="46"/>
      <c r="AM42" s="46"/>
      <c r="AN42" s="196"/>
      <c r="AO42" s="438"/>
      <c r="AP42" s="46"/>
      <c r="AQ42" s="368"/>
      <c r="AR42" s="257"/>
      <c r="AS42" s="196"/>
      <c r="AT42" s="46"/>
      <c r="AU42" s="46"/>
      <c r="AV42" s="196"/>
      <c r="AW42" s="257"/>
      <c r="AX42" s="196"/>
      <c r="AY42" s="191"/>
      <c r="AZ42" s="257"/>
      <c r="BA42" s="196"/>
      <c r="BB42" s="46"/>
      <c r="BC42" s="257"/>
      <c r="BD42" s="196"/>
      <c r="BE42" s="191"/>
      <c r="BF42" s="46"/>
      <c r="BG42" s="196"/>
      <c r="BH42" s="46"/>
      <c r="BI42" s="257"/>
      <c r="BJ42" s="196"/>
      <c r="BK42" s="191"/>
      <c r="BL42" s="257"/>
      <c r="BM42" s="196"/>
      <c r="BN42" s="46"/>
      <c r="BO42" s="257"/>
      <c r="BP42" s="196"/>
      <c r="BQ42" s="190"/>
      <c r="BR42" s="46"/>
      <c r="BS42" s="196"/>
      <c r="BT42" s="46"/>
      <c r="BU42" s="257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196"/>
      <c r="CI42" s="46"/>
      <c r="CJ42" s="46"/>
      <c r="CK42" s="46"/>
      <c r="CL42" s="46"/>
      <c r="CM42" s="46"/>
      <c r="CN42" s="196"/>
      <c r="CO42" s="191"/>
      <c r="CP42" s="257"/>
      <c r="CQ42" s="196"/>
      <c r="CR42" s="167"/>
      <c r="CS42" s="257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191"/>
      <c r="DN42" s="46"/>
      <c r="DO42" s="196"/>
      <c r="DP42" s="221" t="s">
        <v>531</v>
      </c>
      <c r="DQ42" s="257">
        <f>DW42+EC42+EJ42+ER42+EZ42+FH42+6000</f>
        <v>6000</v>
      </c>
      <c r="DR42" s="294"/>
      <c r="DS42" s="295"/>
      <c r="DT42" s="386">
        <f t="shared" si="5"/>
        <v>0</v>
      </c>
      <c r="DU42" s="41"/>
      <c r="DV42" s="41"/>
      <c r="DW42" s="256"/>
      <c r="DX42" s="41"/>
      <c r="DY42" s="41"/>
      <c r="DZ42" s="68"/>
      <c r="EA42" s="41"/>
      <c r="EB42" s="41"/>
      <c r="EC42" s="256"/>
      <c r="ED42" s="308"/>
      <c r="EE42" s="308"/>
      <c r="EF42" s="308"/>
      <c r="EG42" s="41"/>
      <c r="EH42" s="41"/>
      <c r="EI42" s="41"/>
      <c r="EJ42" s="69"/>
      <c r="EK42" s="308"/>
      <c r="EL42" s="308"/>
      <c r="EM42" s="308"/>
      <c r="EN42" s="308"/>
      <c r="EO42" s="41"/>
      <c r="EP42" s="41"/>
      <c r="EQ42" s="41"/>
      <c r="ER42" s="256"/>
      <c r="ES42" s="293"/>
      <c r="ET42" s="293"/>
      <c r="EU42" s="293"/>
      <c r="EV42" s="293"/>
      <c r="EW42" s="41"/>
      <c r="EX42" s="41"/>
      <c r="EY42" s="41"/>
      <c r="EZ42" s="256"/>
      <c r="FA42" s="308"/>
      <c r="FB42" s="308"/>
      <c r="FC42" s="308"/>
      <c r="FD42" s="308"/>
      <c r="FE42" s="41"/>
      <c r="FF42" s="41"/>
      <c r="FG42" s="41"/>
      <c r="FH42" s="256"/>
      <c r="FI42" s="41"/>
      <c r="FJ42" s="41"/>
      <c r="FK42" s="41"/>
      <c r="FL42" s="276"/>
    </row>
    <row r="43" spans="1:168">
      <c r="A43" s="45">
        <v>36</v>
      </c>
      <c r="B43" s="45" t="s">
        <v>210</v>
      </c>
      <c r="C43" s="45">
        <v>4</v>
      </c>
      <c r="D43" s="29" t="s">
        <v>1000</v>
      </c>
      <c r="E43" s="30">
        <v>4</v>
      </c>
      <c r="F43" s="30">
        <v>7</v>
      </c>
      <c r="G43" s="246">
        <f>49978.782/1000</f>
        <v>49.978782000000002</v>
      </c>
      <c r="H43" s="45">
        <v>0</v>
      </c>
      <c r="I43" s="45">
        <v>49978.781999999992</v>
      </c>
      <c r="J43" s="397">
        <v>6.1396400000000071</v>
      </c>
      <c r="K43" s="495">
        <f t="shared" si="1"/>
        <v>56.11842200000001</v>
      </c>
      <c r="L43" s="578"/>
      <c r="M43" s="45">
        <f t="shared" si="2"/>
        <v>0</v>
      </c>
      <c r="N43" s="46">
        <f t="shared" si="3"/>
        <v>56.11842200000001</v>
      </c>
      <c r="O43" s="46">
        <f t="shared" si="7"/>
        <v>0</v>
      </c>
      <c r="P43" s="234" t="s">
        <v>582</v>
      </c>
      <c r="Q43" s="46"/>
      <c r="R43" s="450"/>
      <c r="S43" s="257"/>
      <c r="T43" s="46"/>
      <c r="U43" s="46"/>
      <c r="V43" s="46"/>
      <c r="W43" s="46"/>
      <c r="X43" s="196"/>
      <c r="Y43" s="46"/>
      <c r="Z43" s="46"/>
      <c r="AA43" s="46"/>
      <c r="AB43" s="46"/>
      <c r="AC43" s="46"/>
      <c r="AD43" s="46"/>
      <c r="AE43" s="46"/>
      <c r="AF43" s="196"/>
      <c r="AG43" s="46"/>
      <c r="AH43" s="46"/>
      <c r="AI43" s="46"/>
      <c r="AJ43" s="46"/>
      <c r="AK43" s="46"/>
      <c r="AL43" s="46"/>
      <c r="AM43" s="46"/>
      <c r="AN43" s="196"/>
      <c r="AO43" s="438"/>
      <c r="AP43" s="46"/>
      <c r="AQ43" s="368"/>
      <c r="AR43" s="257"/>
      <c r="AS43" s="196"/>
      <c r="AT43" s="46"/>
      <c r="AU43" s="46"/>
      <c r="AV43" s="196"/>
      <c r="AW43" s="257"/>
      <c r="AX43" s="196"/>
      <c r="AY43" s="191"/>
      <c r="AZ43" s="257"/>
      <c r="BA43" s="196"/>
      <c r="BB43" s="46"/>
      <c r="BC43" s="257"/>
      <c r="BD43" s="196"/>
      <c r="BE43" s="191"/>
      <c r="BF43" s="46"/>
      <c r="BG43" s="196"/>
      <c r="BH43" s="46"/>
      <c r="BI43" s="257"/>
      <c r="BJ43" s="196"/>
      <c r="BK43" s="191"/>
      <c r="BL43" s="257"/>
      <c r="BM43" s="196"/>
      <c r="BN43" s="46"/>
      <c r="BO43" s="257"/>
      <c r="BP43" s="196"/>
      <c r="BQ43" s="190"/>
      <c r="BR43" s="46"/>
      <c r="BS43" s="196"/>
      <c r="BT43" s="46"/>
      <c r="BU43" s="257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196"/>
      <c r="CI43" s="46"/>
      <c r="CJ43" s="46"/>
      <c r="CK43" s="46"/>
      <c r="CL43" s="46"/>
      <c r="CM43" s="46"/>
      <c r="CN43" s="196"/>
      <c r="CO43" s="191"/>
      <c r="CP43" s="257"/>
      <c r="CQ43" s="196"/>
      <c r="CR43" s="167"/>
      <c r="CS43" s="257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191"/>
      <c r="DN43" s="46"/>
      <c r="DO43" s="196"/>
      <c r="DP43" s="221"/>
      <c r="DQ43" s="257">
        <f t="shared" si="4"/>
        <v>0</v>
      </c>
      <c r="DR43" s="294"/>
      <c r="DS43" s="295"/>
      <c r="DT43" s="386">
        <f t="shared" si="5"/>
        <v>0</v>
      </c>
      <c r="DU43" s="41"/>
      <c r="DV43" s="41"/>
      <c r="DW43" s="256"/>
      <c r="DX43" s="41"/>
      <c r="DY43" s="41"/>
      <c r="DZ43" s="68"/>
      <c r="EA43" s="41"/>
      <c r="EB43" s="41"/>
      <c r="EC43" s="256"/>
      <c r="ED43" s="308"/>
      <c r="EE43" s="308"/>
      <c r="EF43" s="308"/>
      <c r="EG43" s="41"/>
      <c r="EH43" s="41"/>
      <c r="EI43" s="41"/>
      <c r="EJ43" s="69"/>
      <c r="EK43" s="308"/>
      <c r="EL43" s="308"/>
      <c r="EM43" s="308"/>
      <c r="EN43" s="308"/>
      <c r="EO43" s="41"/>
      <c r="EP43" s="41"/>
      <c r="EQ43" s="41"/>
      <c r="ER43" s="256"/>
      <c r="ES43" s="293"/>
      <c r="ET43" s="293"/>
      <c r="EU43" s="293"/>
      <c r="EV43" s="293"/>
      <c r="EW43" s="41"/>
      <c r="EX43" s="41"/>
      <c r="EY43" s="41"/>
      <c r="EZ43" s="256"/>
      <c r="FA43" s="308"/>
      <c r="FB43" s="308"/>
      <c r="FC43" s="308"/>
      <c r="FD43" s="308"/>
      <c r="FE43" s="41"/>
      <c r="FF43" s="41"/>
      <c r="FG43" s="41"/>
      <c r="FH43" s="256"/>
      <c r="FI43" s="41"/>
      <c r="FJ43" s="41"/>
      <c r="FK43" s="41"/>
      <c r="FL43" s="276"/>
    </row>
    <row r="44" spans="1:168" ht="20.25">
      <c r="A44" s="45">
        <v>37</v>
      </c>
      <c r="B44" s="45" t="s">
        <v>210</v>
      </c>
      <c r="C44" s="45">
        <v>4</v>
      </c>
      <c r="D44" s="29" t="s">
        <v>78</v>
      </c>
      <c r="E44" s="30">
        <v>8</v>
      </c>
      <c r="F44" s="30">
        <v>7</v>
      </c>
      <c r="G44" s="246">
        <f>49424.508/1000</f>
        <v>49.424508000000003</v>
      </c>
      <c r="H44" s="45">
        <v>0</v>
      </c>
      <c r="I44" s="45">
        <v>49424.508000000009</v>
      </c>
      <c r="J44" s="397">
        <v>20.230539999999998</v>
      </c>
      <c r="K44" s="495">
        <f t="shared" si="1"/>
        <v>69.655047999999994</v>
      </c>
      <c r="L44" s="578"/>
      <c r="M44" s="45">
        <f t="shared" si="2"/>
        <v>0</v>
      </c>
      <c r="N44" s="46">
        <f t="shared" si="3"/>
        <v>69.655047999999994</v>
      </c>
      <c r="O44" s="46">
        <f t="shared" si="7"/>
        <v>60</v>
      </c>
      <c r="P44" s="234"/>
      <c r="Q44" s="46"/>
      <c r="R44" s="450"/>
      <c r="S44" s="257"/>
      <c r="T44" s="46"/>
      <c r="U44" s="46"/>
      <c r="V44" s="46"/>
      <c r="W44" s="46"/>
      <c r="X44" s="196"/>
      <c r="Y44" s="46"/>
      <c r="Z44" s="46"/>
      <c r="AA44" s="46"/>
      <c r="AB44" s="46"/>
      <c r="AC44" s="46"/>
      <c r="AD44" s="46"/>
      <c r="AE44" s="46"/>
      <c r="AF44" s="196"/>
      <c r="AG44" s="46"/>
      <c r="AH44" s="46"/>
      <c r="AI44" s="46"/>
      <c r="AJ44" s="46"/>
      <c r="AK44" s="46"/>
      <c r="AL44" s="46"/>
      <c r="AM44" s="46"/>
      <c r="AN44" s="196"/>
      <c r="AO44" s="438"/>
      <c r="AP44" s="46"/>
      <c r="AQ44" s="368"/>
      <c r="AR44" s="257"/>
      <c r="AS44" s="196"/>
      <c r="AT44" s="46"/>
      <c r="AU44" s="46"/>
      <c r="AV44" s="196"/>
      <c r="AW44" s="257"/>
      <c r="AX44" s="196"/>
      <c r="AY44" s="191"/>
      <c r="AZ44" s="257"/>
      <c r="BA44" s="196"/>
      <c r="BB44" s="46"/>
      <c r="BC44" s="257"/>
      <c r="BD44" s="196"/>
      <c r="BE44" s="191"/>
      <c r="BF44" s="46"/>
      <c r="BG44" s="196"/>
      <c r="BH44" s="46"/>
      <c r="BI44" s="257"/>
      <c r="BJ44" s="196"/>
      <c r="BK44" s="191"/>
      <c r="BL44" s="257"/>
      <c r="BM44" s="196"/>
      <c r="BN44" s="46"/>
      <c r="BO44" s="257"/>
      <c r="BP44" s="196"/>
      <c r="BQ44" s="190"/>
      <c r="BR44" s="46"/>
      <c r="BS44" s="196"/>
      <c r="BT44" s="46"/>
      <c r="BU44" s="257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196"/>
      <c r="CI44" s="46"/>
      <c r="CJ44" s="46"/>
      <c r="CK44" s="46"/>
      <c r="CL44" s="46"/>
      <c r="CM44" s="46"/>
      <c r="CN44" s="196" t="s">
        <v>250</v>
      </c>
      <c r="CO44" s="191" t="s">
        <v>782</v>
      </c>
      <c r="CP44" s="257">
        <v>10000</v>
      </c>
      <c r="CQ44" s="196"/>
      <c r="CR44" s="167"/>
      <c r="CS44" s="257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191"/>
      <c r="DN44" s="46"/>
      <c r="DO44" s="196"/>
      <c r="DP44" s="221" t="s">
        <v>783</v>
      </c>
      <c r="DQ44" s="257">
        <f>DW44+EC44+EJ44+ER44+EZ44+FH44+30000</f>
        <v>50000</v>
      </c>
      <c r="DR44" s="294"/>
      <c r="DS44" s="295"/>
      <c r="DT44" s="386">
        <f t="shared" si="5"/>
        <v>0</v>
      </c>
      <c r="DU44" s="41"/>
      <c r="DV44" s="41"/>
      <c r="DW44" s="256"/>
      <c r="DX44" s="41"/>
      <c r="DY44" s="41"/>
      <c r="DZ44" s="68"/>
      <c r="EA44" s="41"/>
      <c r="EB44" s="41"/>
      <c r="EC44" s="256"/>
      <c r="ED44" s="308"/>
      <c r="EE44" s="308"/>
      <c r="EF44" s="308"/>
      <c r="EG44" s="41"/>
      <c r="EH44" s="41"/>
      <c r="EI44" s="41"/>
      <c r="EJ44" s="69"/>
      <c r="EK44" s="308"/>
      <c r="EL44" s="308"/>
      <c r="EM44" s="308"/>
      <c r="EN44" s="308"/>
      <c r="EO44" s="41">
        <v>12</v>
      </c>
      <c r="EP44" s="41">
        <v>1</v>
      </c>
      <c r="EQ44" s="41">
        <v>2</v>
      </c>
      <c r="ER44" s="256">
        <v>20000</v>
      </c>
      <c r="ES44" s="293"/>
      <c r="ET44" s="293"/>
      <c r="EU44" s="293"/>
      <c r="EV44" s="293"/>
      <c r="EW44" s="41"/>
      <c r="EX44" s="41"/>
      <c r="EY44" s="41"/>
      <c r="EZ44" s="256"/>
      <c r="FA44" s="308"/>
      <c r="FB44" s="308"/>
      <c r="FC44" s="308"/>
      <c r="FD44" s="308"/>
      <c r="FE44" s="41"/>
      <c r="FF44" s="41"/>
      <c r="FG44" s="41"/>
      <c r="FH44" s="256"/>
      <c r="FI44" s="41"/>
      <c r="FJ44" s="41"/>
      <c r="FK44" s="41"/>
      <c r="FL44" s="276"/>
    </row>
    <row r="45" spans="1:168">
      <c r="A45" s="45">
        <v>38</v>
      </c>
      <c r="B45" s="45" t="s">
        <v>210</v>
      </c>
      <c r="C45" s="45">
        <v>4</v>
      </c>
      <c r="D45" s="29" t="s">
        <v>1000</v>
      </c>
      <c r="E45" s="30">
        <v>9</v>
      </c>
      <c r="F45" s="30">
        <v>5</v>
      </c>
      <c r="G45" s="246">
        <f>43559.208/1000</f>
        <v>43.559207999999998</v>
      </c>
      <c r="H45" s="45">
        <v>43559.207999999991</v>
      </c>
      <c r="I45" s="45">
        <v>0</v>
      </c>
      <c r="J45" s="397">
        <v>196.13985</v>
      </c>
      <c r="K45" s="495">
        <f t="shared" si="1"/>
        <v>239.69905799999998</v>
      </c>
      <c r="L45" s="578"/>
      <c r="M45" s="45">
        <f t="shared" si="2"/>
        <v>0</v>
      </c>
      <c r="N45" s="46">
        <f t="shared" si="3"/>
        <v>239.69905799999998</v>
      </c>
      <c r="O45" s="46">
        <f t="shared" si="7"/>
        <v>0</v>
      </c>
      <c r="P45" s="234" t="s">
        <v>582</v>
      </c>
      <c r="Q45" s="46"/>
      <c r="R45" s="450"/>
      <c r="S45" s="257"/>
      <c r="T45" s="46"/>
      <c r="U45" s="46"/>
      <c r="V45" s="46"/>
      <c r="W45" s="46"/>
      <c r="X45" s="196"/>
      <c r="Y45" s="46"/>
      <c r="Z45" s="46"/>
      <c r="AA45" s="46"/>
      <c r="AB45" s="46"/>
      <c r="AC45" s="46"/>
      <c r="AD45" s="46"/>
      <c r="AE45" s="46"/>
      <c r="AF45" s="196"/>
      <c r="AG45" s="46"/>
      <c r="AH45" s="46"/>
      <c r="AI45" s="46"/>
      <c r="AJ45" s="46"/>
      <c r="AK45" s="46"/>
      <c r="AL45" s="46"/>
      <c r="AM45" s="46"/>
      <c r="AN45" s="196"/>
      <c r="AO45" s="438"/>
      <c r="AP45" s="46"/>
      <c r="AQ45" s="368"/>
      <c r="AR45" s="257"/>
      <c r="AS45" s="196"/>
      <c r="AT45" s="46"/>
      <c r="AU45" s="46"/>
      <c r="AV45" s="196"/>
      <c r="AW45" s="257"/>
      <c r="AX45" s="196"/>
      <c r="AY45" s="191"/>
      <c r="AZ45" s="257"/>
      <c r="BA45" s="196"/>
      <c r="BB45" s="46"/>
      <c r="BC45" s="257"/>
      <c r="BD45" s="196"/>
      <c r="BE45" s="191"/>
      <c r="BF45" s="46"/>
      <c r="BG45" s="196"/>
      <c r="BH45" s="46"/>
      <c r="BI45" s="257"/>
      <c r="BJ45" s="196"/>
      <c r="BK45" s="191"/>
      <c r="BL45" s="257"/>
      <c r="BM45" s="196"/>
      <c r="BN45" s="46"/>
      <c r="BO45" s="257"/>
      <c r="BP45" s="196"/>
      <c r="BQ45" s="190"/>
      <c r="BR45" s="46"/>
      <c r="BS45" s="196"/>
      <c r="BT45" s="46"/>
      <c r="BU45" s="257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196"/>
      <c r="CI45" s="46"/>
      <c r="CJ45" s="46"/>
      <c r="CK45" s="46"/>
      <c r="CL45" s="46"/>
      <c r="CM45" s="46"/>
      <c r="CN45" s="196"/>
      <c r="CO45" s="191"/>
      <c r="CP45" s="257"/>
      <c r="CQ45" s="196"/>
      <c r="CR45" s="167"/>
      <c r="CS45" s="257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191"/>
      <c r="DN45" s="46"/>
      <c r="DO45" s="196"/>
      <c r="DP45" s="221"/>
      <c r="DQ45" s="257">
        <f t="shared" si="4"/>
        <v>0</v>
      </c>
      <c r="DR45" s="294"/>
      <c r="DS45" s="295"/>
      <c r="DT45" s="386">
        <f t="shared" si="5"/>
        <v>0</v>
      </c>
      <c r="DU45" s="41"/>
      <c r="DV45" s="41"/>
      <c r="DW45" s="256"/>
      <c r="DX45" s="41"/>
      <c r="DY45" s="41"/>
      <c r="DZ45" s="68"/>
      <c r="EA45" s="41"/>
      <c r="EB45" s="41"/>
      <c r="EC45" s="256"/>
      <c r="ED45" s="308"/>
      <c r="EE45" s="308"/>
      <c r="EF45" s="308"/>
      <c r="EG45" s="41"/>
      <c r="EH45" s="41"/>
      <c r="EI45" s="41"/>
      <c r="EJ45" s="69"/>
      <c r="EK45" s="308"/>
      <c r="EL45" s="308"/>
      <c r="EM45" s="308"/>
      <c r="EN45" s="308"/>
      <c r="EO45" s="41"/>
      <c r="EP45" s="41"/>
      <c r="EQ45" s="41"/>
      <c r="ER45" s="256"/>
      <c r="ES45" s="293"/>
      <c r="ET45" s="293"/>
      <c r="EU45" s="293"/>
      <c r="EV45" s="293"/>
      <c r="EW45" s="41"/>
      <c r="EX45" s="41"/>
      <c r="EY45" s="41"/>
      <c r="EZ45" s="256"/>
      <c r="FA45" s="308"/>
      <c r="FB45" s="308"/>
      <c r="FC45" s="308"/>
      <c r="FD45" s="308"/>
      <c r="FE45" s="46"/>
      <c r="FF45" s="41"/>
      <c r="FG45" s="41"/>
      <c r="FH45" s="256"/>
      <c r="FI45" s="41"/>
      <c r="FJ45" s="41"/>
      <c r="FK45" s="41"/>
      <c r="FL45" s="276"/>
    </row>
    <row r="46" spans="1:168">
      <c r="A46" s="45">
        <v>39</v>
      </c>
      <c r="B46" s="45" t="s">
        <v>210</v>
      </c>
      <c r="C46" s="45">
        <v>4</v>
      </c>
      <c r="D46" s="29" t="s">
        <v>78</v>
      </c>
      <c r="E46" s="30">
        <v>10</v>
      </c>
      <c r="F46" s="30">
        <v>7</v>
      </c>
      <c r="G46" s="246">
        <f>11597.922/1000</f>
        <v>11.597922000000001</v>
      </c>
      <c r="H46" s="45">
        <v>0</v>
      </c>
      <c r="I46" s="45">
        <v>11597.922</v>
      </c>
      <c r="J46" s="397">
        <v>39.592559999999992</v>
      </c>
      <c r="K46" s="495">
        <f t="shared" si="1"/>
        <v>51.190481999999989</v>
      </c>
      <c r="L46" s="578"/>
      <c r="M46" s="45">
        <f t="shared" si="2"/>
        <v>0</v>
      </c>
      <c r="N46" s="46">
        <f t="shared" si="3"/>
        <v>51.190481999999989</v>
      </c>
      <c r="O46" s="46">
        <f t="shared" si="7"/>
        <v>51</v>
      </c>
      <c r="P46" s="234"/>
      <c r="Q46" s="46"/>
      <c r="R46" s="450"/>
      <c r="S46" s="257"/>
      <c r="T46" s="46"/>
      <c r="U46" s="46"/>
      <c r="V46" s="46"/>
      <c r="W46" s="46"/>
      <c r="X46" s="196"/>
      <c r="Y46" s="46"/>
      <c r="Z46" s="46"/>
      <c r="AA46" s="46"/>
      <c r="AB46" s="46"/>
      <c r="AC46" s="46"/>
      <c r="AD46" s="46"/>
      <c r="AE46" s="46"/>
      <c r="AF46" s="196"/>
      <c r="AG46" s="46"/>
      <c r="AH46" s="46"/>
      <c r="AI46" s="46"/>
      <c r="AJ46" s="46"/>
      <c r="AK46" s="46"/>
      <c r="AL46" s="46"/>
      <c r="AM46" s="46"/>
      <c r="AN46" s="196"/>
      <c r="AO46" s="438"/>
      <c r="AP46" s="46"/>
      <c r="AQ46" s="368"/>
      <c r="AR46" s="257"/>
      <c r="AS46" s="196"/>
      <c r="AT46" s="46"/>
      <c r="AU46" s="46"/>
      <c r="AV46" s="196"/>
      <c r="AW46" s="257"/>
      <c r="AX46" s="196"/>
      <c r="AY46" s="191"/>
      <c r="AZ46" s="257"/>
      <c r="BA46" s="196"/>
      <c r="BB46" s="46"/>
      <c r="BC46" s="257"/>
      <c r="BD46" s="196"/>
      <c r="BE46" s="191"/>
      <c r="BF46" s="46"/>
      <c r="BG46" s="196"/>
      <c r="BH46" s="46"/>
      <c r="BI46" s="257"/>
      <c r="BJ46" s="196"/>
      <c r="BK46" s="191"/>
      <c r="BL46" s="257"/>
      <c r="BM46" s="196"/>
      <c r="BN46" s="46"/>
      <c r="BO46" s="257"/>
      <c r="BP46" s="196"/>
      <c r="BQ46" s="190"/>
      <c r="BR46" s="46"/>
      <c r="BS46" s="196"/>
      <c r="BT46" s="46"/>
      <c r="BU46" s="257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196"/>
      <c r="CI46" s="46"/>
      <c r="CJ46" s="46"/>
      <c r="CK46" s="46"/>
      <c r="CL46" s="46"/>
      <c r="CM46" s="46"/>
      <c r="CN46" s="196"/>
      <c r="CO46" s="191"/>
      <c r="CP46" s="257"/>
      <c r="CQ46" s="196"/>
      <c r="CR46" s="167"/>
      <c r="CS46" s="257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191"/>
      <c r="DN46" s="46"/>
      <c r="DO46" s="196"/>
      <c r="DP46" s="221" t="s">
        <v>531</v>
      </c>
      <c r="DQ46" s="257">
        <f>DW46+EC46+EJ46+ER46+EZ46+FH46+51000</f>
        <v>51000</v>
      </c>
      <c r="DR46" s="294"/>
      <c r="DS46" s="295"/>
      <c r="DT46" s="386">
        <f t="shared" si="5"/>
        <v>0</v>
      </c>
      <c r="DU46" s="41"/>
      <c r="DV46" s="41"/>
      <c r="DW46" s="256"/>
      <c r="DX46" s="41"/>
      <c r="DY46" s="41"/>
      <c r="DZ46" s="68"/>
      <c r="EA46" s="41"/>
      <c r="EB46" s="41"/>
      <c r="EC46" s="256"/>
      <c r="ED46" s="308"/>
      <c r="EE46" s="308"/>
      <c r="EF46" s="308"/>
      <c r="EG46" s="41"/>
      <c r="EH46" s="41"/>
      <c r="EI46" s="41"/>
      <c r="EJ46" s="69"/>
      <c r="EK46" s="308"/>
      <c r="EL46" s="308"/>
      <c r="EM46" s="308"/>
      <c r="EN46" s="308"/>
      <c r="EO46" s="41"/>
      <c r="EP46" s="41"/>
      <c r="EQ46" s="41"/>
      <c r="ER46" s="256"/>
      <c r="ES46" s="293"/>
      <c r="ET46" s="293"/>
      <c r="EU46" s="293"/>
      <c r="EV46" s="293"/>
      <c r="EW46" s="41"/>
      <c r="EX46" s="41"/>
      <c r="EY46" s="41"/>
      <c r="EZ46" s="256"/>
      <c r="FA46" s="308"/>
      <c r="FB46" s="308"/>
      <c r="FC46" s="308"/>
      <c r="FD46" s="308"/>
      <c r="FE46" s="41"/>
      <c r="FF46" s="41"/>
      <c r="FG46" s="41"/>
      <c r="FH46" s="256"/>
      <c r="FI46" s="41"/>
      <c r="FJ46" s="41"/>
      <c r="FK46" s="41"/>
      <c r="FL46" s="276"/>
    </row>
    <row r="47" spans="1:168">
      <c r="A47" s="45">
        <v>40</v>
      </c>
      <c r="B47" s="45" t="s">
        <v>210</v>
      </c>
      <c r="C47" s="45">
        <v>4</v>
      </c>
      <c r="D47" s="29" t="s">
        <v>1000</v>
      </c>
      <c r="E47" s="30">
        <v>11</v>
      </c>
      <c r="F47" s="30">
        <v>7</v>
      </c>
      <c r="G47" s="246">
        <f>11514.258/1000</f>
        <v>11.514258</v>
      </c>
      <c r="H47" s="45">
        <v>0</v>
      </c>
      <c r="I47" s="45">
        <v>11514.257999999998</v>
      </c>
      <c r="J47" s="397">
        <v>17.869609999999994</v>
      </c>
      <c r="K47" s="495">
        <f t="shared" si="1"/>
        <v>29.383867999999993</v>
      </c>
      <c r="L47" s="578"/>
      <c r="M47" s="45">
        <f t="shared" si="2"/>
        <v>0</v>
      </c>
      <c r="N47" s="46">
        <f t="shared" si="3"/>
        <v>29.383867999999993</v>
      </c>
      <c r="O47" s="46">
        <f t="shared" si="7"/>
        <v>0</v>
      </c>
      <c r="P47" s="234" t="s">
        <v>582</v>
      </c>
      <c r="Q47" s="46"/>
      <c r="R47" s="450"/>
      <c r="S47" s="257"/>
      <c r="T47" s="46"/>
      <c r="U47" s="46"/>
      <c r="V47" s="46"/>
      <c r="W47" s="46"/>
      <c r="X47" s="196"/>
      <c r="Y47" s="46"/>
      <c r="Z47" s="46"/>
      <c r="AA47" s="46"/>
      <c r="AB47" s="46"/>
      <c r="AC47" s="46"/>
      <c r="AD47" s="46"/>
      <c r="AE47" s="46"/>
      <c r="AF47" s="196"/>
      <c r="AG47" s="46"/>
      <c r="AH47" s="46"/>
      <c r="AI47" s="46"/>
      <c r="AJ47" s="46"/>
      <c r="AK47" s="46"/>
      <c r="AL47" s="46"/>
      <c r="AM47" s="46"/>
      <c r="AN47" s="196"/>
      <c r="AO47" s="438"/>
      <c r="AP47" s="46"/>
      <c r="AQ47" s="368"/>
      <c r="AR47" s="257"/>
      <c r="AS47" s="196"/>
      <c r="AT47" s="46"/>
      <c r="AU47" s="46"/>
      <c r="AV47" s="196"/>
      <c r="AW47" s="257"/>
      <c r="AX47" s="196"/>
      <c r="AY47" s="191"/>
      <c r="AZ47" s="257"/>
      <c r="BA47" s="196"/>
      <c r="BB47" s="46"/>
      <c r="BC47" s="257"/>
      <c r="BD47" s="196"/>
      <c r="BE47" s="191"/>
      <c r="BF47" s="46"/>
      <c r="BG47" s="196"/>
      <c r="BH47" s="46"/>
      <c r="BI47" s="257"/>
      <c r="BJ47" s="196"/>
      <c r="BK47" s="191"/>
      <c r="BL47" s="257"/>
      <c r="BM47" s="196"/>
      <c r="BN47" s="46"/>
      <c r="BO47" s="257"/>
      <c r="BP47" s="196"/>
      <c r="BQ47" s="190"/>
      <c r="BR47" s="46"/>
      <c r="BS47" s="196"/>
      <c r="BT47" s="46"/>
      <c r="BU47" s="257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196"/>
      <c r="CI47" s="46"/>
      <c r="CJ47" s="46"/>
      <c r="CK47" s="46"/>
      <c r="CL47" s="46"/>
      <c r="CM47" s="46"/>
      <c r="CN47" s="196"/>
      <c r="CO47" s="191"/>
      <c r="CP47" s="257"/>
      <c r="CQ47" s="196"/>
      <c r="CR47" s="167"/>
      <c r="CS47" s="257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191"/>
      <c r="DN47" s="46"/>
      <c r="DO47" s="196"/>
      <c r="DP47" s="221"/>
      <c r="DQ47" s="257">
        <f t="shared" si="4"/>
        <v>0</v>
      </c>
      <c r="DR47" s="294"/>
      <c r="DS47" s="295"/>
      <c r="DT47" s="386">
        <f t="shared" si="5"/>
        <v>0</v>
      </c>
      <c r="DU47" s="41"/>
      <c r="DV47" s="41"/>
      <c r="DW47" s="256"/>
      <c r="DX47" s="41"/>
      <c r="DY47" s="41"/>
      <c r="DZ47" s="68"/>
      <c r="EA47" s="41"/>
      <c r="EB47" s="41"/>
      <c r="EC47" s="256"/>
      <c r="ED47" s="308"/>
      <c r="EE47" s="308"/>
      <c r="EF47" s="308"/>
      <c r="EG47" s="41"/>
      <c r="EH47" s="41"/>
      <c r="EI47" s="41"/>
      <c r="EJ47" s="69"/>
      <c r="EK47" s="308"/>
      <c r="EL47" s="308"/>
      <c r="EM47" s="308"/>
      <c r="EN47" s="308"/>
      <c r="EO47" s="41"/>
      <c r="EP47" s="41"/>
      <c r="EQ47" s="41"/>
      <c r="ER47" s="256"/>
      <c r="ES47" s="293"/>
      <c r="ET47" s="293"/>
      <c r="EU47" s="293"/>
      <c r="EV47" s="293"/>
      <c r="EW47" s="41"/>
      <c r="EX47" s="41"/>
      <c r="EY47" s="41"/>
      <c r="EZ47" s="256"/>
      <c r="FA47" s="308"/>
      <c r="FB47" s="308"/>
      <c r="FC47" s="308"/>
      <c r="FD47" s="308"/>
      <c r="FE47" s="41"/>
      <c r="FF47" s="41"/>
      <c r="FG47" s="41"/>
      <c r="FH47" s="256"/>
      <c r="FI47" s="41"/>
      <c r="FJ47" s="41"/>
      <c r="FK47" s="41"/>
      <c r="FL47" s="276"/>
    </row>
    <row r="48" spans="1:168">
      <c r="A48" s="45">
        <v>41</v>
      </c>
      <c r="B48" s="45" t="s">
        <v>210</v>
      </c>
      <c r="C48" s="45">
        <v>4</v>
      </c>
      <c r="D48" s="29" t="s">
        <v>78</v>
      </c>
      <c r="E48" s="30">
        <v>12</v>
      </c>
      <c r="F48" s="30">
        <v>7</v>
      </c>
      <c r="G48" s="246">
        <f>5887.854/1000</f>
        <v>5.8878539999999999</v>
      </c>
      <c r="H48" s="45">
        <v>0</v>
      </c>
      <c r="I48" s="45">
        <v>5887.8539999999994</v>
      </c>
      <c r="J48" s="397">
        <v>15.381650000000004</v>
      </c>
      <c r="K48" s="495">
        <f t="shared" si="1"/>
        <v>21.269504000000005</v>
      </c>
      <c r="L48" s="578"/>
      <c r="M48" s="45">
        <f t="shared" si="2"/>
        <v>0</v>
      </c>
      <c r="N48" s="46">
        <f t="shared" si="3"/>
        <v>21.269504000000005</v>
      </c>
      <c r="O48" s="46">
        <f t="shared" si="7"/>
        <v>21</v>
      </c>
      <c r="P48" s="234"/>
      <c r="Q48" s="46"/>
      <c r="R48" s="450"/>
      <c r="S48" s="257"/>
      <c r="T48" s="46"/>
      <c r="U48" s="46"/>
      <c r="V48" s="46"/>
      <c r="W48" s="46"/>
      <c r="X48" s="196"/>
      <c r="Y48" s="46"/>
      <c r="Z48" s="46"/>
      <c r="AA48" s="46"/>
      <c r="AB48" s="46"/>
      <c r="AC48" s="46"/>
      <c r="AD48" s="46"/>
      <c r="AE48" s="46"/>
      <c r="AF48" s="196"/>
      <c r="AG48" s="46"/>
      <c r="AH48" s="46"/>
      <c r="AI48" s="46"/>
      <c r="AJ48" s="46"/>
      <c r="AK48" s="46"/>
      <c r="AL48" s="46"/>
      <c r="AM48" s="46"/>
      <c r="AN48" s="196"/>
      <c r="AO48" s="438"/>
      <c r="AP48" s="46"/>
      <c r="AQ48" s="368"/>
      <c r="AR48" s="257"/>
      <c r="AS48" s="196"/>
      <c r="AT48" s="46"/>
      <c r="AU48" s="46"/>
      <c r="AV48" s="196"/>
      <c r="AW48" s="257"/>
      <c r="AX48" s="196"/>
      <c r="AY48" s="191"/>
      <c r="AZ48" s="257"/>
      <c r="BA48" s="196"/>
      <c r="BB48" s="46"/>
      <c r="BC48" s="257"/>
      <c r="BD48" s="196"/>
      <c r="BE48" s="191"/>
      <c r="BF48" s="46"/>
      <c r="BG48" s="196"/>
      <c r="BH48" s="46"/>
      <c r="BI48" s="257"/>
      <c r="BJ48" s="196"/>
      <c r="BK48" s="191"/>
      <c r="BL48" s="257"/>
      <c r="BM48" s="196"/>
      <c r="BN48" s="46"/>
      <c r="BO48" s="257"/>
      <c r="BP48" s="196"/>
      <c r="BQ48" s="190"/>
      <c r="BR48" s="46"/>
      <c r="BS48" s="196"/>
      <c r="BT48" s="46"/>
      <c r="BU48" s="257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196"/>
      <c r="CI48" s="46"/>
      <c r="CJ48" s="46"/>
      <c r="CK48" s="46"/>
      <c r="CL48" s="46"/>
      <c r="CM48" s="46"/>
      <c r="CN48" s="196"/>
      <c r="CO48" s="191"/>
      <c r="CP48" s="257"/>
      <c r="CQ48" s="196"/>
      <c r="CR48" s="167"/>
      <c r="CS48" s="257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191"/>
      <c r="DN48" s="46"/>
      <c r="DO48" s="196"/>
      <c r="DP48" s="221" t="s">
        <v>531</v>
      </c>
      <c r="DQ48" s="257">
        <f>DW48+EC48+EJ48+ER48+EZ48+FH48+21000</f>
        <v>21000</v>
      </c>
      <c r="DR48" s="294"/>
      <c r="DS48" s="295"/>
      <c r="DT48" s="386">
        <f t="shared" si="5"/>
        <v>0</v>
      </c>
      <c r="DU48" s="41"/>
      <c r="DV48" s="41"/>
      <c r="DW48" s="256"/>
      <c r="DX48" s="41"/>
      <c r="DY48" s="41"/>
      <c r="DZ48" s="68"/>
      <c r="EA48" s="41"/>
      <c r="EB48" s="41"/>
      <c r="EC48" s="256"/>
      <c r="ED48" s="308"/>
      <c r="EE48" s="308"/>
      <c r="EF48" s="308"/>
      <c r="EG48" s="41"/>
      <c r="EH48" s="41"/>
      <c r="EI48" s="41"/>
      <c r="EJ48" s="69"/>
      <c r="EK48" s="308"/>
      <c r="EL48" s="308"/>
      <c r="EM48" s="308"/>
      <c r="EN48" s="308"/>
      <c r="EO48" s="41"/>
      <c r="EP48" s="41"/>
      <c r="EQ48" s="41"/>
      <c r="ER48" s="256"/>
      <c r="ES48" s="293"/>
      <c r="ET48" s="293"/>
      <c r="EU48" s="293"/>
      <c r="EV48" s="293"/>
      <c r="EW48" s="41"/>
      <c r="EX48" s="41"/>
      <c r="EY48" s="41"/>
      <c r="EZ48" s="256"/>
      <c r="FA48" s="308"/>
      <c r="FB48" s="308"/>
      <c r="FC48" s="308"/>
      <c r="FD48" s="308"/>
      <c r="FE48" s="41"/>
      <c r="FF48" s="41"/>
      <c r="FG48" s="41"/>
      <c r="FH48" s="256"/>
      <c r="FI48" s="41"/>
      <c r="FJ48" s="41"/>
      <c r="FK48" s="41"/>
      <c r="FL48" s="276"/>
    </row>
    <row r="49" spans="1:168">
      <c r="A49" s="45">
        <v>42</v>
      </c>
      <c r="B49" s="45" t="s">
        <v>210</v>
      </c>
      <c r="C49" s="45">
        <v>4</v>
      </c>
      <c r="D49" s="29" t="s">
        <v>78</v>
      </c>
      <c r="E49" s="30">
        <v>13</v>
      </c>
      <c r="F49" s="30">
        <v>7</v>
      </c>
      <c r="G49" s="246">
        <f>11733.876/1000</f>
        <v>11.733876</v>
      </c>
      <c r="H49" s="45">
        <v>0</v>
      </c>
      <c r="I49" s="45">
        <v>11733.876</v>
      </c>
      <c r="J49" s="397">
        <v>56.537579999999998</v>
      </c>
      <c r="K49" s="495">
        <f t="shared" si="1"/>
        <v>68.271456000000001</v>
      </c>
      <c r="L49" s="578"/>
      <c r="M49" s="45">
        <f t="shared" si="2"/>
        <v>0</v>
      </c>
      <c r="N49" s="46">
        <f t="shared" si="3"/>
        <v>68.271456000000001</v>
      </c>
      <c r="O49" s="46">
        <f t="shared" si="7"/>
        <v>68</v>
      </c>
      <c r="P49" s="234"/>
      <c r="Q49" s="46"/>
      <c r="R49" s="450"/>
      <c r="S49" s="257"/>
      <c r="T49" s="46"/>
      <c r="U49" s="46"/>
      <c r="V49" s="46"/>
      <c r="W49" s="46"/>
      <c r="X49" s="196"/>
      <c r="Y49" s="46"/>
      <c r="Z49" s="46"/>
      <c r="AA49" s="46"/>
      <c r="AB49" s="46"/>
      <c r="AC49" s="46"/>
      <c r="AD49" s="46"/>
      <c r="AE49" s="46"/>
      <c r="AF49" s="196"/>
      <c r="AG49" s="46"/>
      <c r="AH49" s="46"/>
      <c r="AI49" s="46"/>
      <c r="AJ49" s="46"/>
      <c r="AK49" s="46"/>
      <c r="AL49" s="46"/>
      <c r="AM49" s="46"/>
      <c r="AN49" s="196"/>
      <c r="AO49" s="438"/>
      <c r="AP49" s="46"/>
      <c r="AQ49" s="368"/>
      <c r="AR49" s="257"/>
      <c r="AS49" s="196"/>
      <c r="AT49" s="46"/>
      <c r="AU49" s="46"/>
      <c r="AV49" s="196"/>
      <c r="AW49" s="257"/>
      <c r="AX49" s="196"/>
      <c r="AY49" s="191"/>
      <c r="AZ49" s="257"/>
      <c r="BA49" s="196"/>
      <c r="BB49" s="46"/>
      <c r="BC49" s="257"/>
      <c r="BD49" s="196"/>
      <c r="BE49" s="191"/>
      <c r="BF49" s="46"/>
      <c r="BG49" s="196"/>
      <c r="BH49" s="46"/>
      <c r="BI49" s="257"/>
      <c r="BJ49" s="196"/>
      <c r="BK49" s="191"/>
      <c r="BL49" s="257"/>
      <c r="BM49" s="196"/>
      <c r="BN49" s="46"/>
      <c r="BO49" s="257"/>
      <c r="BP49" s="196"/>
      <c r="BQ49" s="190"/>
      <c r="BR49" s="46"/>
      <c r="BS49" s="196"/>
      <c r="BT49" s="46"/>
      <c r="BU49" s="257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196"/>
      <c r="CI49" s="46"/>
      <c r="CJ49" s="46"/>
      <c r="CK49" s="46"/>
      <c r="CL49" s="46"/>
      <c r="CM49" s="46"/>
      <c r="CN49" s="196"/>
      <c r="CO49" s="191"/>
      <c r="CP49" s="257"/>
      <c r="CQ49" s="196"/>
      <c r="CR49" s="167"/>
      <c r="CS49" s="257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191"/>
      <c r="DN49" s="46"/>
      <c r="DO49" s="196"/>
      <c r="DP49" s="221" t="s">
        <v>531</v>
      </c>
      <c r="DQ49" s="257">
        <f>DW49+EC49+EJ49+ER49+EZ49+FH49+68000</f>
        <v>68000</v>
      </c>
      <c r="DR49" s="294"/>
      <c r="DS49" s="295"/>
      <c r="DT49" s="386">
        <f t="shared" si="5"/>
        <v>0</v>
      </c>
      <c r="DU49" s="41"/>
      <c r="DV49" s="41"/>
      <c r="DW49" s="256"/>
      <c r="DX49" s="41"/>
      <c r="DY49" s="41"/>
      <c r="DZ49" s="68"/>
      <c r="EA49" s="41"/>
      <c r="EB49" s="41"/>
      <c r="EC49" s="256"/>
      <c r="ED49" s="308"/>
      <c r="EE49" s="308"/>
      <c r="EF49" s="308"/>
      <c r="EG49" s="41"/>
      <c r="EH49" s="41"/>
      <c r="EI49" s="41"/>
      <c r="EJ49" s="69"/>
      <c r="EK49" s="308"/>
      <c r="EL49" s="308"/>
      <c r="EM49" s="308"/>
      <c r="EN49" s="308"/>
      <c r="EO49" s="41"/>
      <c r="EP49" s="41"/>
      <c r="EQ49" s="41"/>
      <c r="ER49" s="256"/>
      <c r="ES49" s="293"/>
      <c r="ET49" s="293"/>
      <c r="EU49" s="293"/>
      <c r="EV49" s="293"/>
      <c r="EW49" s="41"/>
      <c r="EX49" s="41"/>
      <c r="EY49" s="41"/>
      <c r="EZ49" s="256"/>
      <c r="FA49" s="308"/>
      <c r="FB49" s="308"/>
      <c r="FC49" s="308"/>
      <c r="FD49" s="308"/>
      <c r="FE49" s="41"/>
      <c r="FF49" s="41"/>
      <c r="FG49" s="41"/>
      <c r="FH49" s="256"/>
      <c r="FI49" s="41"/>
      <c r="FJ49" s="41"/>
      <c r="FK49" s="41"/>
      <c r="FL49" s="276"/>
    </row>
    <row r="50" spans="1:168">
      <c r="A50" s="45">
        <v>43</v>
      </c>
      <c r="B50" s="45" t="s">
        <v>210</v>
      </c>
      <c r="C50" s="45">
        <v>4</v>
      </c>
      <c r="D50" s="29" t="s">
        <v>78</v>
      </c>
      <c r="E50" s="30">
        <v>15</v>
      </c>
      <c r="F50" s="30">
        <v>7</v>
      </c>
      <c r="G50" s="246">
        <f>5898.312/1000</f>
        <v>5.8983119999999998</v>
      </c>
      <c r="H50" s="45">
        <v>0</v>
      </c>
      <c r="I50" s="45">
        <v>5898.3119999999999</v>
      </c>
      <c r="J50" s="397">
        <v>28.419959999999996</v>
      </c>
      <c r="K50" s="495">
        <f t="shared" si="1"/>
        <v>34.318271999999993</v>
      </c>
      <c r="L50" s="578"/>
      <c r="M50" s="45">
        <f t="shared" si="2"/>
        <v>0</v>
      </c>
      <c r="N50" s="46">
        <f t="shared" si="3"/>
        <v>34.318271999999993</v>
      </c>
      <c r="O50" s="46">
        <f t="shared" si="7"/>
        <v>34</v>
      </c>
      <c r="P50" s="234"/>
      <c r="Q50" s="46"/>
      <c r="R50" s="450"/>
      <c r="S50" s="257"/>
      <c r="T50" s="46"/>
      <c r="U50" s="46"/>
      <c r="V50" s="46"/>
      <c r="W50" s="46"/>
      <c r="X50" s="196"/>
      <c r="Y50" s="46"/>
      <c r="Z50" s="46"/>
      <c r="AA50" s="46"/>
      <c r="AB50" s="46"/>
      <c r="AC50" s="46"/>
      <c r="AD50" s="46"/>
      <c r="AE50" s="46"/>
      <c r="AF50" s="196"/>
      <c r="AG50" s="46"/>
      <c r="AH50" s="46"/>
      <c r="AI50" s="46"/>
      <c r="AJ50" s="46"/>
      <c r="AK50" s="46"/>
      <c r="AL50" s="46"/>
      <c r="AM50" s="46"/>
      <c r="AN50" s="196"/>
      <c r="AO50" s="438"/>
      <c r="AP50" s="46"/>
      <c r="AQ50" s="368"/>
      <c r="AR50" s="257"/>
      <c r="AS50" s="196"/>
      <c r="AT50" s="46"/>
      <c r="AU50" s="46"/>
      <c r="AV50" s="196"/>
      <c r="AW50" s="257"/>
      <c r="AX50" s="196"/>
      <c r="AY50" s="191"/>
      <c r="AZ50" s="257"/>
      <c r="BA50" s="196"/>
      <c r="BB50" s="46"/>
      <c r="BC50" s="257"/>
      <c r="BD50" s="196"/>
      <c r="BE50" s="191"/>
      <c r="BF50" s="46"/>
      <c r="BG50" s="196"/>
      <c r="BH50" s="46"/>
      <c r="BI50" s="257"/>
      <c r="BJ50" s="196"/>
      <c r="BK50" s="191"/>
      <c r="BL50" s="257"/>
      <c r="BM50" s="196"/>
      <c r="BN50" s="46"/>
      <c r="BO50" s="257"/>
      <c r="BP50" s="196"/>
      <c r="BQ50" s="190"/>
      <c r="BR50" s="46"/>
      <c r="BS50" s="196"/>
      <c r="BT50" s="46"/>
      <c r="BU50" s="257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196"/>
      <c r="CI50" s="46"/>
      <c r="CJ50" s="46"/>
      <c r="CK50" s="46"/>
      <c r="CL50" s="46"/>
      <c r="CM50" s="46"/>
      <c r="CN50" s="196"/>
      <c r="CO50" s="191"/>
      <c r="CP50" s="257"/>
      <c r="CQ50" s="196"/>
      <c r="CR50" s="167"/>
      <c r="CS50" s="257"/>
      <c r="CT50" s="46"/>
      <c r="CU50" s="46"/>
      <c r="CV50" s="46"/>
      <c r="CW50" s="46"/>
      <c r="CX50" s="46"/>
      <c r="CY50" s="46"/>
      <c r="CZ50" s="46"/>
      <c r="DA50" s="46"/>
      <c r="DB50" s="257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191"/>
      <c r="DN50" s="46"/>
      <c r="DO50" s="196"/>
      <c r="DP50" s="221" t="s">
        <v>531</v>
      </c>
      <c r="DQ50" s="257">
        <f>DW50+EC50+EJ50+ER50+EZ50+FH50+34000</f>
        <v>34000</v>
      </c>
      <c r="DR50" s="294"/>
      <c r="DS50" s="295"/>
      <c r="DT50" s="386">
        <f t="shared" si="5"/>
        <v>0</v>
      </c>
      <c r="DU50" s="41"/>
      <c r="DV50" s="41"/>
      <c r="DW50" s="256"/>
      <c r="DX50" s="41"/>
      <c r="DY50" s="41"/>
      <c r="DZ50" s="68"/>
      <c r="EA50" s="41"/>
      <c r="EB50" s="41"/>
      <c r="EC50" s="256"/>
      <c r="ED50" s="308"/>
      <c r="EE50" s="308"/>
      <c r="EF50" s="308"/>
      <c r="EG50" s="41"/>
      <c r="EH50" s="41"/>
      <c r="EI50" s="41"/>
      <c r="EJ50" s="69"/>
      <c r="EK50" s="308"/>
      <c r="EL50" s="308"/>
      <c r="EM50" s="308"/>
      <c r="EN50" s="308"/>
      <c r="EO50" s="41"/>
      <c r="EP50" s="41"/>
      <c r="EQ50" s="41"/>
      <c r="ER50" s="256"/>
      <c r="ES50" s="293"/>
      <c r="ET50" s="293"/>
      <c r="EU50" s="293"/>
      <c r="EV50" s="293"/>
      <c r="EW50" s="41"/>
      <c r="EX50" s="41"/>
      <c r="EY50" s="41"/>
      <c r="EZ50" s="256"/>
      <c r="FA50" s="308"/>
      <c r="FB50" s="308"/>
      <c r="FC50" s="308"/>
      <c r="FD50" s="308"/>
      <c r="FE50" s="41"/>
      <c r="FF50" s="41"/>
      <c r="FG50" s="41"/>
      <c r="FH50" s="256"/>
      <c r="FI50" s="41"/>
      <c r="FJ50" s="41"/>
      <c r="FK50" s="41"/>
      <c r="FL50" s="276"/>
    </row>
    <row r="51" spans="1:168">
      <c r="A51" s="45">
        <v>44</v>
      </c>
      <c r="B51" s="45" t="s">
        <v>210</v>
      </c>
      <c r="C51" s="45">
        <v>4</v>
      </c>
      <c r="D51" s="29" t="s">
        <v>78</v>
      </c>
      <c r="E51" s="30">
        <v>16</v>
      </c>
      <c r="F51" s="30">
        <v>7</v>
      </c>
      <c r="G51" s="246">
        <f>5908.77/1000</f>
        <v>5.9087700000000005</v>
      </c>
      <c r="H51" s="45">
        <v>0</v>
      </c>
      <c r="I51" s="45">
        <v>5908.7699999999995</v>
      </c>
      <c r="J51" s="397">
        <v>28.47035</v>
      </c>
      <c r="K51" s="495">
        <f t="shared" si="1"/>
        <v>34.37912</v>
      </c>
      <c r="L51" s="578"/>
      <c r="M51" s="45">
        <f t="shared" si="2"/>
        <v>0</v>
      </c>
      <c r="N51" s="46">
        <f t="shared" si="3"/>
        <v>34.37912</v>
      </c>
      <c r="O51" s="46">
        <f t="shared" si="7"/>
        <v>34</v>
      </c>
      <c r="P51" s="234"/>
      <c r="Q51" s="46"/>
      <c r="R51" s="450"/>
      <c r="S51" s="257"/>
      <c r="T51" s="46"/>
      <c r="U51" s="46"/>
      <c r="V51" s="46"/>
      <c r="W51" s="46"/>
      <c r="X51" s="196"/>
      <c r="Y51" s="46"/>
      <c r="Z51" s="46"/>
      <c r="AA51" s="46"/>
      <c r="AB51" s="46"/>
      <c r="AC51" s="46"/>
      <c r="AD51" s="46"/>
      <c r="AE51" s="46"/>
      <c r="AF51" s="196"/>
      <c r="AG51" s="46"/>
      <c r="AH51" s="46"/>
      <c r="AI51" s="46"/>
      <c r="AJ51" s="46"/>
      <c r="AK51" s="46"/>
      <c r="AL51" s="46"/>
      <c r="AM51" s="46"/>
      <c r="AN51" s="196"/>
      <c r="AO51" s="438"/>
      <c r="AP51" s="46"/>
      <c r="AQ51" s="368"/>
      <c r="AR51" s="257"/>
      <c r="AS51" s="196"/>
      <c r="AT51" s="46"/>
      <c r="AU51" s="46"/>
      <c r="AV51" s="196"/>
      <c r="AW51" s="257"/>
      <c r="AX51" s="196"/>
      <c r="AY51" s="191"/>
      <c r="AZ51" s="257"/>
      <c r="BA51" s="196"/>
      <c r="BB51" s="46"/>
      <c r="BC51" s="257"/>
      <c r="BD51" s="196"/>
      <c r="BE51" s="191"/>
      <c r="BF51" s="46"/>
      <c r="BG51" s="196"/>
      <c r="BH51" s="46"/>
      <c r="BI51" s="257"/>
      <c r="BJ51" s="196"/>
      <c r="BK51" s="191"/>
      <c r="BL51" s="257"/>
      <c r="BM51" s="196"/>
      <c r="BN51" s="46"/>
      <c r="BO51" s="257"/>
      <c r="BP51" s="196"/>
      <c r="BQ51" s="190"/>
      <c r="BR51" s="46"/>
      <c r="BS51" s="196"/>
      <c r="BT51" s="46"/>
      <c r="BU51" s="257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196"/>
      <c r="CI51" s="46"/>
      <c r="CJ51" s="46"/>
      <c r="CK51" s="46"/>
      <c r="CL51" s="46"/>
      <c r="CM51" s="46"/>
      <c r="CN51" s="196"/>
      <c r="CO51" s="191"/>
      <c r="CP51" s="257"/>
      <c r="CQ51" s="196"/>
      <c r="CR51" s="167"/>
      <c r="CS51" s="257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191"/>
      <c r="DN51" s="46"/>
      <c r="DO51" s="196"/>
      <c r="DP51" s="221" t="s">
        <v>531</v>
      </c>
      <c r="DQ51" s="257">
        <f>DW51+EC51+EJ51+ER51+EZ51+FH51+34000</f>
        <v>34000</v>
      </c>
      <c r="DR51" s="294"/>
      <c r="DS51" s="295"/>
      <c r="DT51" s="386">
        <f t="shared" si="5"/>
        <v>0</v>
      </c>
      <c r="DU51" s="41"/>
      <c r="DV51" s="41"/>
      <c r="DW51" s="256"/>
      <c r="DX51" s="41"/>
      <c r="DY51" s="41"/>
      <c r="DZ51" s="68"/>
      <c r="EA51" s="41"/>
      <c r="EB51" s="41"/>
      <c r="EC51" s="256"/>
      <c r="ED51" s="308"/>
      <c r="EE51" s="308"/>
      <c r="EF51" s="308"/>
      <c r="EG51" s="41"/>
      <c r="EH51" s="41"/>
      <c r="EI51" s="41"/>
      <c r="EJ51" s="69"/>
      <c r="EK51" s="308"/>
      <c r="EL51" s="308"/>
      <c r="EM51" s="308"/>
      <c r="EN51" s="308"/>
      <c r="EO51" s="41"/>
      <c r="EP51" s="41"/>
      <c r="EQ51" s="41"/>
      <c r="ER51" s="256"/>
      <c r="ES51" s="293"/>
      <c r="ET51" s="293"/>
      <c r="EU51" s="293"/>
      <c r="EV51" s="293"/>
      <c r="EW51" s="41"/>
      <c r="EX51" s="41"/>
      <c r="EY51" s="41"/>
      <c r="EZ51" s="256"/>
      <c r="FA51" s="308"/>
      <c r="FB51" s="308"/>
      <c r="FC51" s="308"/>
      <c r="FD51" s="308"/>
      <c r="FE51" s="41"/>
      <c r="FF51" s="41"/>
      <c r="FG51" s="41"/>
      <c r="FH51" s="256"/>
      <c r="FI51" s="41"/>
      <c r="FJ51" s="41"/>
      <c r="FK51" s="41"/>
      <c r="FL51" s="276"/>
    </row>
    <row r="52" spans="1:168">
      <c r="A52" s="45">
        <v>45</v>
      </c>
      <c r="B52" s="45" t="s">
        <v>210</v>
      </c>
      <c r="C52" s="45">
        <v>4</v>
      </c>
      <c r="D52" s="29" t="s">
        <v>78</v>
      </c>
      <c r="E52" s="30">
        <v>19</v>
      </c>
      <c r="F52" s="30">
        <v>7</v>
      </c>
      <c r="G52" s="246">
        <f>11765.25/1000</f>
        <v>11.76525</v>
      </c>
      <c r="H52" s="45">
        <v>0</v>
      </c>
      <c r="I52" s="45">
        <v>11765.25</v>
      </c>
      <c r="J52" s="397">
        <v>56.688749999999999</v>
      </c>
      <c r="K52" s="495">
        <f t="shared" si="1"/>
        <v>68.453999999999994</v>
      </c>
      <c r="L52" s="578"/>
      <c r="M52" s="45">
        <f t="shared" si="2"/>
        <v>0</v>
      </c>
      <c r="N52" s="46">
        <f t="shared" si="3"/>
        <v>68.453999999999994</v>
      </c>
      <c r="O52" s="46">
        <f t="shared" si="7"/>
        <v>68</v>
      </c>
      <c r="P52" s="234"/>
      <c r="Q52" s="46"/>
      <c r="R52" s="450"/>
      <c r="S52" s="257"/>
      <c r="T52" s="46"/>
      <c r="U52" s="46"/>
      <c r="V52" s="46"/>
      <c r="W52" s="46"/>
      <c r="X52" s="196"/>
      <c r="Y52" s="46"/>
      <c r="Z52" s="46"/>
      <c r="AA52" s="46"/>
      <c r="AB52" s="46"/>
      <c r="AC52" s="46"/>
      <c r="AD52" s="46"/>
      <c r="AE52" s="46"/>
      <c r="AF52" s="196"/>
      <c r="AG52" s="46"/>
      <c r="AH52" s="46"/>
      <c r="AI52" s="46"/>
      <c r="AJ52" s="46"/>
      <c r="AK52" s="46"/>
      <c r="AL52" s="46"/>
      <c r="AM52" s="46"/>
      <c r="AN52" s="196"/>
      <c r="AO52" s="438"/>
      <c r="AP52" s="46"/>
      <c r="AQ52" s="368"/>
      <c r="AR52" s="257"/>
      <c r="AS52" s="196"/>
      <c r="AT52" s="46"/>
      <c r="AU52" s="46"/>
      <c r="AV52" s="196"/>
      <c r="AW52" s="257"/>
      <c r="AX52" s="196"/>
      <c r="AY52" s="191"/>
      <c r="AZ52" s="257"/>
      <c r="BA52" s="196"/>
      <c r="BB52" s="46"/>
      <c r="BC52" s="257"/>
      <c r="BD52" s="196"/>
      <c r="BE52" s="191"/>
      <c r="BF52" s="46"/>
      <c r="BG52" s="196"/>
      <c r="BH52" s="46"/>
      <c r="BI52" s="257"/>
      <c r="BJ52" s="196"/>
      <c r="BK52" s="191"/>
      <c r="BL52" s="257"/>
      <c r="BM52" s="196"/>
      <c r="BN52" s="46"/>
      <c r="BO52" s="257"/>
      <c r="BP52" s="196"/>
      <c r="BQ52" s="190"/>
      <c r="BR52" s="46"/>
      <c r="BS52" s="196"/>
      <c r="BT52" s="46"/>
      <c r="BU52" s="257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196"/>
      <c r="CI52" s="46"/>
      <c r="CJ52" s="46"/>
      <c r="CK52" s="46"/>
      <c r="CL52" s="46"/>
      <c r="CM52" s="46"/>
      <c r="CN52" s="196"/>
      <c r="CO52" s="191"/>
      <c r="CP52" s="257"/>
      <c r="CQ52" s="196"/>
      <c r="CR52" s="167"/>
      <c r="CS52" s="257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191"/>
      <c r="DN52" s="46"/>
      <c r="DO52" s="196"/>
      <c r="DP52" s="221" t="s">
        <v>531</v>
      </c>
      <c r="DQ52" s="257">
        <f>DW52+EC52+EJ52+ER52+EZ52+FH52+68000</f>
        <v>68000</v>
      </c>
      <c r="DR52" s="294"/>
      <c r="DS52" s="295"/>
      <c r="DT52" s="386">
        <f t="shared" si="5"/>
        <v>0</v>
      </c>
      <c r="DU52" s="41"/>
      <c r="DV52" s="41"/>
      <c r="DW52" s="256"/>
      <c r="DX52" s="41"/>
      <c r="DY52" s="41"/>
      <c r="DZ52" s="68"/>
      <c r="EA52" s="41"/>
      <c r="EB52" s="41"/>
      <c r="EC52" s="256"/>
      <c r="ED52" s="308"/>
      <c r="EE52" s="308"/>
      <c r="EF52" s="308"/>
      <c r="EG52" s="41"/>
      <c r="EH52" s="41"/>
      <c r="EI52" s="41"/>
      <c r="EJ52" s="69"/>
      <c r="EK52" s="308"/>
      <c r="EL52" s="308"/>
      <c r="EM52" s="308"/>
      <c r="EN52" s="308"/>
      <c r="EO52" s="41"/>
      <c r="EP52" s="41"/>
      <c r="EQ52" s="41"/>
      <c r="ER52" s="256"/>
      <c r="ES52" s="293"/>
      <c r="ET52" s="293"/>
      <c r="EU52" s="293"/>
      <c r="EV52" s="293"/>
      <c r="EW52" s="41"/>
      <c r="EX52" s="41"/>
      <c r="EY52" s="41"/>
      <c r="EZ52" s="256"/>
      <c r="FA52" s="308"/>
      <c r="FB52" s="308"/>
      <c r="FC52" s="308"/>
      <c r="FD52" s="308"/>
      <c r="FE52" s="41"/>
      <c r="FF52" s="41"/>
      <c r="FG52" s="41"/>
      <c r="FH52" s="256"/>
      <c r="FI52" s="41"/>
      <c r="FJ52" s="41"/>
      <c r="FK52" s="41"/>
      <c r="FL52" s="276"/>
    </row>
    <row r="53" spans="1:168">
      <c r="A53" s="45">
        <v>46</v>
      </c>
      <c r="B53" s="45" t="s">
        <v>210</v>
      </c>
      <c r="C53" s="45">
        <v>4</v>
      </c>
      <c r="D53" s="29" t="s">
        <v>78</v>
      </c>
      <c r="E53" s="30">
        <v>20</v>
      </c>
      <c r="F53" s="30">
        <v>7</v>
      </c>
      <c r="G53" s="246">
        <f>11963.952/1000</f>
        <v>11.963951999999999</v>
      </c>
      <c r="H53" s="45">
        <v>0</v>
      </c>
      <c r="I53" s="45">
        <v>11963.952000000001</v>
      </c>
      <c r="J53" s="397">
        <v>52.268930000000005</v>
      </c>
      <c r="K53" s="495">
        <f t="shared" si="1"/>
        <v>64.232882000000004</v>
      </c>
      <c r="L53" s="578"/>
      <c r="M53" s="45">
        <f t="shared" si="2"/>
        <v>0</v>
      </c>
      <c r="N53" s="46">
        <f t="shared" ref="N53:N123" si="8">K53-M53</f>
        <v>64.232882000000004</v>
      </c>
      <c r="O53" s="46">
        <f t="shared" si="7"/>
        <v>64</v>
      </c>
      <c r="P53" s="234"/>
      <c r="Q53" s="46"/>
      <c r="R53" s="450"/>
      <c r="S53" s="257"/>
      <c r="T53" s="46"/>
      <c r="U53" s="46"/>
      <c r="V53" s="46"/>
      <c r="W53" s="46"/>
      <c r="X53" s="196"/>
      <c r="Y53" s="46"/>
      <c r="Z53" s="46"/>
      <c r="AA53" s="46"/>
      <c r="AB53" s="46"/>
      <c r="AC53" s="46"/>
      <c r="AD53" s="46"/>
      <c r="AE53" s="46"/>
      <c r="AF53" s="196"/>
      <c r="AG53" s="46"/>
      <c r="AH53" s="46"/>
      <c r="AI53" s="46"/>
      <c r="AJ53" s="46"/>
      <c r="AK53" s="46"/>
      <c r="AL53" s="46"/>
      <c r="AM53" s="46"/>
      <c r="AN53" s="196"/>
      <c r="AO53" s="438"/>
      <c r="AP53" s="46"/>
      <c r="AQ53" s="368"/>
      <c r="AR53" s="257"/>
      <c r="AS53" s="196"/>
      <c r="AT53" s="46"/>
      <c r="AU53" s="46"/>
      <c r="AV53" s="196"/>
      <c r="AW53" s="257"/>
      <c r="AX53" s="196"/>
      <c r="AY53" s="191"/>
      <c r="AZ53" s="257"/>
      <c r="BA53" s="196"/>
      <c r="BB53" s="46"/>
      <c r="BC53" s="257"/>
      <c r="BD53" s="196"/>
      <c r="BE53" s="191"/>
      <c r="BF53" s="46"/>
      <c r="BG53" s="196"/>
      <c r="BH53" s="46"/>
      <c r="BI53" s="257"/>
      <c r="BJ53" s="196"/>
      <c r="BK53" s="191"/>
      <c r="BL53" s="257"/>
      <c r="BM53" s="196"/>
      <c r="BN53" s="46"/>
      <c r="BO53" s="257"/>
      <c r="BP53" s="196"/>
      <c r="BQ53" s="190"/>
      <c r="BR53" s="46"/>
      <c r="BS53" s="196"/>
      <c r="BT53" s="46"/>
      <c r="BU53" s="257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196"/>
      <c r="CI53" s="46"/>
      <c r="CJ53" s="46"/>
      <c r="CK53" s="46"/>
      <c r="CL53" s="46"/>
      <c r="CM53" s="46"/>
      <c r="CN53" s="196"/>
      <c r="CO53" s="191"/>
      <c r="CP53" s="257"/>
      <c r="CQ53" s="196"/>
      <c r="CR53" s="167"/>
      <c r="CS53" s="257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191"/>
      <c r="DN53" s="46"/>
      <c r="DO53" s="196"/>
      <c r="DP53" s="221" t="s">
        <v>531</v>
      </c>
      <c r="DQ53" s="257">
        <f>DW53+EC53+EJ53+ER53+EZ53+FH53+64000</f>
        <v>64000</v>
      </c>
      <c r="DR53" s="294"/>
      <c r="DS53" s="295"/>
      <c r="DT53" s="386">
        <f t="shared" si="5"/>
        <v>0</v>
      </c>
      <c r="DU53" s="41"/>
      <c r="DV53" s="41"/>
      <c r="DW53" s="256"/>
      <c r="DX53" s="41"/>
      <c r="DY53" s="41"/>
      <c r="DZ53" s="68"/>
      <c r="EA53" s="41"/>
      <c r="EB53" s="41"/>
      <c r="EC53" s="256"/>
      <c r="ED53" s="308"/>
      <c r="EE53" s="308"/>
      <c r="EF53" s="308"/>
      <c r="EG53" s="41"/>
      <c r="EH53" s="41"/>
      <c r="EI53" s="41"/>
      <c r="EJ53" s="69"/>
      <c r="EK53" s="308"/>
      <c r="EL53" s="308"/>
      <c r="EM53" s="308"/>
      <c r="EN53" s="308"/>
      <c r="EO53" s="41"/>
      <c r="EP53" s="41"/>
      <c r="EQ53" s="41"/>
      <c r="ER53" s="256"/>
      <c r="ES53" s="293"/>
      <c r="ET53" s="293"/>
      <c r="EU53" s="293"/>
      <c r="EV53" s="293"/>
      <c r="EW53" s="41"/>
      <c r="EX53" s="41"/>
      <c r="EY53" s="41"/>
      <c r="EZ53" s="256"/>
      <c r="FA53" s="308"/>
      <c r="FB53" s="308"/>
      <c r="FC53" s="308"/>
      <c r="FD53" s="308"/>
      <c r="FE53" s="41"/>
      <c r="FF53" s="41"/>
      <c r="FG53" s="41"/>
      <c r="FH53" s="256"/>
      <c r="FI53" s="41"/>
      <c r="FJ53" s="41"/>
      <c r="FK53" s="41"/>
      <c r="FL53" s="276"/>
    </row>
    <row r="54" spans="1:168">
      <c r="A54" s="45">
        <v>47</v>
      </c>
      <c r="B54" s="45" t="s">
        <v>210</v>
      </c>
      <c r="C54" s="45">
        <v>4</v>
      </c>
      <c r="D54" s="29" t="s">
        <v>78</v>
      </c>
      <c r="E54" s="30">
        <v>21</v>
      </c>
      <c r="F54" s="30">
        <v>7</v>
      </c>
      <c r="G54" s="246">
        <f>11796.624/1000</f>
        <v>11.796624</v>
      </c>
      <c r="H54" s="45">
        <v>0</v>
      </c>
      <c r="I54" s="45">
        <v>11796.624</v>
      </c>
      <c r="J54" s="397">
        <v>56.839919999999992</v>
      </c>
      <c r="K54" s="495">
        <f t="shared" si="1"/>
        <v>68.636543999999986</v>
      </c>
      <c r="L54" s="578"/>
      <c r="M54" s="45">
        <f t="shared" si="2"/>
        <v>0</v>
      </c>
      <c r="N54" s="46">
        <f t="shared" si="8"/>
        <v>68.636543999999986</v>
      </c>
      <c r="O54" s="46">
        <f t="shared" si="7"/>
        <v>68</v>
      </c>
      <c r="P54" s="234"/>
      <c r="Q54" s="46"/>
      <c r="R54" s="450"/>
      <c r="S54" s="257"/>
      <c r="T54" s="46"/>
      <c r="U54" s="46"/>
      <c r="V54" s="46"/>
      <c r="W54" s="46"/>
      <c r="X54" s="196"/>
      <c r="Y54" s="46"/>
      <c r="Z54" s="46"/>
      <c r="AA54" s="46"/>
      <c r="AB54" s="46"/>
      <c r="AC54" s="46"/>
      <c r="AD54" s="46"/>
      <c r="AE54" s="46"/>
      <c r="AF54" s="196"/>
      <c r="AG54" s="46"/>
      <c r="AH54" s="46"/>
      <c r="AI54" s="46"/>
      <c r="AJ54" s="46"/>
      <c r="AK54" s="46"/>
      <c r="AL54" s="46"/>
      <c r="AM54" s="46"/>
      <c r="AN54" s="196"/>
      <c r="AO54" s="438"/>
      <c r="AP54" s="46"/>
      <c r="AQ54" s="368"/>
      <c r="AR54" s="257"/>
      <c r="AS54" s="196"/>
      <c r="AT54" s="46"/>
      <c r="AU54" s="46"/>
      <c r="AV54" s="196"/>
      <c r="AW54" s="257"/>
      <c r="AX54" s="196"/>
      <c r="AY54" s="191"/>
      <c r="AZ54" s="257"/>
      <c r="BA54" s="196"/>
      <c r="BB54" s="46"/>
      <c r="BC54" s="257"/>
      <c r="BD54" s="196"/>
      <c r="BE54" s="191"/>
      <c r="BF54" s="46"/>
      <c r="BG54" s="196"/>
      <c r="BH54" s="46"/>
      <c r="BI54" s="257"/>
      <c r="BJ54" s="196"/>
      <c r="BK54" s="191"/>
      <c r="BL54" s="257"/>
      <c r="BM54" s="196"/>
      <c r="BN54" s="46"/>
      <c r="BO54" s="257"/>
      <c r="BP54" s="196"/>
      <c r="BQ54" s="190"/>
      <c r="BR54" s="46"/>
      <c r="BS54" s="196"/>
      <c r="BT54" s="46"/>
      <c r="BU54" s="257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196"/>
      <c r="CI54" s="46"/>
      <c r="CJ54" s="46"/>
      <c r="CK54" s="46"/>
      <c r="CL54" s="46"/>
      <c r="CM54" s="46"/>
      <c r="CN54" s="196"/>
      <c r="CO54" s="191"/>
      <c r="CP54" s="257"/>
      <c r="CQ54" s="196"/>
      <c r="CR54" s="167"/>
      <c r="CS54" s="257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191"/>
      <c r="DN54" s="46"/>
      <c r="DO54" s="196"/>
      <c r="DP54" s="221" t="s">
        <v>531</v>
      </c>
      <c r="DQ54" s="257">
        <f>DW54+EC54+EJ54+ER54+EZ54+FH54+68000</f>
        <v>68000</v>
      </c>
      <c r="DR54" s="294"/>
      <c r="DS54" s="295"/>
      <c r="DT54" s="386">
        <f t="shared" si="5"/>
        <v>0</v>
      </c>
      <c r="DU54" s="41"/>
      <c r="DV54" s="41"/>
      <c r="DW54" s="256"/>
      <c r="DX54" s="41"/>
      <c r="DY54" s="41"/>
      <c r="DZ54" s="68"/>
      <c r="EA54" s="41"/>
      <c r="EB54" s="41"/>
      <c r="EC54" s="256"/>
      <c r="ED54" s="308"/>
      <c r="EE54" s="308"/>
      <c r="EF54" s="308"/>
      <c r="EG54" s="41"/>
      <c r="EH54" s="41"/>
      <c r="EI54" s="41"/>
      <c r="EJ54" s="69"/>
      <c r="EK54" s="308"/>
      <c r="EL54" s="308"/>
      <c r="EM54" s="308"/>
      <c r="EN54" s="308"/>
      <c r="EO54" s="41"/>
      <c r="EP54" s="41"/>
      <c r="EQ54" s="41"/>
      <c r="ER54" s="256"/>
      <c r="ES54" s="293"/>
      <c r="ET54" s="293"/>
      <c r="EU54" s="293"/>
      <c r="EV54" s="293"/>
      <c r="EW54" s="41"/>
      <c r="EX54" s="41"/>
      <c r="EY54" s="41"/>
      <c r="EZ54" s="256"/>
      <c r="FA54" s="308"/>
      <c r="FB54" s="308"/>
      <c r="FC54" s="308"/>
      <c r="FD54" s="308"/>
      <c r="FE54" s="41"/>
      <c r="FF54" s="41"/>
      <c r="FG54" s="41"/>
      <c r="FH54" s="256"/>
      <c r="FI54" s="41"/>
      <c r="FJ54" s="41"/>
      <c r="FK54" s="41"/>
      <c r="FL54" s="276"/>
    </row>
    <row r="55" spans="1:168">
      <c r="A55" s="45">
        <v>48</v>
      </c>
      <c r="B55" s="45" t="s">
        <v>210</v>
      </c>
      <c r="C55" s="45">
        <v>4</v>
      </c>
      <c r="D55" s="29" t="s">
        <v>493</v>
      </c>
      <c r="E55" s="175">
        <v>104</v>
      </c>
      <c r="F55" s="188">
        <v>7</v>
      </c>
      <c r="G55" s="246">
        <v>0</v>
      </c>
      <c r="H55" s="45">
        <v>0</v>
      </c>
      <c r="I55" s="45">
        <v>0</v>
      </c>
      <c r="J55" s="397">
        <v>15.36927</v>
      </c>
      <c r="K55" s="495">
        <f t="shared" si="1"/>
        <v>15.36927</v>
      </c>
      <c r="L55" s="578"/>
      <c r="M55" s="45">
        <f t="shared" si="2"/>
        <v>0</v>
      </c>
      <c r="N55" s="46">
        <f>K55-M55</f>
        <v>15.36927</v>
      </c>
      <c r="O55" s="46">
        <f t="shared" si="7"/>
        <v>15</v>
      </c>
      <c r="P55" s="234"/>
      <c r="Q55" s="46"/>
      <c r="R55" s="450"/>
      <c r="S55" s="257"/>
      <c r="T55" s="46"/>
      <c r="U55" s="46"/>
      <c r="V55" s="46"/>
      <c r="W55" s="46"/>
      <c r="X55" s="196"/>
      <c r="Y55" s="46"/>
      <c r="Z55" s="46"/>
      <c r="AA55" s="46"/>
      <c r="AB55" s="46"/>
      <c r="AC55" s="46"/>
      <c r="AD55" s="46"/>
      <c r="AE55" s="46"/>
      <c r="AF55" s="196"/>
      <c r="AG55" s="46"/>
      <c r="AH55" s="46"/>
      <c r="AI55" s="46"/>
      <c r="AJ55" s="46"/>
      <c r="AK55" s="46"/>
      <c r="AL55" s="46"/>
      <c r="AM55" s="46"/>
      <c r="AN55" s="196"/>
      <c r="AO55" s="438"/>
      <c r="AP55" s="46"/>
      <c r="AQ55" s="368"/>
      <c r="AR55" s="257"/>
      <c r="AS55" s="196"/>
      <c r="AT55" s="46"/>
      <c r="AU55" s="46"/>
      <c r="AV55" s="196"/>
      <c r="AW55" s="257"/>
      <c r="AX55" s="196"/>
      <c r="AY55" s="191"/>
      <c r="AZ55" s="257"/>
      <c r="BA55" s="196"/>
      <c r="BB55" s="46"/>
      <c r="BC55" s="257"/>
      <c r="BD55" s="196"/>
      <c r="BE55" s="191"/>
      <c r="BF55" s="46"/>
      <c r="BG55" s="196"/>
      <c r="BH55" s="46"/>
      <c r="BI55" s="257"/>
      <c r="BJ55" s="196"/>
      <c r="BK55" s="191"/>
      <c r="BL55" s="257"/>
      <c r="BM55" s="196"/>
      <c r="BN55" s="46"/>
      <c r="BO55" s="257"/>
      <c r="BP55" s="196"/>
      <c r="BQ55" s="190"/>
      <c r="BR55" s="46"/>
      <c r="BS55" s="196"/>
      <c r="BT55" s="46"/>
      <c r="BU55" s="257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196"/>
      <c r="CI55" s="46"/>
      <c r="CJ55" s="46"/>
      <c r="CK55" s="46"/>
      <c r="CL55" s="46"/>
      <c r="CM55" s="46"/>
      <c r="CN55" s="196"/>
      <c r="CO55" s="191"/>
      <c r="CP55" s="257"/>
      <c r="CQ55" s="196"/>
      <c r="CR55" s="167"/>
      <c r="CS55" s="257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191"/>
      <c r="DN55" s="46"/>
      <c r="DO55" s="196"/>
      <c r="DP55" s="221" t="s">
        <v>531</v>
      </c>
      <c r="DQ55" s="257">
        <f>DW55+EC55+EJ55+ER55+EZ55+FH55+15000</f>
        <v>15000</v>
      </c>
      <c r="DR55" s="294"/>
      <c r="DS55" s="295"/>
      <c r="DT55" s="386">
        <f t="shared" si="5"/>
        <v>0</v>
      </c>
      <c r="DU55" s="41"/>
      <c r="DV55" s="41"/>
      <c r="DW55" s="256"/>
      <c r="DX55" s="41"/>
      <c r="DY55" s="41"/>
      <c r="DZ55" s="68"/>
      <c r="EA55" s="41"/>
      <c r="EB55" s="41"/>
      <c r="EC55" s="256"/>
      <c r="ED55" s="308"/>
      <c r="EE55" s="308"/>
      <c r="EF55" s="308"/>
      <c r="EG55" s="41"/>
      <c r="EH55" s="41"/>
      <c r="EI55" s="41"/>
      <c r="EJ55" s="69"/>
      <c r="EK55" s="308"/>
      <c r="EL55" s="308"/>
      <c r="EM55" s="308"/>
      <c r="EN55" s="308"/>
      <c r="EO55" s="41"/>
      <c r="EP55" s="41"/>
      <c r="EQ55" s="41"/>
      <c r="ER55" s="256"/>
      <c r="ES55" s="293"/>
      <c r="ET55" s="293"/>
      <c r="EU55" s="293"/>
      <c r="EV55" s="293"/>
      <c r="EW55" s="41"/>
      <c r="EX55" s="41"/>
      <c r="EY55" s="41"/>
      <c r="EZ55" s="256"/>
      <c r="FA55" s="308"/>
      <c r="FB55" s="308"/>
      <c r="FC55" s="308"/>
      <c r="FD55" s="308"/>
      <c r="FE55" s="41"/>
      <c r="FF55" s="41"/>
      <c r="FG55" s="41"/>
      <c r="FH55" s="256"/>
      <c r="FI55" s="41"/>
      <c r="FJ55" s="41"/>
      <c r="FK55" s="41"/>
      <c r="FL55" s="276"/>
    </row>
    <row r="56" spans="1:168">
      <c r="A56" s="45">
        <v>49</v>
      </c>
      <c r="B56" s="45" t="s">
        <v>210</v>
      </c>
      <c r="C56" s="45">
        <v>4</v>
      </c>
      <c r="D56" s="29" t="s">
        <v>79</v>
      </c>
      <c r="E56" s="30">
        <v>106</v>
      </c>
      <c r="F56" s="30">
        <v>7</v>
      </c>
      <c r="G56" s="246">
        <f>8157.24/1000</f>
        <v>8.1572399999999998</v>
      </c>
      <c r="H56" s="45">
        <v>0</v>
      </c>
      <c r="I56" s="45">
        <v>8157.24</v>
      </c>
      <c r="J56" s="397">
        <v>39.304199999999994</v>
      </c>
      <c r="K56" s="495">
        <f t="shared" si="1"/>
        <v>47.461439999999996</v>
      </c>
      <c r="L56" s="578"/>
      <c r="M56" s="45">
        <f t="shared" si="2"/>
        <v>0</v>
      </c>
      <c r="N56" s="46">
        <f t="shared" si="8"/>
        <v>47.461439999999996</v>
      </c>
      <c r="O56" s="46">
        <f t="shared" si="7"/>
        <v>47</v>
      </c>
      <c r="P56" s="234"/>
      <c r="Q56" s="46"/>
      <c r="R56" s="450"/>
      <c r="S56" s="257"/>
      <c r="T56" s="46"/>
      <c r="U56" s="46"/>
      <c r="V56" s="46"/>
      <c r="W56" s="46"/>
      <c r="X56" s="196"/>
      <c r="Y56" s="46"/>
      <c r="Z56" s="46"/>
      <c r="AA56" s="46"/>
      <c r="AB56" s="46"/>
      <c r="AC56" s="46"/>
      <c r="AD56" s="46"/>
      <c r="AE56" s="46"/>
      <c r="AF56" s="196"/>
      <c r="AG56" s="46"/>
      <c r="AH56" s="46"/>
      <c r="AI56" s="46"/>
      <c r="AJ56" s="46"/>
      <c r="AK56" s="46"/>
      <c r="AL56" s="46"/>
      <c r="AM56" s="46"/>
      <c r="AN56" s="196"/>
      <c r="AO56" s="438"/>
      <c r="AP56" s="46"/>
      <c r="AQ56" s="368"/>
      <c r="AR56" s="257"/>
      <c r="AS56" s="196"/>
      <c r="AT56" s="46"/>
      <c r="AU56" s="46"/>
      <c r="AV56" s="196"/>
      <c r="AW56" s="257"/>
      <c r="AX56" s="196"/>
      <c r="AY56" s="191"/>
      <c r="AZ56" s="257"/>
      <c r="BA56" s="196"/>
      <c r="BB56" s="46"/>
      <c r="BC56" s="257"/>
      <c r="BD56" s="196"/>
      <c r="BE56" s="191"/>
      <c r="BF56" s="46"/>
      <c r="BG56" s="196"/>
      <c r="BH56" s="46"/>
      <c r="BI56" s="257"/>
      <c r="BJ56" s="196"/>
      <c r="BK56" s="191"/>
      <c r="BL56" s="257"/>
      <c r="BM56" s="196"/>
      <c r="BN56" s="46"/>
      <c r="BO56" s="257"/>
      <c r="BP56" s="196"/>
      <c r="BQ56" s="190"/>
      <c r="BR56" s="46"/>
      <c r="BS56" s="196"/>
      <c r="BT56" s="46"/>
      <c r="BU56" s="257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196"/>
      <c r="CI56" s="46"/>
      <c r="CJ56" s="46"/>
      <c r="CK56" s="46"/>
      <c r="CL56" s="46"/>
      <c r="CM56" s="46"/>
      <c r="CN56" s="196"/>
      <c r="CO56" s="191"/>
      <c r="CP56" s="257"/>
      <c r="CQ56" s="196"/>
      <c r="CR56" s="167"/>
      <c r="CS56" s="257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191"/>
      <c r="DN56" s="46"/>
      <c r="DO56" s="196"/>
      <c r="DP56" s="221" t="s">
        <v>531</v>
      </c>
      <c r="DQ56" s="257">
        <f>DW56+EC56+EJ56+ER56+EZ56+FH56+47000</f>
        <v>47000</v>
      </c>
      <c r="DR56" s="294"/>
      <c r="DS56" s="295"/>
      <c r="DT56" s="386">
        <f t="shared" si="5"/>
        <v>0</v>
      </c>
      <c r="DU56" s="41"/>
      <c r="DV56" s="41"/>
      <c r="DW56" s="256"/>
      <c r="DX56" s="41"/>
      <c r="DY56" s="41"/>
      <c r="DZ56" s="68"/>
      <c r="EA56" s="41"/>
      <c r="EB56" s="41"/>
      <c r="EC56" s="256"/>
      <c r="ED56" s="308"/>
      <c r="EE56" s="308"/>
      <c r="EF56" s="308"/>
      <c r="EG56" s="41"/>
      <c r="EH56" s="41"/>
      <c r="EI56" s="41"/>
      <c r="EJ56" s="69"/>
      <c r="EK56" s="308"/>
      <c r="EL56" s="308"/>
      <c r="EM56" s="308"/>
      <c r="EN56" s="308"/>
      <c r="EO56" s="41"/>
      <c r="EP56" s="41"/>
      <c r="EQ56" s="41"/>
      <c r="ER56" s="256"/>
      <c r="ES56" s="293"/>
      <c r="ET56" s="293"/>
      <c r="EU56" s="293"/>
      <c r="EV56" s="293"/>
      <c r="EW56" s="41"/>
      <c r="EX56" s="41"/>
      <c r="EY56" s="41"/>
      <c r="EZ56" s="256"/>
      <c r="FA56" s="308"/>
      <c r="FB56" s="308"/>
      <c r="FC56" s="308"/>
      <c r="FD56" s="308"/>
      <c r="FE56" s="41"/>
      <c r="FF56" s="41"/>
      <c r="FG56" s="41"/>
      <c r="FH56" s="256"/>
      <c r="FI56" s="41"/>
      <c r="FJ56" s="41"/>
      <c r="FK56" s="41"/>
      <c r="FL56" s="276"/>
    </row>
    <row r="57" spans="1:168">
      <c r="A57" s="45">
        <v>50</v>
      </c>
      <c r="B57" s="45" t="s">
        <v>210</v>
      </c>
      <c r="C57" s="45">
        <v>4</v>
      </c>
      <c r="D57" s="29" t="s">
        <v>79</v>
      </c>
      <c r="E57" s="30" t="s">
        <v>80</v>
      </c>
      <c r="F57" s="30">
        <v>7</v>
      </c>
      <c r="G57" s="246">
        <v>0</v>
      </c>
      <c r="H57" s="45">
        <v>0</v>
      </c>
      <c r="I57" s="45">
        <v>0</v>
      </c>
      <c r="J57" s="397">
        <v>30.144909999999999</v>
      </c>
      <c r="K57" s="495">
        <f t="shared" si="1"/>
        <v>30.144909999999999</v>
      </c>
      <c r="L57" s="578"/>
      <c r="M57" s="45">
        <f t="shared" si="2"/>
        <v>0</v>
      </c>
      <c r="N57" s="46">
        <f t="shared" si="8"/>
        <v>30.144909999999999</v>
      </c>
      <c r="O57" s="46">
        <f t="shared" si="7"/>
        <v>30</v>
      </c>
      <c r="P57" s="234"/>
      <c r="Q57" s="46"/>
      <c r="R57" s="450"/>
      <c r="S57" s="257"/>
      <c r="T57" s="46"/>
      <c r="U57" s="46"/>
      <c r="V57" s="46"/>
      <c r="W57" s="46"/>
      <c r="X57" s="196"/>
      <c r="Y57" s="46"/>
      <c r="Z57" s="46"/>
      <c r="AA57" s="46"/>
      <c r="AB57" s="46"/>
      <c r="AC57" s="46"/>
      <c r="AD57" s="46"/>
      <c r="AE57" s="46"/>
      <c r="AF57" s="196"/>
      <c r="AG57" s="46"/>
      <c r="AH57" s="46"/>
      <c r="AI57" s="46"/>
      <c r="AJ57" s="46"/>
      <c r="AK57" s="46"/>
      <c r="AL57" s="46"/>
      <c r="AM57" s="46"/>
      <c r="AN57" s="196"/>
      <c r="AO57" s="438"/>
      <c r="AP57" s="46"/>
      <c r="AQ57" s="368"/>
      <c r="AR57" s="257"/>
      <c r="AS57" s="196"/>
      <c r="AT57" s="46"/>
      <c r="AU57" s="46"/>
      <c r="AV57" s="196"/>
      <c r="AW57" s="257"/>
      <c r="AX57" s="196"/>
      <c r="AY57" s="191"/>
      <c r="AZ57" s="257"/>
      <c r="BA57" s="196"/>
      <c r="BB57" s="46"/>
      <c r="BC57" s="257"/>
      <c r="BD57" s="196"/>
      <c r="BE57" s="191"/>
      <c r="BF57" s="46"/>
      <c r="BG57" s="196"/>
      <c r="BH57" s="46"/>
      <c r="BI57" s="257"/>
      <c r="BJ57" s="196"/>
      <c r="BK57" s="191"/>
      <c r="BL57" s="257"/>
      <c r="BM57" s="196"/>
      <c r="BN57" s="46"/>
      <c r="BO57" s="257"/>
      <c r="BP57" s="196"/>
      <c r="BQ57" s="190"/>
      <c r="BR57" s="46"/>
      <c r="BS57" s="196"/>
      <c r="BT57" s="46"/>
      <c r="BU57" s="257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196"/>
      <c r="CI57" s="46"/>
      <c r="CJ57" s="46"/>
      <c r="CK57" s="46"/>
      <c r="CL57" s="46"/>
      <c r="CM57" s="46"/>
      <c r="CN57" s="196"/>
      <c r="CO57" s="191"/>
      <c r="CP57" s="257"/>
      <c r="CQ57" s="196"/>
      <c r="CR57" s="167"/>
      <c r="CS57" s="257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191"/>
      <c r="DN57" s="46"/>
      <c r="DO57" s="196"/>
      <c r="DP57" s="221" t="s">
        <v>531</v>
      </c>
      <c r="DQ57" s="257">
        <f>DW57+EC57+EJ57+ER57+EZ57+FH57+30000</f>
        <v>30000</v>
      </c>
      <c r="DR57" s="294"/>
      <c r="DS57" s="295"/>
      <c r="DT57" s="386">
        <f t="shared" si="5"/>
        <v>0</v>
      </c>
      <c r="DU57" s="41"/>
      <c r="DV57" s="41"/>
      <c r="DW57" s="256"/>
      <c r="DX57" s="41"/>
      <c r="DY57" s="41"/>
      <c r="DZ57" s="68"/>
      <c r="EA57" s="41"/>
      <c r="EB57" s="41"/>
      <c r="EC57" s="256"/>
      <c r="ED57" s="308"/>
      <c r="EE57" s="308"/>
      <c r="EF57" s="308"/>
      <c r="EG57" s="41"/>
      <c r="EH57" s="41"/>
      <c r="EI57" s="41"/>
      <c r="EJ57" s="69"/>
      <c r="EK57" s="308"/>
      <c r="EL57" s="308"/>
      <c r="EM57" s="308"/>
      <c r="EN57" s="308"/>
      <c r="EO57" s="41"/>
      <c r="EP57" s="41"/>
      <c r="EQ57" s="41"/>
      <c r="ER57" s="256"/>
      <c r="ES57" s="293"/>
      <c r="ET57" s="293"/>
      <c r="EU57" s="293"/>
      <c r="EV57" s="293"/>
      <c r="EW57" s="41"/>
      <c r="EX57" s="41"/>
      <c r="EY57" s="41"/>
      <c r="EZ57" s="256"/>
      <c r="FA57" s="308"/>
      <c r="FB57" s="308"/>
      <c r="FC57" s="308"/>
      <c r="FD57" s="308"/>
      <c r="FE57" s="41"/>
      <c r="FF57" s="41"/>
      <c r="FG57" s="41"/>
      <c r="FH57" s="256"/>
      <c r="FI57" s="41"/>
      <c r="FJ57" s="41"/>
      <c r="FK57" s="41"/>
      <c r="FL57" s="276"/>
    </row>
    <row r="58" spans="1:168">
      <c r="A58" s="45">
        <v>51</v>
      </c>
      <c r="B58" s="45" t="s">
        <v>210</v>
      </c>
      <c r="C58" s="45">
        <v>4</v>
      </c>
      <c r="D58" s="29" t="s">
        <v>79</v>
      </c>
      <c r="E58" s="175">
        <v>120</v>
      </c>
      <c r="F58" s="188">
        <v>7</v>
      </c>
      <c r="G58" s="246">
        <v>0</v>
      </c>
      <c r="H58" s="45">
        <v>0</v>
      </c>
      <c r="I58" s="45">
        <v>0</v>
      </c>
      <c r="J58" s="397">
        <v>9.7118699999999993</v>
      </c>
      <c r="K58" s="495">
        <f t="shared" si="1"/>
        <v>9.7118699999999993</v>
      </c>
      <c r="L58" s="578"/>
      <c r="M58" s="45">
        <f t="shared" si="2"/>
        <v>0</v>
      </c>
      <c r="N58" s="46">
        <f>K58-M58</f>
        <v>9.7118699999999993</v>
      </c>
      <c r="O58" s="46">
        <f t="shared" si="7"/>
        <v>9</v>
      </c>
      <c r="P58" s="234"/>
      <c r="Q58" s="46"/>
      <c r="R58" s="450"/>
      <c r="S58" s="257"/>
      <c r="T58" s="46"/>
      <c r="U58" s="46"/>
      <c r="V58" s="46"/>
      <c r="W58" s="46"/>
      <c r="X58" s="196"/>
      <c r="Y58" s="46"/>
      <c r="Z58" s="46"/>
      <c r="AA58" s="46"/>
      <c r="AB58" s="46"/>
      <c r="AC58" s="46"/>
      <c r="AD58" s="46"/>
      <c r="AE58" s="46"/>
      <c r="AF58" s="196"/>
      <c r="AG58" s="46"/>
      <c r="AH58" s="46"/>
      <c r="AI58" s="46"/>
      <c r="AJ58" s="46"/>
      <c r="AK58" s="46"/>
      <c r="AL58" s="46"/>
      <c r="AM58" s="46"/>
      <c r="AN58" s="196"/>
      <c r="AO58" s="438"/>
      <c r="AP58" s="46"/>
      <c r="AQ58" s="368"/>
      <c r="AR58" s="257"/>
      <c r="AS58" s="196"/>
      <c r="AT58" s="46"/>
      <c r="AU58" s="46"/>
      <c r="AV58" s="196"/>
      <c r="AW58" s="257"/>
      <c r="AX58" s="196"/>
      <c r="AY58" s="191"/>
      <c r="AZ58" s="257"/>
      <c r="BA58" s="196"/>
      <c r="BB58" s="46"/>
      <c r="BC58" s="257"/>
      <c r="BD58" s="196"/>
      <c r="BE58" s="191"/>
      <c r="BF58" s="46"/>
      <c r="BG58" s="196"/>
      <c r="BH58" s="46"/>
      <c r="BI58" s="257"/>
      <c r="BJ58" s="196"/>
      <c r="BK58" s="191"/>
      <c r="BL58" s="257"/>
      <c r="BM58" s="196"/>
      <c r="BN58" s="46"/>
      <c r="BO58" s="257"/>
      <c r="BP58" s="196"/>
      <c r="BQ58" s="190"/>
      <c r="BR58" s="46"/>
      <c r="BS58" s="196"/>
      <c r="BT58" s="46"/>
      <c r="BU58" s="257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196"/>
      <c r="CI58" s="46"/>
      <c r="CJ58" s="46"/>
      <c r="CK58" s="46"/>
      <c r="CL58" s="46"/>
      <c r="CM58" s="46"/>
      <c r="CN58" s="196"/>
      <c r="CO58" s="191"/>
      <c r="CP58" s="257"/>
      <c r="CQ58" s="196"/>
      <c r="CR58" s="167"/>
      <c r="CS58" s="257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191"/>
      <c r="DN58" s="46"/>
      <c r="DO58" s="196"/>
      <c r="DP58" s="221" t="s">
        <v>531</v>
      </c>
      <c r="DQ58" s="257">
        <f>DW58+EC58+EJ58+ER58+EZ58+FH58+9000</f>
        <v>9000</v>
      </c>
      <c r="DR58" s="294"/>
      <c r="DS58" s="295"/>
      <c r="DT58" s="386">
        <f t="shared" si="5"/>
        <v>0</v>
      </c>
      <c r="DU58" s="41"/>
      <c r="DV58" s="41"/>
      <c r="DW58" s="256"/>
      <c r="DX58" s="41"/>
      <c r="DY58" s="41"/>
      <c r="DZ58" s="68"/>
      <c r="EA58" s="41"/>
      <c r="EB58" s="41"/>
      <c r="EC58" s="256"/>
      <c r="ED58" s="308"/>
      <c r="EE58" s="308"/>
      <c r="EF58" s="308"/>
      <c r="EG58" s="41"/>
      <c r="EH58" s="41"/>
      <c r="EI58" s="41"/>
      <c r="EJ58" s="69"/>
      <c r="EK58" s="308"/>
      <c r="EL58" s="308"/>
      <c r="EM58" s="308"/>
      <c r="EN58" s="308"/>
      <c r="EO58" s="41"/>
      <c r="EP58" s="41"/>
      <c r="EQ58" s="41"/>
      <c r="ER58" s="256"/>
      <c r="ES58" s="293"/>
      <c r="ET58" s="293"/>
      <c r="EU58" s="293"/>
      <c r="EV58" s="293"/>
      <c r="EW58" s="41"/>
      <c r="EX58" s="41"/>
      <c r="EY58" s="41"/>
      <c r="EZ58" s="256"/>
      <c r="FA58" s="308"/>
      <c r="FB58" s="308"/>
      <c r="FC58" s="308"/>
      <c r="FD58" s="308"/>
      <c r="FE58" s="41"/>
      <c r="FF58" s="41"/>
      <c r="FG58" s="41"/>
      <c r="FH58" s="256"/>
      <c r="FI58" s="41"/>
      <c r="FJ58" s="41"/>
      <c r="FK58" s="41"/>
      <c r="FL58" s="276"/>
    </row>
    <row r="59" spans="1:168">
      <c r="A59" s="45">
        <v>52</v>
      </c>
      <c r="B59" s="45" t="s">
        <v>210</v>
      </c>
      <c r="C59" s="45">
        <v>4</v>
      </c>
      <c r="D59" s="29" t="s">
        <v>79</v>
      </c>
      <c r="E59" s="30" t="s">
        <v>81</v>
      </c>
      <c r="F59" s="30">
        <v>7</v>
      </c>
      <c r="G59" s="246">
        <v>0</v>
      </c>
      <c r="H59" s="45">
        <v>0</v>
      </c>
      <c r="I59" s="45">
        <v>0</v>
      </c>
      <c r="J59" s="397">
        <v>32.290799999999997</v>
      </c>
      <c r="K59" s="495">
        <f t="shared" si="1"/>
        <v>32.290799999999997</v>
      </c>
      <c r="L59" s="578"/>
      <c r="M59" s="45">
        <f t="shared" si="2"/>
        <v>0</v>
      </c>
      <c r="N59" s="46">
        <f t="shared" si="8"/>
        <v>32.290799999999997</v>
      </c>
      <c r="O59" s="46">
        <f t="shared" si="7"/>
        <v>32</v>
      </c>
      <c r="P59" s="234"/>
      <c r="Q59" s="46"/>
      <c r="R59" s="450"/>
      <c r="S59" s="257"/>
      <c r="T59" s="46"/>
      <c r="U59" s="46"/>
      <c r="V59" s="46"/>
      <c r="W59" s="46"/>
      <c r="X59" s="196"/>
      <c r="Y59" s="46"/>
      <c r="Z59" s="46"/>
      <c r="AA59" s="46"/>
      <c r="AB59" s="46"/>
      <c r="AC59" s="46"/>
      <c r="AD59" s="46"/>
      <c r="AE59" s="46"/>
      <c r="AF59" s="196"/>
      <c r="AG59" s="46"/>
      <c r="AH59" s="46"/>
      <c r="AI59" s="46"/>
      <c r="AJ59" s="46"/>
      <c r="AK59" s="46"/>
      <c r="AL59" s="46"/>
      <c r="AM59" s="46"/>
      <c r="AN59" s="196"/>
      <c r="AO59" s="438"/>
      <c r="AP59" s="46"/>
      <c r="AQ59" s="368"/>
      <c r="AR59" s="257"/>
      <c r="AS59" s="196"/>
      <c r="AT59" s="46"/>
      <c r="AU59" s="46"/>
      <c r="AV59" s="196"/>
      <c r="AW59" s="257"/>
      <c r="AX59" s="196"/>
      <c r="AY59" s="191"/>
      <c r="AZ59" s="257"/>
      <c r="BA59" s="196"/>
      <c r="BB59" s="46"/>
      <c r="BC59" s="257"/>
      <c r="BD59" s="196"/>
      <c r="BE59" s="191"/>
      <c r="BF59" s="46"/>
      <c r="BG59" s="196"/>
      <c r="BH59" s="46"/>
      <c r="BI59" s="257"/>
      <c r="BJ59" s="196"/>
      <c r="BK59" s="191"/>
      <c r="BL59" s="257"/>
      <c r="BM59" s="196"/>
      <c r="BN59" s="46"/>
      <c r="BO59" s="257"/>
      <c r="BP59" s="196"/>
      <c r="BQ59" s="190"/>
      <c r="BR59" s="46"/>
      <c r="BS59" s="196"/>
      <c r="BT59" s="46"/>
      <c r="BU59" s="257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196"/>
      <c r="CI59" s="46"/>
      <c r="CJ59" s="46"/>
      <c r="CK59" s="46"/>
      <c r="CL59" s="46"/>
      <c r="CM59" s="46"/>
      <c r="CN59" s="196"/>
      <c r="CO59" s="191"/>
      <c r="CP59" s="257"/>
      <c r="CQ59" s="196"/>
      <c r="CR59" s="167"/>
      <c r="CS59" s="257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191"/>
      <c r="DN59" s="46"/>
      <c r="DO59" s="196"/>
      <c r="DP59" s="221" t="s">
        <v>531</v>
      </c>
      <c r="DQ59" s="257">
        <f>DW59+EC59+EJ59+ER59+EZ59+FH59+32000</f>
        <v>32000</v>
      </c>
      <c r="DR59" s="294"/>
      <c r="DS59" s="295"/>
      <c r="DT59" s="386">
        <f t="shared" si="5"/>
        <v>0</v>
      </c>
      <c r="DU59" s="41"/>
      <c r="DV59" s="41"/>
      <c r="DW59" s="256"/>
      <c r="DX59" s="41"/>
      <c r="DY59" s="41"/>
      <c r="DZ59" s="68"/>
      <c r="EA59" s="41"/>
      <c r="EB59" s="41"/>
      <c r="EC59" s="256"/>
      <c r="ED59" s="308"/>
      <c r="EE59" s="308"/>
      <c r="EF59" s="308"/>
      <c r="EG59" s="41"/>
      <c r="EH59" s="41"/>
      <c r="EI59" s="41"/>
      <c r="EJ59" s="69"/>
      <c r="EK59" s="308"/>
      <c r="EL59" s="308"/>
      <c r="EM59" s="308"/>
      <c r="EN59" s="308"/>
      <c r="EO59" s="41"/>
      <c r="EP59" s="41"/>
      <c r="EQ59" s="41"/>
      <c r="ER59" s="256"/>
      <c r="ES59" s="293"/>
      <c r="ET59" s="293"/>
      <c r="EU59" s="293"/>
      <c r="EV59" s="293"/>
      <c r="EW59" s="41"/>
      <c r="EX59" s="41"/>
      <c r="EY59" s="41"/>
      <c r="EZ59" s="256"/>
      <c r="FA59" s="308"/>
      <c r="FB59" s="308"/>
      <c r="FC59" s="308"/>
      <c r="FD59" s="308"/>
      <c r="FE59" s="41"/>
      <c r="FF59" s="41"/>
      <c r="FG59" s="41"/>
      <c r="FH59" s="256"/>
      <c r="FI59" s="41"/>
      <c r="FJ59" s="41"/>
      <c r="FK59" s="41"/>
      <c r="FL59" s="276"/>
    </row>
    <row r="60" spans="1:168">
      <c r="A60" s="45">
        <v>53</v>
      </c>
      <c r="B60" s="45" t="s">
        <v>210</v>
      </c>
      <c r="C60" s="45">
        <v>4</v>
      </c>
      <c r="D60" s="29" t="s">
        <v>493</v>
      </c>
      <c r="E60" s="175">
        <v>126</v>
      </c>
      <c r="F60" s="188">
        <v>7</v>
      </c>
      <c r="G60" s="246">
        <f>4068.162/1000</f>
        <v>4.0681620000000001</v>
      </c>
      <c r="H60" s="45">
        <v>0</v>
      </c>
      <c r="I60" s="45">
        <v>4068.1620000000003</v>
      </c>
      <c r="J60" s="397">
        <v>15.142989999999998</v>
      </c>
      <c r="K60" s="495">
        <f t="shared" si="1"/>
        <v>19.211151999999998</v>
      </c>
      <c r="L60" s="578"/>
      <c r="M60" s="45">
        <f t="shared" si="2"/>
        <v>0</v>
      </c>
      <c r="N60" s="46">
        <f>K60-M60</f>
        <v>19.211151999999998</v>
      </c>
      <c r="O60" s="46">
        <f t="shared" si="7"/>
        <v>19</v>
      </c>
      <c r="P60" s="234"/>
      <c r="Q60" s="46"/>
      <c r="R60" s="450"/>
      <c r="S60" s="257"/>
      <c r="T60" s="46"/>
      <c r="U60" s="46"/>
      <c r="V60" s="46"/>
      <c r="W60" s="46"/>
      <c r="X60" s="196"/>
      <c r="Y60" s="46"/>
      <c r="Z60" s="46"/>
      <c r="AA60" s="46"/>
      <c r="AB60" s="46"/>
      <c r="AC60" s="46"/>
      <c r="AD60" s="46"/>
      <c r="AE60" s="46"/>
      <c r="AF60" s="196"/>
      <c r="AG60" s="46"/>
      <c r="AH60" s="46"/>
      <c r="AI60" s="46"/>
      <c r="AJ60" s="46"/>
      <c r="AK60" s="46"/>
      <c r="AL60" s="46"/>
      <c r="AM60" s="46"/>
      <c r="AN60" s="196"/>
      <c r="AO60" s="438"/>
      <c r="AP60" s="46"/>
      <c r="AQ60" s="368"/>
      <c r="AR60" s="257"/>
      <c r="AS60" s="196"/>
      <c r="AT60" s="46"/>
      <c r="AU60" s="46"/>
      <c r="AV60" s="196"/>
      <c r="AW60" s="257"/>
      <c r="AX60" s="196"/>
      <c r="AY60" s="191"/>
      <c r="AZ60" s="257"/>
      <c r="BA60" s="196"/>
      <c r="BB60" s="46"/>
      <c r="BC60" s="257"/>
      <c r="BD60" s="196"/>
      <c r="BE60" s="191"/>
      <c r="BF60" s="46"/>
      <c r="BG60" s="196"/>
      <c r="BH60" s="46"/>
      <c r="BI60" s="257"/>
      <c r="BJ60" s="196"/>
      <c r="BK60" s="191"/>
      <c r="BL60" s="257"/>
      <c r="BM60" s="196"/>
      <c r="BN60" s="46"/>
      <c r="BO60" s="257"/>
      <c r="BP60" s="196"/>
      <c r="BQ60" s="190"/>
      <c r="BR60" s="46"/>
      <c r="BS60" s="196"/>
      <c r="BT60" s="46"/>
      <c r="BU60" s="257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196"/>
      <c r="CI60" s="46"/>
      <c r="CJ60" s="46"/>
      <c r="CK60" s="46"/>
      <c r="CL60" s="46"/>
      <c r="CM60" s="46"/>
      <c r="CN60" s="196"/>
      <c r="CO60" s="191"/>
      <c r="CP60" s="257"/>
      <c r="CQ60" s="196"/>
      <c r="CR60" s="167"/>
      <c r="CS60" s="257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191"/>
      <c r="DN60" s="46"/>
      <c r="DO60" s="196"/>
      <c r="DP60" s="221" t="s">
        <v>531</v>
      </c>
      <c r="DQ60" s="257">
        <f>DW60+EC60+EJ60+ER60+EZ60+FH60+19000</f>
        <v>19000</v>
      </c>
      <c r="DR60" s="294"/>
      <c r="DS60" s="295"/>
      <c r="DT60" s="386">
        <f t="shared" si="5"/>
        <v>0</v>
      </c>
      <c r="DU60" s="41"/>
      <c r="DV60" s="41"/>
      <c r="DW60" s="256"/>
      <c r="DX60" s="41"/>
      <c r="DY60" s="41"/>
      <c r="DZ60" s="68"/>
      <c r="EA60" s="41"/>
      <c r="EB60" s="41"/>
      <c r="EC60" s="256"/>
      <c r="ED60" s="308"/>
      <c r="EE60" s="308"/>
      <c r="EF60" s="308"/>
      <c r="EG60" s="41"/>
      <c r="EH60" s="41"/>
      <c r="EI60" s="41"/>
      <c r="EJ60" s="69"/>
      <c r="EK60" s="308"/>
      <c r="EL60" s="308"/>
      <c r="EM60" s="308"/>
      <c r="EN60" s="308"/>
      <c r="EO60" s="41"/>
      <c r="EP60" s="41"/>
      <c r="EQ60" s="41"/>
      <c r="ER60" s="256"/>
      <c r="ES60" s="293"/>
      <c r="ET60" s="293"/>
      <c r="EU60" s="293"/>
      <c r="EV60" s="293"/>
      <c r="EW60" s="41"/>
      <c r="EX60" s="41"/>
      <c r="EY60" s="41"/>
      <c r="EZ60" s="256"/>
      <c r="FA60" s="308"/>
      <c r="FB60" s="308"/>
      <c r="FC60" s="308"/>
      <c r="FD60" s="308"/>
      <c r="FE60" s="41"/>
      <c r="FF60" s="41"/>
      <c r="FG60" s="41"/>
      <c r="FH60" s="256"/>
      <c r="FI60" s="41"/>
      <c r="FJ60" s="41"/>
      <c r="FK60" s="41"/>
      <c r="FL60" s="276"/>
    </row>
    <row r="61" spans="1:168">
      <c r="A61" s="45">
        <v>54</v>
      </c>
      <c r="B61" s="45" t="s">
        <v>210</v>
      </c>
      <c r="C61" s="45">
        <v>5</v>
      </c>
      <c r="D61" s="29" t="s">
        <v>82</v>
      </c>
      <c r="E61" s="30">
        <v>3</v>
      </c>
      <c r="F61" s="30">
        <v>7</v>
      </c>
      <c r="G61" s="246">
        <f>44676.576/1000</f>
        <v>44.676576000000004</v>
      </c>
      <c r="H61" s="45">
        <v>0</v>
      </c>
      <c r="I61" s="45">
        <v>44676.576000000001</v>
      </c>
      <c r="J61" s="397">
        <v>0.671400000000002</v>
      </c>
      <c r="K61" s="495">
        <f t="shared" si="1"/>
        <v>45.347976000000003</v>
      </c>
      <c r="L61" s="578"/>
      <c r="M61" s="45">
        <f t="shared" si="2"/>
        <v>0</v>
      </c>
      <c r="N61" s="46">
        <f t="shared" si="8"/>
        <v>45.347976000000003</v>
      </c>
      <c r="O61" s="46">
        <f t="shared" si="7"/>
        <v>25</v>
      </c>
      <c r="P61" s="234"/>
      <c r="Q61" s="46"/>
      <c r="R61" s="450"/>
      <c r="S61" s="257"/>
      <c r="T61" s="46"/>
      <c r="U61" s="46"/>
      <c r="V61" s="46"/>
      <c r="W61" s="46"/>
      <c r="X61" s="196"/>
      <c r="Y61" s="46"/>
      <c r="Z61" s="46"/>
      <c r="AA61" s="46"/>
      <c r="AB61" s="46"/>
      <c r="AC61" s="46"/>
      <c r="AD61" s="46"/>
      <c r="AE61" s="46"/>
      <c r="AF61" s="196"/>
      <c r="AG61" s="46"/>
      <c r="AH61" s="46"/>
      <c r="AI61" s="46"/>
      <c r="AJ61" s="46"/>
      <c r="AK61" s="46"/>
      <c r="AL61" s="46"/>
      <c r="AM61" s="46"/>
      <c r="AN61" s="196"/>
      <c r="AO61" s="438"/>
      <c r="AP61" s="46"/>
      <c r="AQ61" s="368"/>
      <c r="AR61" s="257"/>
      <c r="AS61" s="196"/>
      <c r="AT61" s="46"/>
      <c r="AU61" s="46"/>
      <c r="AV61" s="196"/>
      <c r="AW61" s="257"/>
      <c r="AX61" s="196"/>
      <c r="AY61" s="191"/>
      <c r="AZ61" s="257"/>
      <c r="BA61" s="196"/>
      <c r="BB61" s="46"/>
      <c r="BC61" s="257"/>
      <c r="BD61" s="196"/>
      <c r="BE61" s="191"/>
      <c r="BF61" s="46"/>
      <c r="BG61" s="196"/>
      <c r="BH61" s="46"/>
      <c r="BI61" s="257"/>
      <c r="BJ61" s="196"/>
      <c r="BK61" s="190"/>
      <c r="BL61" s="257"/>
      <c r="BM61" s="196"/>
      <c r="BN61" s="46"/>
      <c r="BO61" s="257"/>
      <c r="BP61" s="196"/>
      <c r="BQ61" s="190"/>
      <c r="BR61" s="46"/>
      <c r="BS61" s="196"/>
      <c r="BT61" s="46"/>
      <c r="BU61" s="257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196"/>
      <c r="CI61" s="46"/>
      <c r="CJ61" s="46"/>
      <c r="CK61" s="46"/>
      <c r="CL61" s="46"/>
      <c r="CM61" s="46"/>
      <c r="CN61" s="196"/>
      <c r="CO61" s="191"/>
      <c r="CP61" s="257"/>
      <c r="CQ61" s="196"/>
      <c r="CR61" s="167"/>
      <c r="CS61" s="257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191"/>
      <c r="DN61" s="46"/>
      <c r="DO61" s="196"/>
      <c r="DP61" s="221" t="s">
        <v>836</v>
      </c>
      <c r="DQ61" s="257">
        <f>DW61+EC61+EJ61+ER61+EZ61+FH61+25000</f>
        <v>25000</v>
      </c>
      <c r="DR61" s="294"/>
      <c r="DS61" s="295"/>
      <c r="DT61" s="386">
        <f t="shared" si="5"/>
        <v>0</v>
      </c>
      <c r="DU61" s="41"/>
      <c r="DV61" s="41"/>
      <c r="DW61" s="256"/>
      <c r="DX61" s="41"/>
      <c r="DY61" s="41"/>
      <c r="DZ61" s="68"/>
      <c r="EA61" s="41"/>
      <c r="EB61" s="41"/>
      <c r="EC61" s="256"/>
      <c r="ED61" s="308"/>
      <c r="EE61" s="308"/>
      <c r="EF61" s="308"/>
      <c r="EG61" s="41"/>
      <c r="EH61" s="41"/>
      <c r="EI61" s="41"/>
      <c r="EJ61" s="69"/>
      <c r="EK61" s="308"/>
      <c r="EL61" s="308"/>
      <c r="EM61" s="308"/>
      <c r="EN61" s="308"/>
      <c r="EO61" s="41"/>
      <c r="EP61" s="41"/>
      <c r="EQ61" s="41"/>
      <c r="ER61" s="256"/>
      <c r="ES61" s="293"/>
      <c r="ET61" s="293"/>
      <c r="EU61" s="293"/>
      <c r="EV61" s="293"/>
      <c r="EW61" s="41"/>
      <c r="EX61" s="41"/>
      <c r="EY61" s="41"/>
      <c r="EZ61" s="256"/>
      <c r="FA61" s="308"/>
      <c r="FB61" s="308"/>
      <c r="FC61" s="308"/>
      <c r="FD61" s="308"/>
      <c r="FE61" s="41"/>
      <c r="FF61" s="41"/>
      <c r="FG61" s="41"/>
      <c r="FH61" s="256"/>
      <c r="FI61" s="41"/>
      <c r="FJ61" s="41"/>
      <c r="FK61" s="41"/>
      <c r="FL61" s="276"/>
    </row>
    <row r="62" spans="1:168" ht="20.25">
      <c r="A62" s="45">
        <v>55</v>
      </c>
      <c r="B62" s="45" t="s">
        <v>210</v>
      </c>
      <c r="C62" s="45">
        <v>5</v>
      </c>
      <c r="D62" s="29" t="s">
        <v>82</v>
      </c>
      <c r="E62" s="30">
        <v>7</v>
      </c>
      <c r="F62" s="30">
        <v>7</v>
      </c>
      <c r="G62" s="246">
        <f>43767.7758/1000</f>
        <v>43.767775800000003</v>
      </c>
      <c r="H62" s="45">
        <v>0</v>
      </c>
      <c r="I62" s="45">
        <v>43767.775800000003</v>
      </c>
      <c r="J62" s="397">
        <v>146.04903700000003</v>
      </c>
      <c r="K62" s="495">
        <f t="shared" si="1"/>
        <v>189.81681280000004</v>
      </c>
      <c r="L62" s="578"/>
      <c r="M62" s="45">
        <f t="shared" si="2"/>
        <v>0</v>
      </c>
      <c r="N62" s="46">
        <f t="shared" si="8"/>
        <v>189.81681280000004</v>
      </c>
      <c r="O62" s="46">
        <f t="shared" si="7"/>
        <v>64.599999999999994</v>
      </c>
      <c r="P62" s="234"/>
      <c r="Q62" s="46"/>
      <c r="R62" s="450"/>
      <c r="S62" s="257"/>
      <c r="T62" s="46"/>
      <c r="U62" s="46"/>
      <c r="V62" s="46"/>
      <c r="W62" s="46"/>
      <c r="X62" s="196"/>
      <c r="Y62" s="46"/>
      <c r="Z62" s="46"/>
      <c r="AA62" s="46"/>
      <c r="AB62" s="46"/>
      <c r="AC62" s="46"/>
      <c r="AD62" s="46"/>
      <c r="AE62" s="46"/>
      <c r="AF62" s="196"/>
      <c r="AG62" s="46"/>
      <c r="AH62" s="46"/>
      <c r="AI62" s="46"/>
      <c r="AJ62" s="46"/>
      <c r="AK62" s="46"/>
      <c r="AL62" s="46"/>
      <c r="AM62" s="46"/>
      <c r="AN62" s="196"/>
      <c r="AO62" s="438"/>
      <c r="AP62" s="46"/>
      <c r="AQ62" s="368"/>
      <c r="AR62" s="257"/>
      <c r="AS62" s="196"/>
      <c r="AT62" s="46"/>
      <c r="AU62" s="46"/>
      <c r="AV62" s="196"/>
      <c r="AW62" s="257"/>
      <c r="AX62" s="196"/>
      <c r="AY62" s="191"/>
      <c r="AZ62" s="257"/>
      <c r="BA62" s="196"/>
      <c r="BB62" s="46"/>
      <c r="BC62" s="257"/>
      <c r="BD62" s="196"/>
      <c r="BE62" s="191"/>
      <c r="BF62" s="46"/>
      <c r="BG62" s="196"/>
      <c r="BH62" s="46"/>
      <c r="BI62" s="257"/>
      <c r="BJ62" s="196"/>
      <c r="BK62" s="191"/>
      <c r="BL62" s="257"/>
      <c r="BM62" s="196"/>
      <c r="BN62" s="46"/>
      <c r="BO62" s="257"/>
      <c r="BP62" s="196"/>
      <c r="BQ62" s="190"/>
      <c r="BR62" s="46"/>
      <c r="BS62" s="196"/>
      <c r="BT62" s="46"/>
      <c r="BU62" s="257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196"/>
      <c r="CI62" s="46"/>
      <c r="CJ62" s="46"/>
      <c r="CK62" s="46"/>
      <c r="CL62" s="46"/>
      <c r="CM62" s="46"/>
      <c r="CN62" s="196"/>
      <c r="CO62" s="191"/>
      <c r="CP62" s="257"/>
      <c r="CQ62" s="196"/>
      <c r="CR62" s="167"/>
      <c r="CS62" s="257"/>
      <c r="CT62" s="46"/>
      <c r="CU62" s="46"/>
      <c r="CV62" s="46"/>
      <c r="CW62" s="46"/>
      <c r="CX62" s="46"/>
      <c r="CY62" s="46"/>
      <c r="CZ62" s="46"/>
      <c r="DA62" s="46"/>
      <c r="DB62" s="257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191"/>
      <c r="DN62" s="46"/>
      <c r="DO62" s="196"/>
      <c r="DP62" s="221" t="s">
        <v>837</v>
      </c>
      <c r="DQ62" s="257">
        <f>DW62+EC62+EJ62+ER62+EZ62+FH62+15000</f>
        <v>64600</v>
      </c>
      <c r="DR62" s="294"/>
      <c r="DS62" s="295"/>
      <c r="DT62" s="386">
        <f t="shared" si="5"/>
        <v>0</v>
      </c>
      <c r="DU62" s="41"/>
      <c r="DV62" s="41"/>
      <c r="DW62" s="256"/>
      <c r="DX62" s="41"/>
      <c r="DY62" s="41"/>
      <c r="DZ62" s="68"/>
      <c r="EA62" s="41">
        <v>10</v>
      </c>
      <c r="EB62" s="41">
        <v>62</v>
      </c>
      <c r="EC62" s="256">
        <f>EB62*800</f>
        <v>49600</v>
      </c>
      <c r="ED62" s="308"/>
      <c r="EE62" s="308"/>
      <c r="EF62" s="308"/>
      <c r="EG62" s="41"/>
      <c r="EH62" s="41"/>
      <c r="EI62" s="41"/>
      <c r="EJ62" s="69"/>
      <c r="EK62" s="308"/>
      <c r="EL62" s="308"/>
      <c r="EM62" s="308"/>
      <c r="EN62" s="308"/>
      <c r="EO62" s="41"/>
      <c r="EP62" s="41"/>
      <c r="EQ62" s="41"/>
      <c r="ER62" s="256"/>
      <c r="ES62" s="293"/>
      <c r="ET62" s="293"/>
      <c r="EU62" s="293"/>
      <c r="EV62" s="293"/>
      <c r="EW62" s="41"/>
      <c r="EX62" s="41"/>
      <c r="EY62" s="41"/>
      <c r="EZ62" s="256"/>
      <c r="FA62" s="308"/>
      <c r="FB62" s="308"/>
      <c r="FC62" s="308"/>
      <c r="FD62" s="308"/>
      <c r="FE62" s="41"/>
      <c r="FF62" s="41"/>
      <c r="FG62" s="41"/>
      <c r="FH62" s="256"/>
      <c r="FI62" s="41"/>
      <c r="FJ62" s="41"/>
      <c r="FK62" s="41"/>
      <c r="FL62" s="276"/>
    </row>
    <row r="63" spans="1:168">
      <c r="A63" s="45">
        <v>56</v>
      </c>
      <c r="B63" s="45" t="s">
        <v>210</v>
      </c>
      <c r="C63" s="45">
        <v>5</v>
      </c>
      <c r="D63" s="29" t="s">
        <v>82</v>
      </c>
      <c r="E63" s="30">
        <v>24</v>
      </c>
      <c r="F63" s="30">
        <v>7</v>
      </c>
      <c r="G63" s="246">
        <f>66498.2388/1000</f>
        <v>66.49823880000001</v>
      </c>
      <c r="H63" s="45">
        <v>0</v>
      </c>
      <c r="I63" s="45">
        <v>66498.238800000006</v>
      </c>
      <c r="J63" s="397">
        <v>117.87228600000002</v>
      </c>
      <c r="K63" s="495">
        <f t="shared" si="1"/>
        <v>184.37052480000003</v>
      </c>
      <c r="L63" s="578"/>
      <c r="M63" s="45">
        <f t="shared" si="2"/>
        <v>0</v>
      </c>
      <c r="N63" s="46">
        <f t="shared" si="8"/>
        <v>184.37052480000003</v>
      </c>
      <c r="O63" s="46">
        <f t="shared" si="7"/>
        <v>180</v>
      </c>
      <c r="P63" s="234" t="s">
        <v>229</v>
      </c>
      <c r="Q63" s="46">
        <v>2</v>
      </c>
      <c r="R63" s="450">
        <v>1.2</v>
      </c>
      <c r="S63" s="257">
        <v>180000</v>
      </c>
      <c r="T63" s="46"/>
      <c r="U63" s="46"/>
      <c r="V63" s="46"/>
      <c r="W63" s="46"/>
      <c r="X63" s="196"/>
      <c r="Y63" s="46"/>
      <c r="Z63" s="46"/>
      <c r="AA63" s="46"/>
      <c r="AB63" s="46"/>
      <c r="AC63" s="46"/>
      <c r="AD63" s="46"/>
      <c r="AE63" s="46"/>
      <c r="AF63" s="196"/>
      <c r="AG63" s="46"/>
      <c r="AH63" s="46"/>
      <c r="AI63" s="46"/>
      <c r="AJ63" s="46"/>
      <c r="AK63" s="46"/>
      <c r="AL63" s="46"/>
      <c r="AM63" s="46"/>
      <c r="AN63" s="196"/>
      <c r="AO63" s="438"/>
      <c r="AP63" s="46"/>
      <c r="AQ63" s="368"/>
      <c r="AR63" s="257"/>
      <c r="AS63" s="196"/>
      <c r="AT63" s="46"/>
      <c r="AU63" s="46"/>
      <c r="AV63" s="196"/>
      <c r="AW63" s="257"/>
      <c r="AX63" s="196"/>
      <c r="AY63" s="191"/>
      <c r="AZ63" s="257"/>
      <c r="BA63" s="196"/>
      <c r="BB63" s="46"/>
      <c r="BC63" s="257"/>
      <c r="BD63" s="196"/>
      <c r="BE63" s="191"/>
      <c r="BF63" s="46"/>
      <c r="BG63" s="196"/>
      <c r="BH63" s="46"/>
      <c r="BI63" s="257"/>
      <c r="BJ63" s="196"/>
      <c r="BK63" s="191"/>
      <c r="BL63" s="257"/>
      <c r="BM63" s="196"/>
      <c r="BN63" s="46"/>
      <c r="BO63" s="257"/>
      <c r="BP63" s="196"/>
      <c r="BQ63" s="190"/>
      <c r="BR63" s="46"/>
      <c r="BS63" s="196"/>
      <c r="BT63" s="46"/>
      <c r="BU63" s="257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196"/>
      <c r="CI63" s="46"/>
      <c r="CJ63" s="257"/>
      <c r="CK63" s="46"/>
      <c r="CL63" s="46"/>
      <c r="CM63" s="46"/>
      <c r="CN63" s="196"/>
      <c r="CO63" s="191"/>
      <c r="CP63" s="257"/>
      <c r="CQ63" s="196"/>
      <c r="CR63" s="167"/>
      <c r="CS63" s="257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191"/>
      <c r="DN63" s="46"/>
      <c r="DO63" s="196"/>
      <c r="DP63" s="221"/>
      <c r="DQ63" s="257">
        <f t="shared" si="4"/>
        <v>0</v>
      </c>
      <c r="DR63" s="294"/>
      <c r="DS63" s="295"/>
      <c r="DT63" s="386">
        <f t="shared" si="5"/>
        <v>0</v>
      </c>
      <c r="DU63" s="41"/>
      <c r="DV63" s="41"/>
      <c r="DW63" s="256"/>
      <c r="DX63" s="41"/>
      <c r="DY63" s="41"/>
      <c r="DZ63" s="68"/>
      <c r="EA63" s="41"/>
      <c r="EB63" s="41"/>
      <c r="EC63" s="256"/>
      <c r="ED63" s="308"/>
      <c r="EE63" s="308"/>
      <c r="EF63" s="308"/>
      <c r="EG63" s="41"/>
      <c r="EH63" s="41"/>
      <c r="EI63" s="41"/>
      <c r="EJ63" s="69"/>
      <c r="EK63" s="308"/>
      <c r="EL63" s="308"/>
      <c r="EM63" s="308"/>
      <c r="EN63" s="308"/>
      <c r="EO63" s="41"/>
      <c r="EP63" s="41"/>
      <c r="EQ63" s="41"/>
      <c r="ER63" s="256"/>
      <c r="ES63" s="293"/>
      <c r="ET63" s="293"/>
      <c r="EU63" s="293"/>
      <c r="EV63" s="293"/>
      <c r="EW63" s="41"/>
      <c r="EX63" s="41"/>
      <c r="EY63" s="41"/>
      <c r="EZ63" s="256"/>
      <c r="FA63" s="308"/>
      <c r="FB63" s="308"/>
      <c r="FC63" s="308"/>
      <c r="FD63" s="308"/>
      <c r="FE63" s="41"/>
      <c r="FF63" s="41"/>
      <c r="FG63" s="41"/>
      <c r="FH63" s="256"/>
      <c r="FI63" s="41"/>
      <c r="FJ63" s="41"/>
      <c r="FK63" s="41"/>
      <c r="FL63" s="276"/>
    </row>
    <row r="64" spans="1:168">
      <c r="A64" s="45">
        <v>57</v>
      </c>
      <c r="B64" s="45" t="s">
        <v>210</v>
      </c>
      <c r="C64" s="45">
        <v>4</v>
      </c>
      <c r="D64" s="29" t="s">
        <v>84</v>
      </c>
      <c r="E64" s="30" t="s">
        <v>85</v>
      </c>
      <c r="F64" s="30">
        <v>5</v>
      </c>
      <c r="G64" s="246">
        <f>32532.192/1000</f>
        <v>32.532192000000002</v>
      </c>
      <c r="H64" s="45">
        <v>32532.191999999995</v>
      </c>
      <c r="I64" s="45">
        <v>0</v>
      </c>
      <c r="J64" s="397">
        <v>70.422629999999998</v>
      </c>
      <c r="K64" s="495">
        <f t="shared" si="1"/>
        <v>102.95482200000001</v>
      </c>
      <c r="L64" s="578"/>
      <c r="M64" s="45">
        <f t="shared" si="2"/>
        <v>0</v>
      </c>
      <c r="N64" s="46">
        <f t="shared" si="8"/>
        <v>102.95482200000001</v>
      </c>
      <c r="O64" s="46">
        <f t="shared" si="7"/>
        <v>10</v>
      </c>
      <c r="P64" s="234"/>
      <c r="Q64" s="46">
        <v>1</v>
      </c>
      <c r="R64" s="450" t="s">
        <v>838</v>
      </c>
      <c r="S64" s="257">
        <v>10000</v>
      </c>
      <c r="T64" s="46"/>
      <c r="U64" s="46"/>
      <c r="V64" s="46"/>
      <c r="W64" s="46"/>
      <c r="X64" s="196"/>
      <c r="Y64" s="46"/>
      <c r="Z64" s="46"/>
      <c r="AA64" s="46"/>
      <c r="AB64" s="46"/>
      <c r="AC64" s="46"/>
      <c r="AD64" s="46"/>
      <c r="AE64" s="46"/>
      <c r="AF64" s="196"/>
      <c r="AG64" s="46"/>
      <c r="AH64" s="46"/>
      <c r="AI64" s="46"/>
      <c r="AJ64" s="46"/>
      <c r="AK64" s="46"/>
      <c r="AL64" s="46"/>
      <c r="AM64" s="46"/>
      <c r="AN64" s="196"/>
      <c r="AO64" s="438"/>
      <c r="AP64" s="46"/>
      <c r="AQ64" s="368"/>
      <c r="AR64" s="257"/>
      <c r="AS64" s="196"/>
      <c r="AT64" s="46"/>
      <c r="AU64" s="46"/>
      <c r="AV64" s="196"/>
      <c r="AW64" s="257"/>
      <c r="AX64" s="196"/>
      <c r="AY64" s="191"/>
      <c r="AZ64" s="257"/>
      <c r="BA64" s="196"/>
      <c r="BB64" s="46"/>
      <c r="BC64" s="257"/>
      <c r="BD64" s="196"/>
      <c r="BE64" s="191"/>
      <c r="BF64" s="46"/>
      <c r="BG64" s="196"/>
      <c r="BH64" s="46"/>
      <c r="BI64" s="257"/>
      <c r="BJ64" s="196"/>
      <c r="BK64" s="191"/>
      <c r="BL64" s="257"/>
      <c r="BM64" s="196"/>
      <c r="BN64" s="46"/>
      <c r="BO64" s="257"/>
      <c r="BP64" s="196"/>
      <c r="BQ64" s="190"/>
      <c r="BR64" s="46"/>
      <c r="BS64" s="196"/>
      <c r="BT64" s="46"/>
      <c r="BU64" s="257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196"/>
      <c r="CI64" s="46"/>
      <c r="CJ64" s="46"/>
      <c r="CK64" s="46"/>
      <c r="CL64" s="46"/>
      <c r="CM64" s="46"/>
      <c r="CN64" s="196"/>
      <c r="CO64" s="191"/>
      <c r="CP64" s="257"/>
      <c r="CQ64" s="196"/>
      <c r="CR64" s="167"/>
      <c r="CS64" s="257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191"/>
      <c r="DN64" s="46"/>
      <c r="DO64" s="196"/>
      <c r="DP64" s="221"/>
      <c r="DQ64" s="257">
        <f t="shared" si="4"/>
        <v>0</v>
      </c>
      <c r="DR64" s="294"/>
      <c r="DS64" s="295"/>
      <c r="DT64" s="386">
        <f t="shared" si="5"/>
        <v>0</v>
      </c>
      <c r="DU64" s="41"/>
      <c r="DV64" s="41"/>
      <c r="DW64" s="256"/>
      <c r="DX64" s="41"/>
      <c r="DY64" s="41"/>
      <c r="DZ64" s="68"/>
      <c r="EA64" s="41"/>
      <c r="EB64" s="41"/>
      <c r="EC64" s="256"/>
      <c r="ED64" s="308"/>
      <c r="EE64" s="308"/>
      <c r="EF64" s="308"/>
      <c r="EG64" s="41"/>
      <c r="EH64" s="41"/>
      <c r="EI64" s="41"/>
      <c r="EJ64" s="69"/>
      <c r="EK64" s="308"/>
      <c r="EL64" s="308"/>
      <c r="EM64" s="308"/>
      <c r="EN64" s="308"/>
      <c r="EO64" s="41"/>
      <c r="EP64" s="41"/>
      <c r="EQ64" s="41"/>
      <c r="ER64" s="256"/>
      <c r="ES64" s="293"/>
      <c r="ET64" s="293"/>
      <c r="EU64" s="293"/>
      <c r="EV64" s="293"/>
      <c r="EW64" s="41"/>
      <c r="EX64" s="41"/>
      <c r="EY64" s="41"/>
      <c r="EZ64" s="256"/>
      <c r="FA64" s="308"/>
      <c r="FB64" s="308"/>
      <c r="FC64" s="308"/>
      <c r="FD64" s="308"/>
      <c r="FE64" s="46"/>
      <c r="FF64" s="41"/>
      <c r="FG64" s="41"/>
      <c r="FH64" s="256"/>
      <c r="FI64" s="41"/>
      <c r="FJ64" s="41"/>
      <c r="FK64" s="41"/>
      <c r="FL64" s="276"/>
    </row>
    <row r="65" spans="1:168">
      <c r="A65" s="45">
        <v>58</v>
      </c>
      <c r="B65" s="45" t="s">
        <v>210</v>
      </c>
      <c r="C65" s="45">
        <v>4</v>
      </c>
      <c r="D65" s="29" t="s">
        <v>86</v>
      </c>
      <c r="E65" s="30">
        <v>4</v>
      </c>
      <c r="F65" s="30">
        <v>5</v>
      </c>
      <c r="G65" s="246">
        <f>34503.084/1000</f>
        <v>34.503084000000001</v>
      </c>
      <c r="H65" s="45">
        <v>34503.083999999995</v>
      </c>
      <c r="I65" s="45">
        <v>0</v>
      </c>
      <c r="J65" s="397">
        <v>54.338459999999991</v>
      </c>
      <c r="K65" s="495">
        <f t="shared" si="1"/>
        <v>88.841543999999999</v>
      </c>
      <c r="L65" s="578"/>
      <c r="M65" s="45">
        <f t="shared" si="2"/>
        <v>0</v>
      </c>
      <c r="N65" s="46">
        <f t="shared" si="8"/>
        <v>88.841543999999999</v>
      </c>
      <c r="O65" s="46">
        <f t="shared" si="7"/>
        <v>88</v>
      </c>
      <c r="P65" s="234"/>
      <c r="Q65" s="46"/>
      <c r="R65" s="450"/>
      <c r="S65" s="257"/>
      <c r="T65" s="46"/>
      <c r="U65" s="46"/>
      <c r="V65" s="46"/>
      <c r="W65" s="46"/>
      <c r="X65" s="196"/>
      <c r="Y65" s="46"/>
      <c r="Z65" s="46"/>
      <c r="AA65" s="46"/>
      <c r="AB65" s="46"/>
      <c r="AC65" s="46"/>
      <c r="AD65" s="46"/>
      <c r="AE65" s="46"/>
      <c r="AF65" s="196"/>
      <c r="AG65" s="46"/>
      <c r="AH65" s="46"/>
      <c r="AI65" s="46"/>
      <c r="AJ65" s="46"/>
      <c r="AK65" s="46"/>
      <c r="AL65" s="46"/>
      <c r="AM65" s="46"/>
      <c r="AN65" s="196"/>
      <c r="AO65" s="438"/>
      <c r="AP65" s="46"/>
      <c r="AQ65" s="368"/>
      <c r="AR65" s="257"/>
      <c r="AS65" s="196"/>
      <c r="AT65" s="46"/>
      <c r="AU65" s="46"/>
      <c r="AV65" s="196"/>
      <c r="AW65" s="257"/>
      <c r="AX65" s="196"/>
      <c r="AY65" s="191"/>
      <c r="AZ65" s="257"/>
      <c r="BA65" s="196"/>
      <c r="BB65" s="46"/>
      <c r="BC65" s="257"/>
      <c r="BD65" s="196"/>
      <c r="BE65" s="191"/>
      <c r="BF65" s="46"/>
      <c r="BG65" s="196"/>
      <c r="BH65" s="46"/>
      <c r="BI65" s="257"/>
      <c r="BJ65" s="196"/>
      <c r="BK65" s="191"/>
      <c r="BL65" s="257"/>
      <c r="BM65" s="196"/>
      <c r="BN65" s="46"/>
      <c r="BO65" s="257"/>
      <c r="BP65" s="196"/>
      <c r="BQ65" s="190"/>
      <c r="BR65" s="46"/>
      <c r="BS65" s="196"/>
      <c r="BT65" s="46"/>
      <c r="BU65" s="257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196"/>
      <c r="CI65" s="46"/>
      <c r="CJ65" s="46"/>
      <c r="CK65" s="46"/>
      <c r="CL65" s="46"/>
      <c r="CM65" s="46"/>
      <c r="CN65" s="196"/>
      <c r="CO65" s="191"/>
      <c r="CP65" s="257"/>
      <c r="CQ65" s="196"/>
      <c r="CR65" s="167"/>
      <c r="CS65" s="257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191"/>
      <c r="DN65" s="46"/>
      <c r="DO65" s="196"/>
      <c r="DP65" s="221" t="s">
        <v>531</v>
      </c>
      <c r="DQ65" s="257">
        <f>DW65+EC65+EJ65+ER65+EZ65+FH65+88000</f>
        <v>88000</v>
      </c>
      <c r="DR65" s="294"/>
      <c r="DS65" s="295"/>
      <c r="DT65" s="386">
        <f t="shared" si="5"/>
        <v>0</v>
      </c>
      <c r="DU65" s="41"/>
      <c r="DV65" s="41"/>
      <c r="DW65" s="256"/>
      <c r="DX65" s="41"/>
      <c r="DY65" s="41"/>
      <c r="DZ65" s="68"/>
      <c r="EA65" s="41"/>
      <c r="EB65" s="41"/>
      <c r="EC65" s="256"/>
      <c r="ED65" s="308"/>
      <c r="EE65" s="308"/>
      <c r="EF65" s="308"/>
      <c r="EG65" s="41"/>
      <c r="EH65" s="41"/>
      <c r="EI65" s="41"/>
      <c r="EJ65" s="69"/>
      <c r="EK65" s="308"/>
      <c r="EL65" s="308"/>
      <c r="EM65" s="308"/>
      <c r="EN65" s="308"/>
      <c r="EO65" s="41"/>
      <c r="EP65" s="41"/>
      <c r="EQ65" s="41"/>
      <c r="ER65" s="256"/>
      <c r="ES65" s="293"/>
      <c r="ET65" s="293"/>
      <c r="EU65" s="293"/>
      <c r="EV65" s="293"/>
      <c r="EW65" s="41"/>
      <c r="EX65" s="41"/>
      <c r="EY65" s="41"/>
      <c r="EZ65" s="256"/>
      <c r="FA65" s="308"/>
      <c r="FB65" s="308"/>
      <c r="FC65" s="308"/>
      <c r="FD65" s="308"/>
      <c r="FE65" s="46"/>
      <c r="FF65" s="41"/>
      <c r="FG65" s="41"/>
      <c r="FH65" s="256"/>
      <c r="FI65" s="41"/>
      <c r="FJ65" s="41"/>
      <c r="FK65" s="41"/>
      <c r="FL65" s="276"/>
    </row>
    <row r="66" spans="1:168">
      <c r="A66" s="45">
        <v>59</v>
      </c>
      <c r="B66" s="45" t="s">
        <v>210</v>
      </c>
      <c r="C66" s="45">
        <v>4</v>
      </c>
      <c r="D66" s="29" t="s">
        <v>86</v>
      </c>
      <c r="E66" s="30">
        <v>6</v>
      </c>
      <c r="F66" s="30">
        <v>5</v>
      </c>
      <c r="G66" s="246">
        <f>34834.0608/1000</f>
        <v>34.834060799999996</v>
      </c>
      <c r="H66" s="45">
        <v>34834.060799999992</v>
      </c>
      <c r="I66" s="45">
        <v>0</v>
      </c>
      <c r="J66" s="397">
        <v>21.910810000000001</v>
      </c>
      <c r="K66" s="495">
        <f t="shared" si="1"/>
        <v>56.744870800000001</v>
      </c>
      <c r="L66" s="578"/>
      <c r="M66" s="45">
        <f t="shared" si="2"/>
        <v>0</v>
      </c>
      <c r="N66" s="46">
        <f t="shared" si="8"/>
        <v>56.744870800000001</v>
      </c>
      <c r="O66" s="46">
        <f t="shared" si="7"/>
        <v>33.799999999999997</v>
      </c>
      <c r="P66" s="234"/>
      <c r="Q66" s="46"/>
      <c r="R66" s="450"/>
      <c r="S66" s="257"/>
      <c r="T66" s="46"/>
      <c r="U66" s="46"/>
      <c r="V66" s="46"/>
      <c r="W66" s="46"/>
      <c r="X66" s="196"/>
      <c r="Y66" s="46"/>
      <c r="Z66" s="46"/>
      <c r="AA66" s="46"/>
      <c r="AB66" s="46"/>
      <c r="AC66" s="46"/>
      <c r="AD66" s="46"/>
      <c r="AE66" s="46"/>
      <c r="AF66" s="196"/>
      <c r="AG66" s="46"/>
      <c r="AH66" s="46"/>
      <c r="AI66" s="46"/>
      <c r="AJ66" s="46"/>
      <c r="AK66" s="46"/>
      <c r="AL66" s="46"/>
      <c r="AM66" s="46"/>
      <c r="AN66" s="196" t="s">
        <v>248</v>
      </c>
      <c r="AO66" s="438" t="s">
        <v>335</v>
      </c>
      <c r="AP66" s="46">
        <v>26</v>
      </c>
      <c r="AQ66" s="368" t="s">
        <v>376</v>
      </c>
      <c r="AR66" s="257">
        <f>AP66*1300</f>
        <v>33800</v>
      </c>
      <c r="AS66" s="196"/>
      <c r="AT66" s="46"/>
      <c r="AU66" s="46"/>
      <c r="AV66" s="196"/>
      <c r="AW66" s="257"/>
      <c r="AX66" s="196"/>
      <c r="AY66" s="191"/>
      <c r="AZ66" s="257"/>
      <c r="BA66" s="196"/>
      <c r="BB66" s="46"/>
      <c r="BC66" s="257"/>
      <c r="BD66" s="196"/>
      <c r="BE66" s="191"/>
      <c r="BF66" s="46"/>
      <c r="BG66" s="196"/>
      <c r="BH66" s="46"/>
      <c r="BI66" s="257"/>
      <c r="BJ66" s="196"/>
      <c r="BK66" s="191"/>
      <c r="BL66" s="257"/>
      <c r="BM66" s="196"/>
      <c r="BN66" s="46"/>
      <c r="BO66" s="257"/>
      <c r="BP66" s="196"/>
      <c r="BQ66" s="190"/>
      <c r="BR66" s="46"/>
      <c r="BS66" s="196"/>
      <c r="BT66" s="46"/>
      <c r="BU66" s="257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196"/>
      <c r="CI66" s="46"/>
      <c r="CJ66" s="46"/>
      <c r="CK66" s="46"/>
      <c r="CL66" s="46"/>
      <c r="CM66" s="46"/>
      <c r="CN66" s="196"/>
      <c r="CO66" s="191"/>
      <c r="CP66" s="257"/>
      <c r="CQ66" s="196"/>
      <c r="CR66" s="167"/>
      <c r="CS66" s="257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191"/>
      <c r="DN66" s="46"/>
      <c r="DO66" s="196"/>
      <c r="DP66" s="221"/>
      <c r="DQ66" s="257">
        <f t="shared" si="4"/>
        <v>0</v>
      </c>
      <c r="DR66" s="294"/>
      <c r="DS66" s="295"/>
      <c r="DT66" s="386">
        <f t="shared" si="5"/>
        <v>0</v>
      </c>
      <c r="DU66" s="41"/>
      <c r="DV66" s="41"/>
      <c r="DW66" s="256"/>
      <c r="DX66" s="41"/>
      <c r="DY66" s="41"/>
      <c r="DZ66" s="68"/>
      <c r="EA66" s="41"/>
      <c r="EB66" s="41"/>
      <c r="EC66" s="256"/>
      <c r="ED66" s="308"/>
      <c r="EE66" s="308"/>
      <c r="EF66" s="308"/>
      <c r="EG66" s="41"/>
      <c r="EH66" s="41"/>
      <c r="EI66" s="41"/>
      <c r="EJ66" s="69"/>
      <c r="EK66" s="308"/>
      <c r="EL66" s="308"/>
      <c r="EM66" s="308"/>
      <c r="EN66" s="308"/>
      <c r="EO66" s="41"/>
      <c r="EP66" s="41"/>
      <c r="EQ66" s="41"/>
      <c r="ER66" s="256"/>
      <c r="ES66" s="293"/>
      <c r="ET66" s="293"/>
      <c r="EU66" s="293"/>
      <c r="EV66" s="293"/>
      <c r="EW66" s="41"/>
      <c r="EX66" s="41"/>
      <c r="EY66" s="41"/>
      <c r="EZ66" s="256"/>
      <c r="FA66" s="308"/>
      <c r="FB66" s="308"/>
      <c r="FC66" s="308"/>
      <c r="FD66" s="308"/>
      <c r="FE66" s="46"/>
      <c r="FF66" s="41"/>
      <c r="FG66" s="41"/>
      <c r="FH66" s="256"/>
      <c r="FI66" s="41"/>
      <c r="FJ66" s="41"/>
      <c r="FK66" s="41"/>
      <c r="FL66" s="276"/>
    </row>
    <row r="67" spans="1:168" ht="20.25">
      <c r="A67" s="45">
        <v>60</v>
      </c>
      <c r="B67" s="45"/>
      <c r="C67" s="45">
        <v>4</v>
      </c>
      <c r="D67" s="29" t="s">
        <v>86</v>
      </c>
      <c r="E67" s="30">
        <v>8</v>
      </c>
      <c r="F67" s="30">
        <v>5</v>
      </c>
      <c r="G67" s="246">
        <f>37738.008/1000</f>
        <v>37.738008000000001</v>
      </c>
      <c r="H67" s="45">
        <v>37738.008000000002</v>
      </c>
      <c r="I67" s="45">
        <v>0</v>
      </c>
      <c r="J67" s="397">
        <v>9.0242100000000001</v>
      </c>
      <c r="K67" s="495">
        <f t="shared" si="1"/>
        <v>46.762218000000004</v>
      </c>
      <c r="L67" s="578"/>
      <c r="M67" s="45">
        <f t="shared" si="2"/>
        <v>0</v>
      </c>
      <c r="N67" s="46">
        <f t="shared" si="8"/>
        <v>46.762218000000004</v>
      </c>
      <c r="O67" s="46">
        <f t="shared" si="7"/>
        <v>46</v>
      </c>
      <c r="P67" s="234"/>
      <c r="Q67" s="46"/>
      <c r="R67" s="450"/>
      <c r="S67" s="257"/>
      <c r="T67" s="46"/>
      <c r="U67" s="46"/>
      <c r="V67" s="46"/>
      <c r="W67" s="46"/>
      <c r="X67" s="196"/>
      <c r="Y67" s="46"/>
      <c r="Z67" s="46"/>
      <c r="AA67" s="46"/>
      <c r="AB67" s="46"/>
      <c r="AC67" s="46"/>
      <c r="AD67" s="46"/>
      <c r="AE67" s="46"/>
      <c r="AF67" s="196"/>
      <c r="AG67" s="46"/>
      <c r="AH67" s="46"/>
      <c r="AI67" s="46"/>
      <c r="AJ67" s="46"/>
      <c r="AK67" s="46"/>
      <c r="AL67" s="46"/>
      <c r="AM67" s="46"/>
      <c r="AN67" s="196"/>
      <c r="AO67" s="438"/>
      <c r="AP67" s="46"/>
      <c r="AQ67" s="368"/>
      <c r="AR67" s="257"/>
      <c r="AS67" s="196"/>
      <c r="AT67" s="46"/>
      <c r="AU67" s="46"/>
      <c r="AV67" s="196"/>
      <c r="AW67" s="257"/>
      <c r="AX67" s="196"/>
      <c r="AY67" s="191"/>
      <c r="AZ67" s="257"/>
      <c r="BA67" s="196"/>
      <c r="BB67" s="46"/>
      <c r="BC67" s="257"/>
      <c r="BD67" s="196"/>
      <c r="BE67" s="191"/>
      <c r="BF67" s="46"/>
      <c r="BG67" s="196"/>
      <c r="BH67" s="46"/>
      <c r="BI67" s="257"/>
      <c r="BJ67" s="196"/>
      <c r="BK67" s="191"/>
      <c r="BL67" s="257"/>
      <c r="BM67" s="196"/>
      <c r="BN67" s="46"/>
      <c r="BO67" s="257"/>
      <c r="BP67" s="196"/>
      <c r="BQ67" s="190"/>
      <c r="BR67" s="46"/>
      <c r="BS67" s="196"/>
      <c r="BT67" s="46"/>
      <c r="BU67" s="257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196"/>
      <c r="CI67" s="46"/>
      <c r="CJ67" s="46"/>
      <c r="CK67" s="46"/>
      <c r="CL67" s="46"/>
      <c r="CM67" s="46"/>
      <c r="CN67" s="196"/>
      <c r="CO67" s="191"/>
      <c r="CP67" s="257"/>
      <c r="CQ67" s="196"/>
      <c r="CR67" s="167"/>
      <c r="CS67" s="257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191"/>
      <c r="DN67" s="46"/>
      <c r="DO67" s="196"/>
      <c r="DP67" s="221" t="s">
        <v>839</v>
      </c>
      <c r="DQ67" s="257">
        <f>DW67+EC67+EJ67+ER67+EZ67+FH67+46000</f>
        <v>46000</v>
      </c>
      <c r="DR67" s="294"/>
      <c r="DS67" s="295"/>
      <c r="DT67" s="386">
        <f t="shared" si="5"/>
        <v>0</v>
      </c>
      <c r="DU67" s="41"/>
      <c r="DV67" s="41"/>
      <c r="DW67" s="256"/>
      <c r="DX67" s="41"/>
      <c r="DY67" s="41"/>
      <c r="DZ67" s="68"/>
      <c r="EA67" s="41"/>
      <c r="EB67" s="41"/>
      <c r="EC67" s="256"/>
      <c r="ED67" s="308"/>
      <c r="EE67" s="308"/>
      <c r="EF67" s="308"/>
      <c r="EG67" s="41"/>
      <c r="EH67" s="41"/>
      <c r="EI67" s="41"/>
      <c r="EJ67" s="69"/>
      <c r="EK67" s="308"/>
      <c r="EL67" s="308"/>
      <c r="EM67" s="308"/>
      <c r="EN67" s="308"/>
      <c r="EO67" s="41"/>
      <c r="EP67" s="41"/>
      <c r="EQ67" s="41"/>
      <c r="ER67" s="256"/>
      <c r="ES67" s="293"/>
      <c r="ET67" s="293"/>
      <c r="EU67" s="293"/>
      <c r="EV67" s="293"/>
      <c r="EW67" s="41"/>
      <c r="EX67" s="41"/>
      <c r="EY67" s="41"/>
      <c r="EZ67" s="256"/>
      <c r="FA67" s="308"/>
      <c r="FB67" s="308"/>
      <c r="FC67" s="308"/>
      <c r="FD67" s="308"/>
      <c r="FE67" s="46"/>
      <c r="FF67" s="41"/>
      <c r="FG67" s="41"/>
      <c r="FH67" s="256"/>
      <c r="FI67" s="41"/>
      <c r="FJ67" s="41"/>
      <c r="FK67" s="41"/>
      <c r="FL67" s="276"/>
    </row>
    <row r="68" spans="1:168" ht="23.25">
      <c r="A68" s="45">
        <v>61</v>
      </c>
      <c r="B68" s="45"/>
      <c r="C68" s="45">
        <v>4</v>
      </c>
      <c r="D68" s="29" t="s">
        <v>604</v>
      </c>
      <c r="E68" s="30">
        <v>153</v>
      </c>
      <c r="F68" s="30">
        <v>5</v>
      </c>
      <c r="G68" s="246">
        <f>351384.264/1000</f>
        <v>351.38426400000003</v>
      </c>
      <c r="H68" s="45">
        <v>351384.26399999997</v>
      </c>
      <c r="I68" s="45">
        <v>0</v>
      </c>
      <c r="J68" s="397">
        <v>160.70733999999999</v>
      </c>
      <c r="K68" s="495">
        <f t="shared" si="1"/>
        <v>512.09160399999996</v>
      </c>
      <c r="L68" s="578"/>
      <c r="M68" s="45">
        <f t="shared" si="2"/>
        <v>0</v>
      </c>
      <c r="N68" s="46"/>
      <c r="O68" s="46">
        <f t="shared" si="7"/>
        <v>472.5</v>
      </c>
      <c r="P68" s="234"/>
      <c r="Q68" s="46"/>
      <c r="R68" s="450"/>
      <c r="S68" s="257"/>
      <c r="T68" s="46"/>
      <c r="U68" s="46"/>
      <c r="V68" s="46"/>
      <c r="W68" s="46"/>
      <c r="X68" s="196"/>
      <c r="Y68" s="46"/>
      <c r="Z68" s="46"/>
      <c r="AA68" s="46"/>
      <c r="AB68" s="46"/>
      <c r="AC68" s="46"/>
      <c r="AD68" s="46"/>
      <c r="AE68" s="46"/>
      <c r="AF68" s="196"/>
      <c r="AG68" s="46"/>
      <c r="AH68" s="46"/>
      <c r="AI68" s="46"/>
      <c r="AJ68" s="46"/>
      <c r="AK68" s="46"/>
      <c r="AL68" s="46"/>
      <c r="AM68" s="46"/>
      <c r="AN68" s="196" t="s">
        <v>247</v>
      </c>
      <c r="AO68" s="438" t="s">
        <v>335</v>
      </c>
      <c r="AP68" s="46">
        <v>200</v>
      </c>
      <c r="AQ68" s="368" t="s">
        <v>840</v>
      </c>
      <c r="AR68" s="257">
        <f>AP68*1300</f>
        <v>260000</v>
      </c>
      <c r="AS68" s="196"/>
      <c r="AT68" s="46"/>
      <c r="AU68" s="46"/>
      <c r="AV68" s="196"/>
      <c r="AW68" s="257"/>
      <c r="AX68" s="196" t="s">
        <v>254</v>
      </c>
      <c r="AY68" s="190" t="s">
        <v>841</v>
      </c>
      <c r="AZ68" s="257">
        <f>3*17*2000</f>
        <v>102000</v>
      </c>
      <c r="BA68" s="196"/>
      <c r="BB68" s="46"/>
      <c r="BC68" s="257"/>
      <c r="BD68" s="196"/>
      <c r="BE68" s="191"/>
      <c r="BF68" s="46"/>
      <c r="BG68" s="196"/>
      <c r="BH68" s="46"/>
      <c r="BI68" s="257"/>
      <c r="BJ68" s="196"/>
      <c r="BK68" s="191"/>
      <c r="BL68" s="257"/>
      <c r="BM68" s="196"/>
      <c r="BN68" s="46"/>
      <c r="BO68" s="257"/>
      <c r="BP68" s="196" t="s">
        <v>229</v>
      </c>
      <c r="BQ68" s="190" t="s">
        <v>842</v>
      </c>
      <c r="BR68" s="46">
        <f>5*17*1300</f>
        <v>110500</v>
      </c>
      <c r="BS68" s="196"/>
      <c r="BT68" s="46"/>
      <c r="BU68" s="257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196"/>
      <c r="CI68" s="46"/>
      <c r="CJ68" s="46"/>
      <c r="CK68" s="46"/>
      <c r="CL68" s="46"/>
      <c r="CM68" s="46"/>
      <c r="CN68" s="196"/>
      <c r="CO68" s="191"/>
      <c r="CP68" s="257"/>
      <c r="CQ68" s="196"/>
      <c r="CR68" s="167"/>
      <c r="CS68" s="257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191"/>
      <c r="DN68" s="46"/>
      <c r="DO68" s="196"/>
      <c r="DP68" s="221"/>
      <c r="DQ68" s="257">
        <f t="shared" si="4"/>
        <v>0</v>
      </c>
      <c r="DR68" s="294"/>
      <c r="DS68" s="295"/>
      <c r="DT68" s="386">
        <f t="shared" si="5"/>
        <v>0</v>
      </c>
      <c r="DU68" s="41"/>
      <c r="DV68" s="41"/>
      <c r="DW68" s="256"/>
      <c r="DX68" s="41"/>
      <c r="DY68" s="41"/>
      <c r="DZ68" s="68"/>
      <c r="EA68" s="41"/>
      <c r="EB68" s="41"/>
      <c r="EC68" s="256"/>
      <c r="ED68" s="308"/>
      <c r="EE68" s="308"/>
      <c r="EF68" s="308"/>
      <c r="EG68" s="41"/>
      <c r="EH68" s="41"/>
      <c r="EI68" s="41"/>
      <c r="EJ68" s="69"/>
      <c r="EK68" s="308"/>
      <c r="EL68" s="308"/>
      <c r="EM68" s="308"/>
      <c r="EN68" s="308"/>
      <c r="EO68" s="41"/>
      <c r="EP68" s="41"/>
      <c r="EQ68" s="41"/>
      <c r="ER68" s="256"/>
      <c r="ES68" s="293"/>
      <c r="ET68" s="293"/>
      <c r="EU68" s="293"/>
      <c r="EV68" s="293"/>
      <c r="EW68" s="41"/>
      <c r="EX68" s="41"/>
      <c r="EY68" s="41"/>
      <c r="EZ68" s="256"/>
      <c r="FA68" s="308"/>
      <c r="FB68" s="308"/>
      <c r="FC68" s="308"/>
      <c r="FD68" s="308"/>
      <c r="FE68" s="46"/>
      <c r="FF68" s="41"/>
      <c r="FG68" s="41"/>
      <c r="FH68" s="256"/>
      <c r="FI68" s="41"/>
      <c r="FJ68" s="41"/>
      <c r="FK68" s="41"/>
      <c r="FL68" s="276"/>
    </row>
    <row r="69" spans="1:168" ht="23.25">
      <c r="A69" s="45">
        <v>62</v>
      </c>
      <c r="B69" s="45"/>
      <c r="C69" s="45">
        <v>4</v>
      </c>
      <c r="D69" s="29" t="s">
        <v>604</v>
      </c>
      <c r="E69" s="30">
        <v>155</v>
      </c>
      <c r="F69" s="30">
        <v>5</v>
      </c>
      <c r="G69" s="246">
        <f>277862.508/1000</f>
        <v>277.86250799999999</v>
      </c>
      <c r="H69" s="45">
        <v>277862.50800000003</v>
      </c>
      <c r="I69" s="45">
        <v>0</v>
      </c>
      <c r="J69" s="397">
        <v>0</v>
      </c>
      <c r="K69" s="495">
        <f t="shared" si="1"/>
        <v>277.86250799999999</v>
      </c>
      <c r="L69" s="578"/>
      <c r="M69" s="45">
        <f t="shared" si="2"/>
        <v>0</v>
      </c>
      <c r="N69" s="46"/>
      <c r="O69" s="46">
        <f t="shared" si="7"/>
        <v>255</v>
      </c>
      <c r="P69" s="234" t="s">
        <v>229</v>
      </c>
      <c r="Q69" s="46">
        <v>3</v>
      </c>
      <c r="R69" s="450" t="s">
        <v>843</v>
      </c>
      <c r="S69" s="257">
        <f>3*85000</f>
        <v>255000</v>
      </c>
      <c r="T69" s="46"/>
      <c r="U69" s="46"/>
      <c r="V69" s="46"/>
      <c r="W69" s="46"/>
      <c r="X69" s="196"/>
      <c r="Y69" s="46"/>
      <c r="Z69" s="46"/>
      <c r="AA69" s="46"/>
      <c r="AB69" s="46"/>
      <c r="AC69" s="46"/>
      <c r="AD69" s="46"/>
      <c r="AE69" s="46"/>
      <c r="AF69" s="196"/>
      <c r="AG69" s="46"/>
      <c r="AH69" s="46"/>
      <c r="AI69" s="46"/>
      <c r="AJ69" s="46"/>
      <c r="AK69" s="46"/>
      <c r="AL69" s="46"/>
      <c r="AM69" s="46"/>
      <c r="AN69" s="196"/>
      <c r="AO69" s="438"/>
      <c r="AP69" s="46"/>
      <c r="AQ69" s="368"/>
      <c r="AR69" s="257"/>
      <c r="AS69" s="196"/>
      <c r="AT69" s="46"/>
      <c r="AU69" s="46"/>
      <c r="AV69" s="196"/>
      <c r="AW69" s="257"/>
      <c r="AX69" s="196"/>
      <c r="AY69" s="191"/>
      <c r="AZ69" s="257"/>
      <c r="BA69" s="196"/>
      <c r="BB69" s="46"/>
      <c r="BC69" s="257"/>
      <c r="BD69" s="196"/>
      <c r="BE69" s="191"/>
      <c r="BF69" s="46"/>
      <c r="BG69" s="196"/>
      <c r="BH69" s="46"/>
      <c r="BI69" s="257"/>
      <c r="BJ69" s="196"/>
      <c r="BK69" s="191"/>
      <c r="BL69" s="257"/>
      <c r="BM69" s="196"/>
      <c r="BN69" s="46"/>
      <c r="BO69" s="257"/>
      <c r="BP69" s="196"/>
      <c r="BQ69" s="190"/>
      <c r="BR69" s="46"/>
      <c r="BS69" s="196"/>
      <c r="BT69" s="46"/>
      <c r="BU69" s="257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196"/>
      <c r="CI69" s="46"/>
      <c r="CJ69" s="46"/>
      <c r="CK69" s="46"/>
      <c r="CL69" s="46"/>
      <c r="CM69" s="46"/>
      <c r="CN69" s="196"/>
      <c r="CO69" s="191"/>
      <c r="CP69" s="257"/>
      <c r="CQ69" s="196"/>
      <c r="CR69" s="167"/>
      <c r="CS69" s="257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191"/>
      <c r="DN69" s="46"/>
      <c r="DO69" s="196"/>
      <c r="DP69" s="221"/>
      <c r="DQ69" s="257">
        <f t="shared" si="4"/>
        <v>0</v>
      </c>
      <c r="DR69" s="294"/>
      <c r="DS69" s="295"/>
      <c r="DT69" s="386">
        <f t="shared" si="5"/>
        <v>0</v>
      </c>
      <c r="DU69" s="41"/>
      <c r="DV69" s="41"/>
      <c r="DW69" s="256"/>
      <c r="DX69" s="41"/>
      <c r="DY69" s="41"/>
      <c r="DZ69" s="68"/>
      <c r="EA69" s="41"/>
      <c r="EB69" s="41"/>
      <c r="EC69" s="256"/>
      <c r="ED69" s="308"/>
      <c r="EE69" s="308"/>
      <c r="EF69" s="308"/>
      <c r="EG69" s="41"/>
      <c r="EH69" s="41"/>
      <c r="EI69" s="41"/>
      <c r="EJ69" s="69"/>
      <c r="EK69" s="308"/>
      <c r="EL69" s="308"/>
      <c r="EM69" s="308"/>
      <c r="EN69" s="308"/>
      <c r="EO69" s="41"/>
      <c r="EP69" s="41"/>
      <c r="EQ69" s="41"/>
      <c r="ER69" s="256"/>
      <c r="ES69" s="293"/>
      <c r="ET69" s="293"/>
      <c r="EU69" s="293"/>
      <c r="EV69" s="293"/>
      <c r="EW69" s="41"/>
      <c r="EX69" s="41"/>
      <c r="EY69" s="41"/>
      <c r="EZ69" s="256"/>
      <c r="FA69" s="308"/>
      <c r="FB69" s="308"/>
      <c r="FC69" s="308"/>
      <c r="FD69" s="308"/>
      <c r="FE69" s="46"/>
      <c r="FF69" s="41"/>
      <c r="FG69" s="41"/>
      <c r="FH69" s="256"/>
      <c r="FI69" s="41"/>
      <c r="FJ69" s="41"/>
      <c r="FK69" s="41"/>
      <c r="FL69" s="276"/>
    </row>
    <row r="70" spans="1:168">
      <c r="A70" s="45">
        <v>63</v>
      </c>
      <c r="B70" s="45"/>
      <c r="C70" s="45">
        <v>4</v>
      </c>
      <c r="D70" s="29" t="s">
        <v>604</v>
      </c>
      <c r="E70" s="30">
        <v>167</v>
      </c>
      <c r="F70" s="30">
        <v>5</v>
      </c>
      <c r="G70" s="246">
        <f>509729.22/1000</f>
        <v>509.72922</v>
      </c>
      <c r="H70" s="45">
        <v>509729.22</v>
      </c>
      <c r="I70" s="45">
        <v>0</v>
      </c>
      <c r="J70" s="397">
        <v>6.9108299999999998</v>
      </c>
      <c r="K70" s="495">
        <f t="shared" si="1"/>
        <v>516.64004999999997</v>
      </c>
      <c r="L70" s="578"/>
      <c r="M70" s="45">
        <f t="shared" si="2"/>
        <v>0</v>
      </c>
      <c r="N70" s="46"/>
      <c r="O70" s="46">
        <f t="shared" si="7"/>
        <v>481</v>
      </c>
      <c r="P70" s="234"/>
      <c r="Q70" s="46"/>
      <c r="R70" s="450"/>
      <c r="S70" s="257"/>
      <c r="T70" s="46"/>
      <c r="U70" s="46"/>
      <c r="V70" s="46"/>
      <c r="W70" s="46"/>
      <c r="X70" s="196"/>
      <c r="Y70" s="46"/>
      <c r="Z70" s="46"/>
      <c r="AA70" s="46"/>
      <c r="AB70" s="46"/>
      <c r="AC70" s="46"/>
      <c r="AD70" s="46"/>
      <c r="AE70" s="46"/>
      <c r="AF70" s="196"/>
      <c r="AG70" s="46"/>
      <c r="AH70" s="46"/>
      <c r="AI70" s="46"/>
      <c r="AJ70" s="46"/>
      <c r="AK70" s="46"/>
      <c r="AL70" s="46"/>
      <c r="AM70" s="46"/>
      <c r="AN70" s="196" t="s">
        <v>226</v>
      </c>
      <c r="AO70" s="438" t="s">
        <v>335</v>
      </c>
      <c r="AP70" s="46">
        <v>100</v>
      </c>
      <c r="AQ70" s="368" t="s">
        <v>844</v>
      </c>
      <c r="AR70" s="257">
        <f>AP70*1300</f>
        <v>130000</v>
      </c>
      <c r="AS70" s="196"/>
      <c r="AT70" s="46"/>
      <c r="AU70" s="46"/>
      <c r="AV70" s="196"/>
      <c r="AW70" s="257"/>
      <c r="AX70" s="196" t="s">
        <v>254</v>
      </c>
      <c r="AY70" s="191">
        <v>88</v>
      </c>
      <c r="AZ70" s="257">
        <f>AY70*2000</f>
        <v>176000</v>
      </c>
      <c r="BA70" s="196"/>
      <c r="BB70" s="46"/>
      <c r="BC70" s="257"/>
      <c r="BD70" s="196"/>
      <c r="BE70" s="191"/>
      <c r="BF70" s="46"/>
      <c r="BG70" s="196"/>
      <c r="BH70" s="46"/>
      <c r="BI70" s="257"/>
      <c r="BJ70" s="196" t="s">
        <v>226</v>
      </c>
      <c r="BK70" s="191">
        <v>50</v>
      </c>
      <c r="BL70" s="257">
        <f>BK70*3500</f>
        <v>175000</v>
      </c>
      <c r="BM70" s="196"/>
      <c r="BN70" s="46"/>
      <c r="BO70" s="257"/>
      <c r="BP70" s="196"/>
      <c r="BQ70" s="190"/>
      <c r="BR70" s="46"/>
      <c r="BS70" s="196"/>
      <c r="BT70" s="46"/>
      <c r="BU70" s="257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196"/>
      <c r="CI70" s="46"/>
      <c r="CJ70" s="46"/>
      <c r="CK70" s="46"/>
      <c r="CL70" s="46"/>
      <c r="CM70" s="46"/>
      <c r="CN70" s="196"/>
      <c r="CO70" s="191"/>
      <c r="CP70" s="257"/>
      <c r="CQ70" s="196"/>
      <c r="CR70" s="167"/>
      <c r="CS70" s="257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191"/>
      <c r="DN70" s="46"/>
      <c r="DO70" s="196"/>
      <c r="DP70" s="221"/>
      <c r="DQ70" s="257">
        <f t="shared" si="4"/>
        <v>0</v>
      </c>
      <c r="DR70" s="294"/>
      <c r="DS70" s="295"/>
      <c r="DT70" s="386">
        <f t="shared" si="5"/>
        <v>0</v>
      </c>
      <c r="DU70" s="41"/>
      <c r="DV70" s="41"/>
      <c r="DW70" s="256"/>
      <c r="DX70" s="41"/>
      <c r="DY70" s="41"/>
      <c r="DZ70" s="68"/>
      <c r="EA70" s="41"/>
      <c r="EB70" s="41"/>
      <c r="EC70" s="256"/>
      <c r="ED70" s="308"/>
      <c r="EE70" s="308"/>
      <c r="EF70" s="308"/>
      <c r="EG70" s="41"/>
      <c r="EH70" s="41"/>
      <c r="EI70" s="41"/>
      <c r="EJ70" s="69"/>
      <c r="EK70" s="308"/>
      <c r="EL70" s="308"/>
      <c r="EM70" s="308"/>
      <c r="EN70" s="308"/>
      <c r="EO70" s="41"/>
      <c r="EP70" s="41"/>
      <c r="EQ70" s="41"/>
      <c r="ER70" s="256"/>
      <c r="ES70" s="293"/>
      <c r="ET70" s="293"/>
      <c r="EU70" s="293"/>
      <c r="EV70" s="293"/>
      <c r="EW70" s="41"/>
      <c r="EX70" s="41"/>
      <c r="EY70" s="41"/>
      <c r="EZ70" s="256"/>
      <c r="FA70" s="308"/>
      <c r="FB70" s="308"/>
      <c r="FC70" s="308"/>
      <c r="FD70" s="308"/>
      <c r="FE70" s="46"/>
      <c r="FF70" s="41"/>
      <c r="FG70" s="41"/>
      <c r="FH70" s="256"/>
      <c r="FI70" s="41"/>
      <c r="FJ70" s="41"/>
      <c r="FK70" s="41"/>
      <c r="FL70" s="276"/>
    </row>
    <row r="71" spans="1:168" ht="88.5">
      <c r="A71" s="45">
        <v>64</v>
      </c>
      <c r="B71" s="45"/>
      <c r="C71" s="45">
        <v>4</v>
      </c>
      <c r="D71" s="29" t="s">
        <v>604</v>
      </c>
      <c r="E71" s="30">
        <v>169</v>
      </c>
      <c r="F71" s="30">
        <v>5</v>
      </c>
      <c r="G71" s="246">
        <f>360581.76/1000</f>
        <v>360.58176000000003</v>
      </c>
      <c r="H71" s="45">
        <v>360581.76</v>
      </c>
      <c r="I71" s="45">
        <v>0</v>
      </c>
      <c r="J71" s="397">
        <v>85.629259999999988</v>
      </c>
      <c r="K71" s="495">
        <f t="shared" si="1"/>
        <v>446.21102000000002</v>
      </c>
      <c r="L71" s="578"/>
      <c r="M71" s="45">
        <f t="shared" si="2"/>
        <v>0</v>
      </c>
      <c r="N71" s="46"/>
      <c r="O71" s="46">
        <f t="shared" si="7"/>
        <v>415.9</v>
      </c>
      <c r="P71" s="234" t="s">
        <v>247</v>
      </c>
      <c r="Q71" s="46">
        <v>2</v>
      </c>
      <c r="R71" s="450" t="s">
        <v>848</v>
      </c>
      <c r="S71" s="257">
        <f>20000+1*85000</f>
        <v>105000</v>
      </c>
      <c r="T71" s="46"/>
      <c r="U71" s="46"/>
      <c r="V71" s="46"/>
      <c r="W71" s="46"/>
      <c r="X71" s="196"/>
      <c r="Y71" s="46"/>
      <c r="Z71" s="46"/>
      <c r="AA71" s="46"/>
      <c r="AB71" s="46"/>
      <c r="AC71" s="46"/>
      <c r="AD71" s="46"/>
      <c r="AE71" s="46"/>
      <c r="AF71" s="196"/>
      <c r="AG71" s="46"/>
      <c r="AH71" s="46"/>
      <c r="AI71" s="46"/>
      <c r="AJ71" s="46"/>
      <c r="AK71" s="46"/>
      <c r="AL71" s="46"/>
      <c r="AM71" s="46"/>
      <c r="AN71" s="196"/>
      <c r="AO71" s="438"/>
      <c r="AP71" s="46"/>
      <c r="AQ71" s="368"/>
      <c r="AR71" s="257"/>
      <c r="AS71" s="196"/>
      <c r="AT71" s="46"/>
      <c r="AU71" s="46"/>
      <c r="AV71" s="196"/>
      <c r="AW71" s="257"/>
      <c r="AX71" s="196" t="s">
        <v>254</v>
      </c>
      <c r="AY71" s="191">
        <v>22</v>
      </c>
      <c r="AZ71" s="257">
        <f>AY71*2000</f>
        <v>44000</v>
      </c>
      <c r="BA71" s="196"/>
      <c r="BB71" s="46"/>
      <c r="BC71" s="257"/>
      <c r="BD71" s="196"/>
      <c r="BE71" s="191"/>
      <c r="BF71" s="46"/>
      <c r="BG71" s="196"/>
      <c r="BH71" s="46"/>
      <c r="BI71" s="257"/>
      <c r="BJ71" s="196"/>
      <c r="BK71" s="191"/>
      <c r="BL71" s="257"/>
      <c r="BM71" s="196"/>
      <c r="BN71" s="46"/>
      <c r="BO71" s="257"/>
      <c r="BP71" s="196" t="s">
        <v>254</v>
      </c>
      <c r="BQ71" s="190" t="s">
        <v>846</v>
      </c>
      <c r="BR71" s="46">
        <f>5*1300</f>
        <v>6500</v>
      </c>
      <c r="BS71" s="196"/>
      <c r="BT71" s="46"/>
      <c r="BU71" s="257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196"/>
      <c r="CI71" s="46"/>
      <c r="CJ71" s="46"/>
      <c r="CK71" s="46"/>
      <c r="CL71" s="46"/>
      <c r="CM71" s="46"/>
      <c r="CN71" s="196" t="s">
        <v>225</v>
      </c>
      <c r="CO71" s="190" t="s">
        <v>847</v>
      </c>
      <c r="CP71" s="257">
        <f>100000+50*400</f>
        <v>120000</v>
      </c>
      <c r="CQ71" s="196"/>
      <c r="CR71" s="167"/>
      <c r="CS71" s="257"/>
      <c r="CT71" s="46">
        <v>3</v>
      </c>
      <c r="CU71" s="46">
        <v>3</v>
      </c>
      <c r="CV71" s="46">
        <f>15000</f>
        <v>15000</v>
      </c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191"/>
      <c r="DN71" s="46"/>
      <c r="DO71" s="196"/>
      <c r="DP71" s="221" t="s">
        <v>845</v>
      </c>
      <c r="DQ71" s="257">
        <f>DW71+EC71+EJ71+ER71+EZ71+FH71+30000+10000+10000+5000</f>
        <v>125400</v>
      </c>
      <c r="DR71" s="294"/>
      <c r="DS71" s="295"/>
      <c r="DT71" s="386">
        <f t="shared" si="5"/>
        <v>0</v>
      </c>
      <c r="DU71" s="41"/>
      <c r="DV71" s="41"/>
      <c r="DW71" s="256"/>
      <c r="DX71" s="41"/>
      <c r="DY71" s="41"/>
      <c r="DZ71" s="68"/>
      <c r="EA71" s="41">
        <v>10</v>
      </c>
      <c r="EB71" s="41">
        <v>88</v>
      </c>
      <c r="EC71" s="256">
        <f>EB71*800</f>
        <v>70400</v>
      </c>
      <c r="ED71" s="308"/>
      <c r="EE71" s="308"/>
      <c r="EF71" s="308"/>
      <c r="EG71" s="41"/>
      <c r="EH71" s="41"/>
      <c r="EI71" s="41"/>
      <c r="EJ71" s="69"/>
      <c r="EK71" s="308"/>
      <c r="EL71" s="308"/>
      <c r="EM71" s="308"/>
      <c r="EN71" s="308"/>
      <c r="EO71" s="41"/>
      <c r="EP71" s="41"/>
      <c r="EQ71" s="41"/>
      <c r="ER71" s="256"/>
      <c r="ES71" s="293"/>
      <c r="ET71" s="293"/>
      <c r="EU71" s="293"/>
      <c r="EV71" s="293"/>
      <c r="EW71" s="41"/>
      <c r="EX71" s="41"/>
      <c r="EY71" s="41"/>
      <c r="EZ71" s="256"/>
      <c r="FA71" s="308"/>
      <c r="FB71" s="308"/>
      <c r="FC71" s="308"/>
      <c r="FD71" s="308"/>
      <c r="FE71" s="46"/>
      <c r="FF71" s="41"/>
      <c r="FG71" s="41"/>
      <c r="FH71" s="256"/>
      <c r="FI71" s="41"/>
      <c r="FJ71" s="41"/>
      <c r="FK71" s="41"/>
      <c r="FL71" s="276"/>
    </row>
    <row r="72" spans="1:168" ht="30">
      <c r="A72" s="45">
        <v>65</v>
      </c>
      <c r="B72" s="45" t="s">
        <v>210</v>
      </c>
      <c r="C72" s="45">
        <v>4</v>
      </c>
      <c r="D72" s="29" t="s">
        <v>494</v>
      </c>
      <c r="E72" s="175">
        <v>17</v>
      </c>
      <c r="F72" s="188">
        <v>7</v>
      </c>
      <c r="G72" s="246">
        <f>44540.622/1000</f>
        <v>44.540622000000006</v>
      </c>
      <c r="H72" s="45">
        <v>0</v>
      </c>
      <c r="I72" s="45">
        <v>44540.622000000003</v>
      </c>
      <c r="J72" s="397">
        <v>136.56584000000001</v>
      </c>
      <c r="K72" s="495">
        <f t="shared" si="1"/>
        <v>181.10646200000002</v>
      </c>
      <c r="L72" s="578"/>
      <c r="M72" s="45">
        <f t="shared" si="2"/>
        <v>0</v>
      </c>
      <c r="N72" s="46">
        <f>K72-M72</f>
        <v>181.10646200000002</v>
      </c>
      <c r="O72" s="46">
        <f t="shared" si="7"/>
        <v>75</v>
      </c>
      <c r="P72" s="234"/>
      <c r="Q72" s="46"/>
      <c r="R72" s="450"/>
      <c r="S72" s="257"/>
      <c r="T72" s="46"/>
      <c r="U72" s="46"/>
      <c r="V72" s="46"/>
      <c r="W72" s="46"/>
      <c r="X72" s="196"/>
      <c r="Y72" s="46"/>
      <c r="Z72" s="46"/>
      <c r="AA72" s="46"/>
      <c r="AB72" s="46"/>
      <c r="AC72" s="46"/>
      <c r="AD72" s="46"/>
      <c r="AE72" s="46"/>
      <c r="AF72" s="196"/>
      <c r="AG72" s="46"/>
      <c r="AH72" s="46"/>
      <c r="AI72" s="46"/>
      <c r="AJ72" s="46"/>
      <c r="AK72" s="46"/>
      <c r="AL72" s="46"/>
      <c r="AM72" s="46"/>
      <c r="AN72" s="196"/>
      <c r="AO72" s="438"/>
      <c r="AP72" s="46"/>
      <c r="AQ72" s="368"/>
      <c r="AR72" s="257"/>
      <c r="AS72" s="196"/>
      <c r="AT72" s="46"/>
      <c r="AU72" s="46"/>
      <c r="AV72" s="196"/>
      <c r="AW72" s="257"/>
      <c r="AX72" s="196"/>
      <c r="AY72" s="191"/>
      <c r="AZ72" s="257"/>
      <c r="BA72" s="196"/>
      <c r="BB72" s="46"/>
      <c r="BC72" s="257"/>
      <c r="BD72" s="196"/>
      <c r="BE72" s="191"/>
      <c r="BF72" s="46"/>
      <c r="BG72" s="196"/>
      <c r="BH72" s="46"/>
      <c r="BI72" s="257"/>
      <c r="BJ72" s="196"/>
      <c r="BK72" s="191"/>
      <c r="BL72" s="257"/>
      <c r="BM72" s="196"/>
      <c r="BN72" s="46"/>
      <c r="BO72" s="257"/>
      <c r="BP72" s="196"/>
      <c r="BQ72" s="190"/>
      <c r="BR72" s="46"/>
      <c r="BS72" s="196"/>
      <c r="BT72" s="46"/>
      <c r="BU72" s="257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196"/>
      <c r="CI72" s="46"/>
      <c r="CJ72" s="46"/>
      <c r="CK72" s="46"/>
      <c r="CL72" s="46"/>
      <c r="CM72" s="46"/>
      <c r="CN72" s="196"/>
      <c r="CO72" s="191"/>
      <c r="CP72" s="257"/>
      <c r="CQ72" s="196"/>
      <c r="CR72" s="167"/>
      <c r="CS72" s="257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191"/>
      <c r="DN72" s="46"/>
      <c r="DO72" s="218"/>
      <c r="DP72" s="221" t="s">
        <v>849</v>
      </c>
      <c r="DQ72" s="257">
        <f>DW72+EC72+EJ72+ER72+EZ72+FH72+25000+15000+15000</f>
        <v>75000</v>
      </c>
      <c r="DR72" s="294"/>
      <c r="DS72" s="295"/>
      <c r="DT72" s="386">
        <f t="shared" si="5"/>
        <v>0</v>
      </c>
      <c r="DU72" s="41"/>
      <c r="DV72" s="41"/>
      <c r="DW72" s="256"/>
      <c r="DX72" s="41"/>
      <c r="DY72" s="41"/>
      <c r="DZ72" s="68"/>
      <c r="EA72" s="41"/>
      <c r="EB72" s="41"/>
      <c r="EC72" s="256"/>
      <c r="ED72" s="308"/>
      <c r="EE72" s="308"/>
      <c r="EF72" s="308"/>
      <c r="EG72" s="41"/>
      <c r="EH72" s="41"/>
      <c r="EI72" s="41"/>
      <c r="EJ72" s="69"/>
      <c r="EK72" s="308"/>
      <c r="EL72" s="308"/>
      <c r="EM72" s="308"/>
      <c r="EN72" s="308"/>
      <c r="EO72" s="41">
        <v>3</v>
      </c>
      <c r="EP72" s="41">
        <v>1</v>
      </c>
      <c r="EQ72" s="41">
        <v>1</v>
      </c>
      <c r="ER72" s="256">
        <v>20000</v>
      </c>
      <c r="ES72" s="293"/>
      <c r="ET72" s="293"/>
      <c r="EU72" s="293"/>
      <c r="EV72" s="293"/>
      <c r="EW72" s="41"/>
      <c r="EX72" s="41"/>
      <c r="EY72" s="41"/>
      <c r="EZ72" s="256"/>
      <c r="FA72" s="308"/>
      <c r="FB72" s="308"/>
      <c r="FC72" s="308"/>
      <c r="FD72" s="308"/>
      <c r="FE72" s="41"/>
      <c r="FF72" s="41"/>
      <c r="FG72" s="41"/>
      <c r="FH72" s="256"/>
      <c r="FI72" s="41"/>
      <c r="FJ72" s="41"/>
      <c r="FK72" s="41"/>
      <c r="FL72" s="276"/>
    </row>
    <row r="73" spans="1:168">
      <c r="A73" s="45">
        <v>66</v>
      </c>
      <c r="B73" s="45" t="s">
        <v>210</v>
      </c>
      <c r="C73" s="45">
        <v>4</v>
      </c>
      <c r="D73" s="29" t="s">
        <v>494</v>
      </c>
      <c r="E73" s="175" t="s">
        <v>495</v>
      </c>
      <c r="F73" s="188">
        <v>7</v>
      </c>
      <c r="G73" s="246">
        <f>44822.988/1000</f>
        <v>44.822987999999995</v>
      </c>
      <c r="H73" s="45">
        <v>0</v>
      </c>
      <c r="I73" s="45">
        <v>44822.987999999998</v>
      </c>
      <c r="J73" s="397">
        <v>148.40329</v>
      </c>
      <c r="K73" s="495">
        <f t="shared" si="1"/>
        <v>193.22627799999998</v>
      </c>
      <c r="L73" s="578"/>
      <c r="M73" s="45">
        <f t="shared" ref="M73:M136" si="9">(W73+AE73+AM73+AW73+BC73+BI73+BO73+BU73+CA73+CG73+CM73+CS73+CY73+DE73+DK73+DT73)/1000</f>
        <v>0</v>
      </c>
      <c r="N73" s="46">
        <f>K73-M73</f>
        <v>193.22627799999998</v>
      </c>
      <c r="O73" s="46">
        <f t="shared" si="7"/>
        <v>193</v>
      </c>
      <c r="P73" s="234"/>
      <c r="Q73" s="46"/>
      <c r="R73" s="450"/>
      <c r="S73" s="257"/>
      <c r="T73" s="46"/>
      <c r="U73" s="46"/>
      <c r="V73" s="46"/>
      <c r="W73" s="46"/>
      <c r="X73" s="196"/>
      <c r="Y73" s="46"/>
      <c r="Z73" s="46"/>
      <c r="AA73" s="46"/>
      <c r="AB73" s="46"/>
      <c r="AC73" s="46"/>
      <c r="AD73" s="46"/>
      <c r="AE73" s="46"/>
      <c r="AF73" s="196"/>
      <c r="AG73" s="46"/>
      <c r="AH73" s="46"/>
      <c r="AI73" s="46"/>
      <c r="AJ73" s="46"/>
      <c r="AK73" s="46"/>
      <c r="AL73" s="46"/>
      <c r="AM73" s="46"/>
      <c r="AN73" s="196"/>
      <c r="AO73" s="438"/>
      <c r="AP73" s="46"/>
      <c r="AQ73" s="368"/>
      <c r="AR73" s="257"/>
      <c r="AS73" s="196"/>
      <c r="AT73" s="46"/>
      <c r="AU73" s="46"/>
      <c r="AV73" s="196"/>
      <c r="AW73" s="257"/>
      <c r="AX73" s="196"/>
      <c r="AY73" s="191"/>
      <c r="AZ73" s="257"/>
      <c r="BA73" s="196"/>
      <c r="BB73" s="46"/>
      <c r="BC73" s="257"/>
      <c r="BD73" s="196"/>
      <c r="BE73" s="191"/>
      <c r="BF73" s="46"/>
      <c r="BG73" s="196"/>
      <c r="BH73" s="46"/>
      <c r="BI73" s="257"/>
      <c r="BJ73" s="196"/>
      <c r="BK73" s="191"/>
      <c r="BL73" s="257"/>
      <c r="BM73" s="196"/>
      <c r="BN73" s="46"/>
      <c r="BO73" s="257"/>
      <c r="BP73" s="196"/>
      <c r="BQ73" s="190"/>
      <c r="BR73" s="46"/>
      <c r="BS73" s="196"/>
      <c r="BT73" s="46"/>
      <c r="BU73" s="257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196"/>
      <c r="CI73" s="46"/>
      <c r="CJ73" s="46"/>
      <c r="CK73" s="46"/>
      <c r="CL73" s="46"/>
      <c r="CM73" s="46"/>
      <c r="CN73" s="196"/>
      <c r="CO73" s="191"/>
      <c r="CP73" s="257"/>
      <c r="CQ73" s="196"/>
      <c r="CR73" s="167"/>
      <c r="CS73" s="257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191"/>
      <c r="DN73" s="46"/>
      <c r="DO73" s="196"/>
      <c r="DP73" s="221" t="s">
        <v>531</v>
      </c>
      <c r="DQ73" s="257">
        <f>DW73+EC73+EJ73+ER73+EZ73+FH73+193000</f>
        <v>193000</v>
      </c>
      <c r="DR73" s="294"/>
      <c r="DS73" s="295"/>
      <c r="DT73" s="386">
        <f t="shared" ref="DT73:DT136" si="10">DZ73+EF73+EN73+EV73+FD73+FL73</f>
        <v>0</v>
      </c>
      <c r="DU73" s="41"/>
      <c r="DV73" s="41"/>
      <c r="DW73" s="256"/>
      <c r="DX73" s="41"/>
      <c r="DY73" s="41"/>
      <c r="DZ73" s="68"/>
      <c r="EA73" s="41"/>
      <c r="EB73" s="41"/>
      <c r="EC73" s="256"/>
      <c r="ED73" s="308"/>
      <c r="EE73" s="308"/>
      <c r="EF73" s="308"/>
      <c r="EG73" s="41"/>
      <c r="EH73" s="41"/>
      <c r="EI73" s="41"/>
      <c r="EJ73" s="69"/>
      <c r="EK73" s="308"/>
      <c r="EL73" s="308"/>
      <c r="EM73" s="308"/>
      <c r="EN73" s="308"/>
      <c r="EO73" s="41"/>
      <c r="EP73" s="41"/>
      <c r="EQ73" s="41"/>
      <c r="ER73" s="256"/>
      <c r="ES73" s="293"/>
      <c r="ET73" s="293"/>
      <c r="EU73" s="293"/>
      <c r="EV73" s="293"/>
      <c r="EW73" s="41"/>
      <c r="EX73" s="41"/>
      <c r="EY73" s="41"/>
      <c r="EZ73" s="256"/>
      <c r="FA73" s="308"/>
      <c r="FB73" s="308"/>
      <c r="FC73" s="308"/>
      <c r="FD73" s="308"/>
      <c r="FE73" s="41"/>
      <c r="FF73" s="41"/>
      <c r="FG73" s="41"/>
      <c r="FH73" s="256"/>
      <c r="FI73" s="41"/>
      <c r="FJ73" s="41"/>
      <c r="FK73" s="41"/>
      <c r="FL73" s="276"/>
    </row>
    <row r="74" spans="1:168">
      <c r="A74" s="45">
        <v>67</v>
      </c>
      <c r="B74" s="45" t="s">
        <v>210</v>
      </c>
      <c r="C74" s="45">
        <v>4</v>
      </c>
      <c r="D74" s="29" t="s">
        <v>494</v>
      </c>
      <c r="E74" s="175">
        <v>21</v>
      </c>
      <c r="F74" s="188">
        <v>7</v>
      </c>
      <c r="G74" s="246">
        <f>44498.79/1000</f>
        <v>44.49879</v>
      </c>
      <c r="H74" s="45">
        <v>0</v>
      </c>
      <c r="I74" s="45">
        <v>44498.79</v>
      </c>
      <c r="J74" s="397">
        <v>143.81690999999998</v>
      </c>
      <c r="K74" s="495">
        <f t="shared" ref="K74:K135" si="11">G74+J74</f>
        <v>188.31569999999999</v>
      </c>
      <c r="L74" s="578"/>
      <c r="M74" s="45">
        <f t="shared" si="9"/>
        <v>0</v>
      </c>
      <c r="N74" s="46">
        <f>K74-M74</f>
        <v>188.31569999999999</v>
      </c>
      <c r="O74" s="46">
        <f t="shared" si="7"/>
        <v>139.6</v>
      </c>
      <c r="P74" s="234" t="s">
        <v>224</v>
      </c>
      <c r="Q74" s="46">
        <v>1</v>
      </c>
      <c r="R74" s="450">
        <v>1</v>
      </c>
      <c r="S74" s="257">
        <v>90000</v>
      </c>
      <c r="T74" s="46"/>
      <c r="U74" s="46"/>
      <c r="V74" s="46"/>
      <c r="W74" s="46"/>
      <c r="X74" s="196"/>
      <c r="Y74" s="46"/>
      <c r="Z74" s="46"/>
      <c r="AA74" s="46"/>
      <c r="AB74" s="46"/>
      <c r="AC74" s="46"/>
      <c r="AD74" s="46"/>
      <c r="AE74" s="46"/>
      <c r="AF74" s="196"/>
      <c r="AG74" s="46"/>
      <c r="AH74" s="46"/>
      <c r="AI74" s="46"/>
      <c r="AJ74" s="46"/>
      <c r="AK74" s="46"/>
      <c r="AL74" s="46"/>
      <c r="AM74" s="46"/>
      <c r="AN74" s="196"/>
      <c r="AO74" s="438"/>
      <c r="AP74" s="46"/>
      <c r="AQ74" s="368"/>
      <c r="AR74" s="257"/>
      <c r="AS74" s="196"/>
      <c r="AT74" s="46"/>
      <c r="AU74" s="46"/>
      <c r="AV74" s="196"/>
      <c r="AW74" s="257"/>
      <c r="AX74" s="196"/>
      <c r="AY74" s="191"/>
      <c r="AZ74" s="257"/>
      <c r="BA74" s="196"/>
      <c r="BB74" s="46"/>
      <c r="BC74" s="257"/>
      <c r="BD74" s="196"/>
      <c r="BE74" s="191"/>
      <c r="BF74" s="46"/>
      <c r="BG74" s="196"/>
      <c r="BH74" s="46"/>
      <c r="BI74" s="257"/>
      <c r="BJ74" s="196"/>
      <c r="BK74" s="191"/>
      <c r="BL74" s="257"/>
      <c r="BM74" s="196"/>
      <c r="BN74" s="46"/>
      <c r="BO74" s="257"/>
      <c r="BP74" s="196"/>
      <c r="BQ74" s="190"/>
      <c r="BR74" s="46"/>
      <c r="BS74" s="196"/>
      <c r="BT74" s="46"/>
      <c r="BU74" s="257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196"/>
      <c r="CI74" s="46"/>
      <c r="CJ74" s="46"/>
      <c r="CK74" s="46"/>
      <c r="CL74" s="46"/>
      <c r="CM74" s="46"/>
      <c r="CN74" s="196"/>
      <c r="CO74" s="191"/>
      <c r="CP74" s="257"/>
      <c r="CQ74" s="196"/>
      <c r="CR74" s="167"/>
      <c r="CS74" s="257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191"/>
      <c r="DN74" s="46"/>
      <c r="DO74" s="196"/>
      <c r="DP74" s="221" t="s">
        <v>833</v>
      </c>
      <c r="DQ74" s="257">
        <f t="shared" ref="DQ74:DQ136" si="12">DW74+EC74+EJ74+ER74+EZ74+FH74</f>
        <v>49600</v>
      </c>
      <c r="DR74" s="294"/>
      <c r="DS74" s="295"/>
      <c r="DT74" s="386">
        <f t="shared" si="10"/>
        <v>0</v>
      </c>
      <c r="DU74" s="41"/>
      <c r="DV74" s="41"/>
      <c r="DW74" s="256"/>
      <c r="DX74" s="41"/>
      <c r="DY74" s="41"/>
      <c r="DZ74" s="68"/>
      <c r="EA74" s="41">
        <v>9</v>
      </c>
      <c r="EB74" s="41">
        <v>62</v>
      </c>
      <c r="EC74" s="256">
        <f>EB74*800</f>
        <v>49600</v>
      </c>
      <c r="ED74" s="308"/>
      <c r="EE74" s="308"/>
      <c r="EF74" s="308"/>
      <c r="EG74" s="41"/>
      <c r="EH74" s="41"/>
      <c r="EI74" s="41"/>
      <c r="EJ74" s="69"/>
      <c r="EK74" s="308"/>
      <c r="EL74" s="308"/>
      <c r="EM74" s="308"/>
      <c r="EN74" s="308"/>
      <c r="EO74" s="41"/>
      <c r="EP74" s="41"/>
      <c r="EQ74" s="41"/>
      <c r="ER74" s="256"/>
      <c r="ES74" s="293"/>
      <c r="ET74" s="293"/>
      <c r="EU74" s="293"/>
      <c r="EV74" s="293"/>
      <c r="EW74" s="41"/>
      <c r="EX74" s="41"/>
      <c r="EY74" s="41"/>
      <c r="EZ74" s="256"/>
      <c r="FA74" s="308"/>
      <c r="FB74" s="308"/>
      <c r="FC74" s="308"/>
      <c r="FD74" s="308"/>
      <c r="FE74" s="41"/>
      <c r="FF74" s="41"/>
      <c r="FG74" s="41"/>
      <c r="FH74" s="256"/>
      <c r="FI74" s="41"/>
      <c r="FJ74" s="41"/>
      <c r="FK74" s="41"/>
      <c r="FL74" s="276"/>
    </row>
    <row r="75" spans="1:168">
      <c r="A75" s="45">
        <v>68</v>
      </c>
      <c r="B75" s="45" t="s">
        <v>210</v>
      </c>
      <c r="C75" s="45">
        <v>4</v>
      </c>
      <c r="D75" s="29" t="s">
        <v>88</v>
      </c>
      <c r="E75" s="30" t="s">
        <v>90</v>
      </c>
      <c r="F75" s="30">
        <v>7</v>
      </c>
      <c r="G75" s="246">
        <f>29104.614/1000</f>
        <v>29.104614000000002</v>
      </c>
      <c r="H75" s="45">
        <v>0</v>
      </c>
      <c r="I75" s="45">
        <v>29104.614000000001</v>
      </c>
      <c r="J75" s="397">
        <v>30.147909999999996</v>
      </c>
      <c r="K75" s="495">
        <f t="shared" si="11"/>
        <v>59.252523999999994</v>
      </c>
      <c r="L75" s="578"/>
      <c r="M75" s="45">
        <f t="shared" si="9"/>
        <v>0</v>
      </c>
      <c r="N75" s="46">
        <f t="shared" si="8"/>
        <v>59.252523999999994</v>
      </c>
      <c r="O75" s="46">
        <f t="shared" si="7"/>
        <v>59</v>
      </c>
      <c r="P75" s="234"/>
      <c r="Q75" s="46"/>
      <c r="R75" s="450"/>
      <c r="S75" s="257"/>
      <c r="T75" s="46"/>
      <c r="U75" s="46"/>
      <c r="V75" s="46"/>
      <c r="W75" s="46"/>
      <c r="X75" s="196"/>
      <c r="Y75" s="46"/>
      <c r="Z75" s="46"/>
      <c r="AA75" s="46"/>
      <c r="AB75" s="46"/>
      <c r="AC75" s="46"/>
      <c r="AD75" s="46"/>
      <c r="AE75" s="46"/>
      <c r="AF75" s="196"/>
      <c r="AG75" s="46"/>
      <c r="AH75" s="46"/>
      <c r="AI75" s="46"/>
      <c r="AJ75" s="46"/>
      <c r="AK75" s="46"/>
      <c r="AL75" s="46"/>
      <c r="AM75" s="46"/>
      <c r="AN75" s="196"/>
      <c r="AO75" s="438"/>
      <c r="AP75" s="46"/>
      <c r="AQ75" s="368"/>
      <c r="AR75" s="257"/>
      <c r="AS75" s="196"/>
      <c r="AT75" s="46"/>
      <c r="AU75" s="46"/>
      <c r="AV75" s="196"/>
      <c r="AW75" s="257"/>
      <c r="AX75" s="196"/>
      <c r="AY75" s="191"/>
      <c r="AZ75" s="257"/>
      <c r="BA75" s="196"/>
      <c r="BB75" s="46"/>
      <c r="BC75" s="257"/>
      <c r="BD75" s="196"/>
      <c r="BE75" s="191"/>
      <c r="BF75" s="46"/>
      <c r="BG75" s="196"/>
      <c r="BH75" s="46"/>
      <c r="BI75" s="257"/>
      <c r="BJ75" s="196"/>
      <c r="BK75" s="191"/>
      <c r="BL75" s="257"/>
      <c r="BM75" s="196"/>
      <c r="BN75" s="46"/>
      <c r="BO75" s="257"/>
      <c r="BP75" s="196"/>
      <c r="BQ75" s="190"/>
      <c r="BR75" s="46"/>
      <c r="BS75" s="196"/>
      <c r="BT75" s="46"/>
      <c r="BU75" s="257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196"/>
      <c r="CI75" s="46"/>
      <c r="CJ75" s="46"/>
      <c r="CK75" s="46"/>
      <c r="CL75" s="46"/>
      <c r="CM75" s="46"/>
      <c r="CN75" s="196"/>
      <c r="CO75" s="191"/>
      <c r="CP75" s="257"/>
      <c r="CQ75" s="196"/>
      <c r="CR75" s="167"/>
      <c r="CS75" s="257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191"/>
      <c r="DN75" s="46"/>
      <c r="DO75" s="196"/>
      <c r="DP75" s="221" t="s">
        <v>850</v>
      </c>
      <c r="DQ75" s="257">
        <f t="shared" si="12"/>
        <v>59000</v>
      </c>
      <c r="DR75" s="294"/>
      <c r="DS75" s="295"/>
      <c r="DT75" s="386">
        <f t="shared" si="10"/>
        <v>0</v>
      </c>
      <c r="DU75" s="41">
        <v>4</v>
      </c>
      <c r="DV75" s="41">
        <v>1</v>
      </c>
      <c r="DW75" s="256">
        <v>59000</v>
      </c>
      <c r="DX75" s="41"/>
      <c r="DY75" s="41"/>
      <c r="DZ75" s="68"/>
      <c r="EA75" s="41"/>
      <c r="EB75" s="41"/>
      <c r="EC75" s="256"/>
      <c r="ED75" s="308"/>
      <c r="EE75" s="308"/>
      <c r="EF75" s="308"/>
      <c r="EG75" s="41"/>
      <c r="EH75" s="41"/>
      <c r="EI75" s="41"/>
      <c r="EJ75" s="69"/>
      <c r="EK75" s="308"/>
      <c r="EL75" s="308"/>
      <c r="EM75" s="308"/>
      <c r="EN75" s="308"/>
      <c r="EO75" s="41"/>
      <c r="EP75" s="41"/>
      <c r="EQ75" s="41"/>
      <c r="ER75" s="256"/>
      <c r="ES75" s="293"/>
      <c r="ET75" s="293"/>
      <c r="EU75" s="293"/>
      <c r="EV75" s="293"/>
      <c r="EW75" s="41"/>
      <c r="EX75" s="41"/>
      <c r="EY75" s="41"/>
      <c r="EZ75" s="256"/>
      <c r="FA75" s="308"/>
      <c r="FB75" s="308"/>
      <c r="FC75" s="308"/>
      <c r="FD75" s="308"/>
      <c r="FE75" s="41"/>
      <c r="FF75" s="41"/>
      <c r="FG75" s="41"/>
      <c r="FH75" s="256"/>
      <c r="FI75" s="41"/>
      <c r="FJ75" s="41"/>
      <c r="FK75" s="41"/>
      <c r="FL75" s="276"/>
    </row>
    <row r="76" spans="1:168" ht="19.149999999999999" customHeight="1">
      <c r="A76" s="45">
        <v>69</v>
      </c>
      <c r="B76" s="45" t="s">
        <v>210</v>
      </c>
      <c r="C76" s="45">
        <v>5</v>
      </c>
      <c r="D76" s="29" t="s">
        <v>496</v>
      </c>
      <c r="E76" s="175">
        <v>33</v>
      </c>
      <c r="F76" s="188">
        <v>7</v>
      </c>
      <c r="G76" s="246">
        <f>40148.262/1000</f>
        <v>40.148262000000003</v>
      </c>
      <c r="H76" s="45">
        <v>0</v>
      </c>
      <c r="I76" s="45">
        <v>40148.261999999995</v>
      </c>
      <c r="J76" s="397">
        <v>85.613079999999982</v>
      </c>
      <c r="K76" s="495">
        <f t="shared" si="11"/>
        <v>125.76134199999998</v>
      </c>
      <c r="L76" s="578"/>
      <c r="M76" s="45">
        <f t="shared" si="9"/>
        <v>0</v>
      </c>
      <c r="N76" s="46">
        <f>K76-M76</f>
        <v>125.76134199999998</v>
      </c>
      <c r="O76" s="46">
        <f t="shared" si="7"/>
        <v>110.6</v>
      </c>
      <c r="P76" s="234"/>
      <c r="Q76" s="46"/>
      <c r="R76" s="450"/>
      <c r="S76" s="257"/>
      <c r="T76" s="46"/>
      <c r="U76" s="46"/>
      <c r="V76" s="46"/>
      <c r="W76" s="46"/>
      <c r="X76" s="196"/>
      <c r="Y76" s="46"/>
      <c r="Z76" s="46"/>
      <c r="AA76" s="46"/>
      <c r="AB76" s="46"/>
      <c r="AC76" s="46"/>
      <c r="AD76" s="46"/>
      <c r="AE76" s="46"/>
      <c r="AF76" s="196"/>
      <c r="AG76" s="46"/>
      <c r="AH76" s="46"/>
      <c r="AI76" s="46"/>
      <c r="AJ76" s="46"/>
      <c r="AK76" s="46"/>
      <c r="AL76" s="46"/>
      <c r="AM76" s="46"/>
      <c r="AN76" s="196" t="s">
        <v>249</v>
      </c>
      <c r="AO76" s="438" t="s">
        <v>335</v>
      </c>
      <c r="AP76" s="46">
        <v>26</v>
      </c>
      <c r="AQ76" s="368" t="s">
        <v>552</v>
      </c>
      <c r="AR76" s="257">
        <f>AP76*1300</f>
        <v>33800</v>
      </c>
      <c r="AS76" s="196"/>
      <c r="AT76" s="46"/>
      <c r="AU76" s="46"/>
      <c r="AV76" s="196"/>
      <c r="AW76" s="257"/>
      <c r="AX76" s="196"/>
      <c r="AY76" s="191"/>
      <c r="AZ76" s="257"/>
      <c r="BA76" s="196"/>
      <c r="BB76" s="46"/>
      <c r="BC76" s="257"/>
      <c r="BD76" s="196"/>
      <c r="BE76" s="191"/>
      <c r="BF76" s="46"/>
      <c r="BG76" s="196"/>
      <c r="BH76" s="46"/>
      <c r="BI76" s="257"/>
      <c r="BJ76" s="196"/>
      <c r="BK76" s="191"/>
      <c r="BL76" s="257"/>
      <c r="BM76" s="196"/>
      <c r="BN76" s="46"/>
      <c r="BO76" s="257"/>
      <c r="BP76" s="196"/>
      <c r="BQ76" s="190"/>
      <c r="BR76" s="46"/>
      <c r="BS76" s="196"/>
      <c r="BT76" s="46"/>
      <c r="BU76" s="257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196"/>
      <c r="CI76" s="46"/>
      <c r="CJ76" s="46"/>
      <c r="CK76" s="46"/>
      <c r="CL76" s="46"/>
      <c r="CM76" s="46"/>
      <c r="CN76" s="196"/>
      <c r="CO76" s="191"/>
      <c r="CP76" s="257"/>
      <c r="CQ76" s="196"/>
      <c r="CR76" s="167"/>
      <c r="CS76" s="257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191"/>
      <c r="DN76" s="46"/>
      <c r="DO76" s="196"/>
      <c r="DP76" s="221" t="s">
        <v>851</v>
      </c>
      <c r="DQ76" s="257">
        <f t="shared" si="12"/>
        <v>76800</v>
      </c>
      <c r="DR76" s="294"/>
      <c r="DS76" s="295"/>
      <c r="DT76" s="386">
        <f t="shared" si="10"/>
        <v>0</v>
      </c>
      <c r="DU76" s="41"/>
      <c r="DV76" s="41"/>
      <c r="DW76" s="256"/>
      <c r="DX76" s="41"/>
      <c r="DY76" s="41"/>
      <c r="DZ76" s="68"/>
      <c r="EA76" s="41">
        <v>9</v>
      </c>
      <c r="EB76" s="41">
        <v>96</v>
      </c>
      <c r="EC76" s="256">
        <f>EB76*800</f>
        <v>76800</v>
      </c>
      <c r="ED76" s="308"/>
      <c r="EE76" s="308"/>
      <c r="EF76" s="308"/>
      <c r="EG76" s="41"/>
      <c r="EH76" s="41"/>
      <c r="EI76" s="41"/>
      <c r="EJ76" s="69"/>
      <c r="EK76" s="308"/>
      <c r="EL76" s="308"/>
      <c r="EM76" s="308"/>
      <c r="EN76" s="308"/>
      <c r="EO76" s="41"/>
      <c r="EP76" s="41"/>
      <c r="EQ76" s="41"/>
      <c r="ER76" s="256"/>
      <c r="ES76" s="293"/>
      <c r="ET76" s="293"/>
      <c r="EU76" s="293"/>
      <c r="EV76" s="293"/>
      <c r="EW76" s="41"/>
      <c r="EX76" s="41"/>
      <c r="EY76" s="41"/>
      <c r="EZ76" s="256"/>
      <c r="FA76" s="308"/>
      <c r="FB76" s="308"/>
      <c r="FC76" s="308"/>
      <c r="FD76" s="308"/>
      <c r="FE76" s="41"/>
      <c r="FF76" s="41"/>
      <c r="FG76" s="41"/>
      <c r="FH76" s="256"/>
      <c r="FI76" s="41"/>
      <c r="FJ76" s="41"/>
      <c r="FK76" s="41"/>
      <c r="FL76" s="276"/>
    </row>
    <row r="77" spans="1:168">
      <c r="A77" s="45">
        <v>70</v>
      </c>
      <c r="B77" s="45" t="s">
        <v>210</v>
      </c>
      <c r="C77" s="45">
        <v>5</v>
      </c>
      <c r="D77" s="29" t="s">
        <v>496</v>
      </c>
      <c r="E77" s="175">
        <v>35</v>
      </c>
      <c r="F77" s="188">
        <v>7</v>
      </c>
      <c r="G77" s="246">
        <f>39531.24/1000</f>
        <v>39.531239999999997</v>
      </c>
      <c r="H77" s="45">
        <v>0</v>
      </c>
      <c r="I77" s="45">
        <v>39531.24</v>
      </c>
      <c r="J77" s="397">
        <v>108.92180999999999</v>
      </c>
      <c r="K77" s="495">
        <f t="shared" si="11"/>
        <v>148.45304999999999</v>
      </c>
      <c r="L77" s="578"/>
      <c r="M77" s="45">
        <f t="shared" si="9"/>
        <v>0</v>
      </c>
      <c r="N77" s="46">
        <f>K77-M77</f>
        <v>148.45304999999999</v>
      </c>
      <c r="O77" s="46">
        <f t="shared" si="7"/>
        <v>134.80000000000001</v>
      </c>
      <c r="P77" s="234" t="s">
        <v>254</v>
      </c>
      <c r="Q77" s="46">
        <v>1</v>
      </c>
      <c r="R77" s="450">
        <v>1</v>
      </c>
      <c r="S77" s="257">
        <v>90000</v>
      </c>
      <c r="T77" s="46"/>
      <c r="U77" s="46"/>
      <c r="V77" s="46"/>
      <c r="W77" s="46"/>
      <c r="X77" s="196"/>
      <c r="Y77" s="46"/>
      <c r="Z77" s="46"/>
      <c r="AA77" s="46"/>
      <c r="AB77" s="46"/>
      <c r="AC77" s="46"/>
      <c r="AD77" s="46"/>
      <c r="AE77" s="46"/>
      <c r="AF77" s="196"/>
      <c r="AG77" s="46"/>
      <c r="AH77" s="46"/>
      <c r="AI77" s="46"/>
      <c r="AJ77" s="46"/>
      <c r="AK77" s="46"/>
      <c r="AL77" s="46"/>
      <c r="AM77" s="46"/>
      <c r="AN77" s="196"/>
      <c r="AO77" s="438"/>
      <c r="AP77" s="46"/>
      <c r="AQ77" s="368"/>
      <c r="AR77" s="257"/>
      <c r="AS77" s="196"/>
      <c r="AT77" s="46"/>
      <c r="AU77" s="46"/>
      <c r="AV77" s="196"/>
      <c r="AW77" s="257"/>
      <c r="AX77" s="196"/>
      <c r="AY77" s="191"/>
      <c r="AZ77" s="257"/>
      <c r="BA77" s="196"/>
      <c r="BB77" s="46"/>
      <c r="BC77" s="257"/>
      <c r="BD77" s="196"/>
      <c r="BE77" s="191"/>
      <c r="BF77" s="46"/>
      <c r="BG77" s="196"/>
      <c r="BH77" s="46"/>
      <c r="BI77" s="257"/>
      <c r="BJ77" s="196"/>
      <c r="BK77" s="191"/>
      <c r="BL77" s="257"/>
      <c r="BM77" s="196"/>
      <c r="BN77" s="46"/>
      <c r="BO77" s="257"/>
      <c r="BP77" s="196"/>
      <c r="BQ77" s="190"/>
      <c r="BR77" s="46"/>
      <c r="BS77" s="196"/>
      <c r="BT77" s="46"/>
      <c r="BU77" s="257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196"/>
      <c r="CI77" s="46"/>
      <c r="CJ77" s="46"/>
      <c r="CK77" s="46"/>
      <c r="CL77" s="46"/>
      <c r="CM77" s="46"/>
      <c r="CN77" s="196"/>
      <c r="CO77" s="191"/>
      <c r="CP77" s="257"/>
      <c r="CQ77" s="196"/>
      <c r="CR77" s="167"/>
      <c r="CS77" s="257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191"/>
      <c r="DN77" s="46"/>
      <c r="DO77" s="196"/>
      <c r="DP77" s="221" t="s">
        <v>852</v>
      </c>
      <c r="DQ77" s="257">
        <f t="shared" si="12"/>
        <v>44800</v>
      </c>
      <c r="DR77" s="294"/>
      <c r="DS77" s="295"/>
      <c r="DT77" s="386">
        <f t="shared" si="10"/>
        <v>0</v>
      </c>
      <c r="DU77" s="41"/>
      <c r="DV77" s="41"/>
      <c r="DW77" s="256"/>
      <c r="DX77" s="41"/>
      <c r="DY77" s="41"/>
      <c r="DZ77" s="68"/>
      <c r="EA77" s="41">
        <v>9</v>
      </c>
      <c r="EB77" s="41">
        <v>56</v>
      </c>
      <c r="EC77" s="256">
        <f>EB77*800</f>
        <v>44800</v>
      </c>
      <c r="ED77" s="308"/>
      <c r="EE77" s="308"/>
      <c r="EF77" s="308"/>
      <c r="EG77" s="41"/>
      <c r="EH77" s="41"/>
      <c r="EI77" s="41"/>
      <c r="EJ77" s="69"/>
      <c r="EK77" s="308"/>
      <c r="EL77" s="308"/>
      <c r="EM77" s="308"/>
      <c r="EN77" s="308"/>
      <c r="EO77" s="41"/>
      <c r="EP77" s="41"/>
      <c r="EQ77" s="41"/>
      <c r="ER77" s="256"/>
      <c r="ES77" s="293"/>
      <c r="ET77" s="293"/>
      <c r="EU77" s="293"/>
      <c r="EV77" s="293"/>
      <c r="EW77" s="41"/>
      <c r="EX77" s="41"/>
      <c r="EY77" s="41"/>
      <c r="EZ77" s="256"/>
      <c r="FA77" s="308"/>
      <c r="FB77" s="308"/>
      <c r="FC77" s="308"/>
      <c r="FD77" s="308"/>
      <c r="FE77" s="41"/>
      <c r="FF77" s="41"/>
      <c r="FG77" s="41"/>
      <c r="FH77" s="256"/>
      <c r="FI77" s="41"/>
      <c r="FJ77" s="41"/>
      <c r="FK77" s="41"/>
      <c r="FL77" s="276"/>
    </row>
    <row r="78" spans="1:168" s="28" customFormat="1">
      <c r="A78" s="45">
        <v>71</v>
      </c>
      <c r="B78" s="45" t="s">
        <v>210</v>
      </c>
      <c r="C78" s="45">
        <v>5</v>
      </c>
      <c r="D78" s="29" t="s">
        <v>91</v>
      </c>
      <c r="E78" s="30">
        <v>38</v>
      </c>
      <c r="F78" s="30">
        <v>7</v>
      </c>
      <c r="G78" s="246">
        <f>62434.26/1000</f>
        <v>62.434260000000002</v>
      </c>
      <c r="H78" s="45">
        <v>0</v>
      </c>
      <c r="I78" s="45">
        <v>62434.259999999995</v>
      </c>
      <c r="J78" s="397">
        <v>-104.85098000000002</v>
      </c>
      <c r="K78" s="495">
        <f t="shared" si="11"/>
        <v>-42.416720000000019</v>
      </c>
      <c r="L78" s="578"/>
      <c r="M78" s="45">
        <f t="shared" si="9"/>
        <v>0</v>
      </c>
      <c r="N78" s="46">
        <f t="shared" si="8"/>
        <v>-42.416720000000019</v>
      </c>
      <c r="O78" s="46">
        <f t="shared" si="7"/>
        <v>0</v>
      </c>
      <c r="P78" s="234"/>
      <c r="Q78" s="46"/>
      <c r="R78" s="450"/>
      <c r="S78" s="257"/>
      <c r="T78" s="46"/>
      <c r="U78" s="46"/>
      <c r="V78" s="46"/>
      <c r="W78" s="46"/>
      <c r="X78" s="196"/>
      <c r="Y78" s="46"/>
      <c r="Z78" s="46"/>
      <c r="AA78" s="46"/>
      <c r="AB78" s="46"/>
      <c r="AC78" s="46"/>
      <c r="AD78" s="46"/>
      <c r="AE78" s="46"/>
      <c r="AF78" s="196"/>
      <c r="AG78" s="46"/>
      <c r="AH78" s="46"/>
      <c r="AI78" s="46"/>
      <c r="AJ78" s="46"/>
      <c r="AK78" s="46"/>
      <c r="AL78" s="46"/>
      <c r="AM78" s="46"/>
      <c r="AN78" s="196"/>
      <c r="AO78" s="438"/>
      <c r="AP78" s="46"/>
      <c r="AQ78" s="368"/>
      <c r="AR78" s="257"/>
      <c r="AS78" s="196"/>
      <c r="AT78" s="46"/>
      <c r="AU78" s="46"/>
      <c r="AV78" s="196"/>
      <c r="AW78" s="257"/>
      <c r="AX78" s="196"/>
      <c r="AY78" s="191"/>
      <c r="AZ78" s="257"/>
      <c r="BA78" s="196"/>
      <c r="BB78" s="46"/>
      <c r="BC78" s="257"/>
      <c r="BD78" s="196"/>
      <c r="BE78" s="191"/>
      <c r="BF78" s="46"/>
      <c r="BG78" s="196"/>
      <c r="BH78" s="46"/>
      <c r="BI78" s="257"/>
      <c r="BJ78" s="196"/>
      <c r="BK78" s="191"/>
      <c r="BL78" s="257"/>
      <c r="BM78" s="196"/>
      <c r="BN78" s="46"/>
      <c r="BO78" s="257"/>
      <c r="BP78" s="196"/>
      <c r="BQ78" s="190"/>
      <c r="BR78" s="46"/>
      <c r="BS78" s="196"/>
      <c r="BT78" s="46"/>
      <c r="BU78" s="257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196"/>
      <c r="CI78" s="46"/>
      <c r="CJ78" s="46"/>
      <c r="CK78" s="46"/>
      <c r="CL78" s="46"/>
      <c r="CM78" s="46"/>
      <c r="CN78" s="196"/>
      <c r="CO78" s="191"/>
      <c r="CP78" s="257"/>
      <c r="CQ78" s="196"/>
      <c r="CR78" s="167"/>
      <c r="CS78" s="257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191"/>
      <c r="DN78" s="46"/>
      <c r="DO78" s="196"/>
      <c r="DP78" s="221"/>
      <c r="DQ78" s="257">
        <f t="shared" si="12"/>
        <v>0</v>
      </c>
      <c r="DR78" s="296"/>
      <c r="DS78" s="295"/>
      <c r="DT78" s="386">
        <f t="shared" si="10"/>
        <v>0</v>
      </c>
      <c r="DU78" s="46"/>
      <c r="DV78" s="46"/>
      <c r="DW78" s="257"/>
      <c r="DX78" s="46"/>
      <c r="DY78" s="46"/>
      <c r="DZ78" s="46"/>
      <c r="EA78" s="46"/>
      <c r="EB78" s="46"/>
      <c r="EC78" s="257"/>
      <c r="ED78" s="308"/>
      <c r="EE78" s="308"/>
      <c r="EF78" s="308"/>
      <c r="EG78" s="46"/>
      <c r="EH78" s="46"/>
      <c r="EI78" s="46"/>
      <c r="EJ78" s="69"/>
      <c r="EK78" s="308"/>
      <c r="EL78" s="308"/>
      <c r="EM78" s="308"/>
      <c r="EN78" s="308"/>
      <c r="EO78" s="46"/>
      <c r="EP78" s="46"/>
      <c r="EQ78" s="46"/>
      <c r="ER78" s="256"/>
      <c r="ES78" s="293"/>
      <c r="ET78" s="293"/>
      <c r="EU78" s="293"/>
      <c r="EV78" s="293"/>
      <c r="EW78" s="46"/>
      <c r="EX78" s="41"/>
      <c r="EY78" s="41"/>
      <c r="EZ78" s="256"/>
      <c r="FA78" s="308"/>
      <c r="FB78" s="308"/>
      <c r="FC78" s="308"/>
      <c r="FD78" s="308"/>
      <c r="FE78" s="41"/>
      <c r="FF78" s="41"/>
      <c r="FG78" s="41"/>
      <c r="FH78" s="256"/>
      <c r="FI78" s="46"/>
      <c r="FJ78" s="46"/>
      <c r="FK78" s="46"/>
      <c r="FL78" s="257"/>
    </row>
    <row r="79" spans="1:168" ht="23.25">
      <c r="A79" s="45">
        <v>72</v>
      </c>
      <c r="B79" s="45" t="s">
        <v>210</v>
      </c>
      <c r="C79" s="45">
        <v>5</v>
      </c>
      <c r="D79" s="29" t="s">
        <v>496</v>
      </c>
      <c r="E79" s="175">
        <v>40</v>
      </c>
      <c r="F79" s="188">
        <v>7</v>
      </c>
      <c r="G79" s="246">
        <f>84386.6478/1000</f>
        <v>84.386647800000006</v>
      </c>
      <c r="H79" s="45">
        <v>0</v>
      </c>
      <c r="I79" s="45">
        <v>84386.647800000006</v>
      </c>
      <c r="J79" s="397">
        <v>275.56133700000004</v>
      </c>
      <c r="K79" s="495">
        <f t="shared" si="11"/>
        <v>359.94798480000003</v>
      </c>
      <c r="L79" s="578"/>
      <c r="M79" s="45">
        <f t="shared" si="9"/>
        <v>0</v>
      </c>
      <c r="N79" s="46">
        <f>K79-M79</f>
        <v>359.94798480000003</v>
      </c>
      <c r="O79" s="46">
        <f t="shared" si="7"/>
        <v>288</v>
      </c>
      <c r="P79" s="234" t="s">
        <v>254</v>
      </c>
      <c r="Q79" s="46">
        <v>1</v>
      </c>
      <c r="R79" s="450" t="s">
        <v>853</v>
      </c>
      <c r="S79" s="257">
        <v>110000</v>
      </c>
      <c r="T79" s="46"/>
      <c r="U79" s="46"/>
      <c r="V79" s="46"/>
      <c r="W79" s="46"/>
      <c r="X79" s="196"/>
      <c r="Y79" s="46"/>
      <c r="Z79" s="46"/>
      <c r="AA79" s="46"/>
      <c r="AB79" s="46"/>
      <c r="AC79" s="46"/>
      <c r="AD79" s="46"/>
      <c r="AE79" s="46"/>
      <c r="AF79" s="196"/>
      <c r="AG79" s="46"/>
      <c r="AH79" s="46"/>
      <c r="AI79" s="46"/>
      <c r="AJ79" s="46"/>
      <c r="AK79" s="46"/>
      <c r="AL79" s="46"/>
      <c r="AM79" s="46"/>
      <c r="AN79" s="196" t="s">
        <v>254</v>
      </c>
      <c r="AO79" s="438" t="s">
        <v>335</v>
      </c>
      <c r="AP79" s="46">
        <v>60</v>
      </c>
      <c r="AQ79" s="368" t="s">
        <v>254</v>
      </c>
      <c r="AR79" s="257">
        <f>AP79*1300</f>
        <v>78000</v>
      </c>
      <c r="AS79" s="196"/>
      <c r="AT79" s="46"/>
      <c r="AU79" s="46"/>
      <c r="AV79" s="196"/>
      <c r="AW79" s="257"/>
      <c r="AX79" s="196"/>
      <c r="AY79" s="191"/>
      <c r="AZ79" s="257"/>
      <c r="BA79" s="196"/>
      <c r="BB79" s="46"/>
      <c r="BC79" s="257"/>
      <c r="BD79" s="196"/>
      <c r="BE79" s="191"/>
      <c r="BF79" s="46"/>
      <c r="BG79" s="196"/>
      <c r="BH79" s="46"/>
      <c r="BI79" s="257"/>
      <c r="BJ79" s="196"/>
      <c r="BK79" s="191"/>
      <c r="BL79" s="257"/>
      <c r="BM79" s="196"/>
      <c r="BN79" s="46"/>
      <c r="BO79" s="257"/>
      <c r="BP79" s="196"/>
      <c r="BQ79" s="190"/>
      <c r="BR79" s="46"/>
      <c r="BS79" s="196"/>
      <c r="BT79" s="46"/>
      <c r="BU79" s="257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196"/>
      <c r="CI79" s="46"/>
      <c r="CJ79" s="46"/>
      <c r="CK79" s="46"/>
      <c r="CL79" s="46"/>
      <c r="CM79" s="46"/>
      <c r="CN79" s="196" t="s">
        <v>225</v>
      </c>
      <c r="CO79" s="191" t="s">
        <v>854</v>
      </c>
      <c r="CP79" s="257">
        <v>100000</v>
      </c>
      <c r="CQ79" s="196"/>
      <c r="CR79" s="167"/>
      <c r="CS79" s="257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191"/>
      <c r="DN79" s="46"/>
      <c r="DO79" s="196"/>
      <c r="DP79" s="221"/>
      <c r="DQ79" s="257">
        <f t="shared" si="12"/>
        <v>0</v>
      </c>
      <c r="DR79" s="294"/>
      <c r="DS79" s="295"/>
      <c r="DT79" s="386">
        <f t="shared" si="10"/>
        <v>0</v>
      </c>
      <c r="DU79" s="41"/>
      <c r="DV79" s="41"/>
      <c r="DW79" s="256"/>
      <c r="DX79" s="41"/>
      <c r="DY79" s="41"/>
      <c r="DZ79" s="68"/>
      <c r="EA79" s="41"/>
      <c r="EB79" s="41"/>
      <c r="EC79" s="256"/>
      <c r="ED79" s="308"/>
      <c r="EE79" s="308"/>
      <c r="EF79" s="308"/>
      <c r="EG79" s="41"/>
      <c r="EH79" s="41"/>
      <c r="EI79" s="41"/>
      <c r="EJ79" s="69"/>
      <c r="EK79" s="308"/>
      <c r="EL79" s="308"/>
      <c r="EM79" s="308"/>
      <c r="EN79" s="308"/>
      <c r="EO79" s="41"/>
      <c r="EP79" s="41"/>
      <c r="EQ79" s="41"/>
      <c r="ER79" s="256"/>
      <c r="ES79" s="293"/>
      <c r="ET79" s="293"/>
      <c r="EU79" s="293"/>
      <c r="EV79" s="293"/>
      <c r="EW79" s="41"/>
      <c r="EX79" s="41"/>
      <c r="EY79" s="41"/>
      <c r="EZ79" s="256"/>
      <c r="FA79" s="308"/>
      <c r="FB79" s="308"/>
      <c r="FC79" s="308"/>
      <c r="FD79" s="308"/>
      <c r="FE79" s="41"/>
      <c r="FF79" s="41"/>
      <c r="FG79" s="41"/>
      <c r="FH79" s="256"/>
      <c r="FI79" s="41"/>
      <c r="FJ79" s="41"/>
      <c r="FK79" s="41"/>
      <c r="FL79" s="276"/>
    </row>
    <row r="80" spans="1:168">
      <c r="A80" s="45">
        <v>73</v>
      </c>
      <c r="B80" s="45" t="s">
        <v>210</v>
      </c>
      <c r="C80" s="45">
        <v>5</v>
      </c>
      <c r="D80" s="29" t="s">
        <v>91</v>
      </c>
      <c r="E80" s="30">
        <v>41</v>
      </c>
      <c r="F80" s="30">
        <v>7</v>
      </c>
      <c r="G80" s="246">
        <f>39395.286/1000</f>
        <v>39.395285999999999</v>
      </c>
      <c r="H80" s="45">
        <v>0</v>
      </c>
      <c r="I80" s="45">
        <v>39395.286000000007</v>
      </c>
      <c r="J80" s="397">
        <v>-2.7348499999999945</v>
      </c>
      <c r="K80" s="495">
        <f t="shared" si="11"/>
        <v>36.660436000000004</v>
      </c>
      <c r="L80" s="578"/>
      <c r="M80" s="45">
        <f t="shared" si="9"/>
        <v>0</v>
      </c>
      <c r="N80" s="46">
        <f t="shared" si="8"/>
        <v>36.660436000000004</v>
      </c>
      <c r="O80" s="46">
        <f t="shared" ref="O80:O140" si="13">(S80+AA80+AI80+AR80+AZ80+BF80+BL80+BR80+BX80+CD80+CJ80+CP80+CV80+DB80+DH80+DN80+DQ80)/1000</f>
        <v>26</v>
      </c>
      <c r="P80" s="234"/>
      <c r="Q80" s="46"/>
      <c r="R80" s="450"/>
      <c r="S80" s="257"/>
      <c r="T80" s="46"/>
      <c r="U80" s="46"/>
      <c r="V80" s="46"/>
      <c r="W80" s="46"/>
      <c r="X80" s="196"/>
      <c r="Y80" s="46"/>
      <c r="Z80" s="46"/>
      <c r="AA80" s="46"/>
      <c r="AB80" s="46"/>
      <c r="AC80" s="46"/>
      <c r="AD80" s="46"/>
      <c r="AE80" s="46"/>
      <c r="AF80" s="196"/>
      <c r="AG80" s="46"/>
      <c r="AH80" s="46"/>
      <c r="AI80" s="46"/>
      <c r="AJ80" s="46"/>
      <c r="AK80" s="46"/>
      <c r="AL80" s="46"/>
      <c r="AM80" s="46"/>
      <c r="AN80" s="196" t="s">
        <v>248</v>
      </c>
      <c r="AO80" s="438" t="s">
        <v>335</v>
      </c>
      <c r="AP80" s="46">
        <v>20</v>
      </c>
      <c r="AQ80" s="368" t="s">
        <v>522</v>
      </c>
      <c r="AR80" s="257">
        <f>AP80*1300</f>
        <v>26000</v>
      </c>
      <c r="AS80" s="196"/>
      <c r="AT80" s="46"/>
      <c r="AU80" s="46"/>
      <c r="AV80" s="196"/>
      <c r="AW80" s="257"/>
      <c r="AX80" s="196"/>
      <c r="AY80" s="191"/>
      <c r="AZ80" s="257"/>
      <c r="BA80" s="196"/>
      <c r="BB80" s="46"/>
      <c r="BC80" s="257"/>
      <c r="BD80" s="196"/>
      <c r="BE80" s="191"/>
      <c r="BF80" s="46"/>
      <c r="BG80" s="196"/>
      <c r="BH80" s="46"/>
      <c r="BI80" s="257"/>
      <c r="BJ80" s="196"/>
      <c r="BK80" s="191"/>
      <c r="BL80" s="257"/>
      <c r="BM80" s="196"/>
      <c r="BN80" s="46"/>
      <c r="BO80" s="257"/>
      <c r="BP80" s="196"/>
      <c r="BQ80" s="190"/>
      <c r="BR80" s="46"/>
      <c r="BS80" s="196"/>
      <c r="BT80" s="46"/>
      <c r="BU80" s="257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196"/>
      <c r="CI80" s="46"/>
      <c r="CJ80" s="46"/>
      <c r="CK80" s="46"/>
      <c r="CL80" s="46"/>
      <c r="CM80" s="46"/>
      <c r="CN80" s="196"/>
      <c r="CO80" s="191"/>
      <c r="CP80" s="257"/>
      <c r="CQ80" s="196"/>
      <c r="CR80" s="167"/>
      <c r="CS80" s="257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191"/>
      <c r="DN80" s="46"/>
      <c r="DO80" s="196"/>
      <c r="DP80" s="221"/>
      <c r="DQ80" s="257">
        <f t="shared" si="12"/>
        <v>0</v>
      </c>
      <c r="DR80" s="294"/>
      <c r="DS80" s="295"/>
      <c r="DT80" s="386">
        <f t="shared" si="10"/>
        <v>0</v>
      </c>
      <c r="DU80" s="41"/>
      <c r="DV80" s="41"/>
      <c r="DW80" s="256"/>
      <c r="DX80" s="41"/>
      <c r="DY80" s="41"/>
      <c r="DZ80" s="68"/>
      <c r="EA80" s="41"/>
      <c r="EB80" s="41"/>
      <c r="EC80" s="256"/>
      <c r="ED80" s="308"/>
      <c r="EE80" s="308"/>
      <c r="EF80" s="308"/>
      <c r="EG80" s="41"/>
      <c r="EH80" s="41"/>
      <c r="EI80" s="41"/>
      <c r="EJ80" s="69"/>
      <c r="EK80" s="308"/>
      <c r="EL80" s="308"/>
      <c r="EM80" s="308"/>
      <c r="EN80" s="308"/>
      <c r="EO80" s="41"/>
      <c r="EP80" s="41"/>
      <c r="EQ80" s="41"/>
      <c r="ER80" s="256"/>
      <c r="ES80" s="293"/>
      <c r="ET80" s="293"/>
      <c r="EU80" s="293"/>
      <c r="EV80" s="293"/>
      <c r="EW80" s="41"/>
      <c r="EX80" s="41"/>
      <c r="EY80" s="41"/>
      <c r="EZ80" s="256"/>
      <c r="FA80" s="308"/>
      <c r="FB80" s="308"/>
      <c r="FC80" s="308"/>
      <c r="FD80" s="308"/>
      <c r="FE80" s="41"/>
      <c r="FF80" s="41"/>
      <c r="FG80" s="41"/>
      <c r="FH80" s="256"/>
      <c r="FI80" s="41"/>
      <c r="FJ80" s="41"/>
      <c r="FK80" s="41"/>
      <c r="FL80" s="276"/>
    </row>
    <row r="81" spans="1:168" ht="23.25">
      <c r="A81" s="45">
        <v>74</v>
      </c>
      <c r="B81" s="45" t="s">
        <v>210</v>
      </c>
      <c r="C81" s="45">
        <v>5</v>
      </c>
      <c r="D81" s="29" t="s">
        <v>496</v>
      </c>
      <c r="E81" s="175">
        <v>46</v>
      </c>
      <c r="F81" s="188">
        <v>7</v>
      </c>
      <c r="G81" s="246">
        <f>84541.4262/1000</f>
        <v>84.541426200000004</v>
      </c>
      <c r="H81" s="45">
        <v>0</v>
      </c>
      <c r="I81" s="45">
        <v>84541.426200000002</v>
      </c>
      <c r="J81" s="397">
        <v>201.77845299999996</v>
      </c>
      <c r="K81" s="495">
        <f t="shared" si="11"/>
        <v>286.31987919999995</v>
      </c>
      <c r="L81" s="578"/>
      <c r="M81" s="45">
        <f t="shared" si="9"/>
        <v>0</v>
      </c>
      <c r="N81" s="46">
        <f>K81-M81</f>
        <v>286.31987919999995</v>
      </c>
      <c r="O81" s="46">
        <f t="shared" si="13"/>
        <v>160</v>
      </c>
      <c r="P81" s="234" t="s">
        <v>254</v>
      </c>
      <c r="Q81" s="46">
        <v>1</v>
      </c>
      <c r="R81" s="450">
        <v>1</v>
      </c>
      <c r="S81" s="257">
        <v>90000</v>
      </c>
      <c r="T81" s="46"/>
      <c r="U81" s="46"/>
      <c r="V81" s="46"/>
      <c r="W81" s="46"/>
      <c r="X81" s="196"/>
      <c r="Y81" s="46"/>
      <c r="Z81" s="46"/>
      <c r="AA81" s="46"/>
      <c r="AB81" s="46"/>
      <c r="AC81" s="46"/>
      <c r="AD81" s="46"/>
      <c r="AE81" s="46"/>
      <c r="AF81" s="196"/>
      <c r="AG81" s="46"/>
      <c r="AH81" s="46"/>
      <c r="AI81" s="46"/>
      <c r="AJ81" s="46"/>
      <c r="AK81" s="46"/>
      <c r="AL81" s="46"/>
      <c r="AM81" s="46"/>
      <c r="AN81" s="196"/>
      <c r="AO81" s="438"/>
      <c r="AP81" s="46"/>
      <c r="AQ81" s="368"/>
      <c r="AR81" s="257"/>
      <c r="AS81" s="196"/>
      <c r="AT81" s="46"/>
      <c r="AU81" s="46"/>
      <c r="AV81" s="196"/>
      <c r="AW81" s="257"/>
      <c r="AX81" s="196"/>
      <c r="AY81" s="191"/>
      <c r="AZ81" s="257"/>
      <c r="BA81" s="196"/>
      <c r="BB81" s="46"/>
      <c r="BC81" s="257"/>
      <c r="BD81" s="196"/>
      <c r="BE81" s="191"/>
      <c r="BF81" s="46"/>
      <c r="BG81" s="196"/>
      <c r="BH81" s="46"/>
      <c r="BI81" s="257"/>
      <c r="BJ81" s="196"/>
      <c r="BK81" s="191"/>
      <c r="BL81" s="257"/>
      <c r="BM81" s="196"/>
      <c r="BN81" s="46"/>
      <c r="BO81" s="257"/>
      <c r="BP81" s="196"/>
      <c r="BQ81" s="190"/>
      <c r="BR81" s="46"/>
      <c r="BS81" s="196"/>
      <c r="BT81" s="46"/>
      <c r="BU81" s="257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196"/>
      <c r="CI81" s="46"/>
      <c r="CJ81" s="46"/>
      <c r="CK81" s="46"/>
      <c r="CL81" s="46"/>
      <c r="CM81" s="46"/>
      <c r="CN81" s="196" t="s">
        <v>254</v>
      </c>
      <c r="CO81" s="190" t="s">
        <v>858</v>
      </c>
      <c r="CP81" s="257">
        <v>70000</v>
      </c>
      <c r="CQ81" s="196"/>
      <c r="CR81" s="167"/>
      <c r="CS81" s="257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191"/>
      <c r="DN81" s="46"/>
      <c r="DO81" s="196"/>
      <c r="DP81" s="221"/>
      <c r="DQ81" s="257">
        <f t="shared" si="12"/>
        <v>0</v>
      </c>
      <c r="DR81" s="294"/>
      <c r="DS81" s="295"/>
      <c r="DT81" s="386">
        <f t="shared" si="10"/>
        <v>0</v>
      </c>
      <c r="DU81" s="41"/>
      <c r="DV81" s="41"/>
      <c r="DW81" s="256"/>
      <c r="DX81" s="41"/>
      <c r="DY81" s="41"/>
      <c r="DZ81" s="68"/>
      <c r="EA81" s="41"/>
      <c r="EB81" s="41"/>
      <c r="EC81" s="256"/>
      <c r="ED81" s="308"/>
      <c r="EE81" s="308"/>
      <c r="EF81" s="308"/>
      <c r="EG81" s="41"/>
      <c r="EH81" s="41"/>
      <c r="EI81" s="41"/>
      <c r="EJ81" s="69"/>
      <c r="EK81" s="308"/>
      <c r="EL81" s="308"/>
      <c r="EM81" s="308"/>
      <c r="EN81" s="308"/>
      <c r="EO81" s="41"/>
      <c r="EP81" s="41"/>
      <c r="EQ81" s="41"/>
      <c r="ER81" s="256"/>
      <c r="ES81" s="293"/>
      <c r="ET81" s="293"/>
      <c r="EU81" s="293"/>
      <c r="EV81" s="293"/>
      <c r="EW81" s="41"/>
      <c r="EX81" s="41"/>
      <c r="EY81" s="41"/>
      <c r="EZ81" s="256"/>
      <c r="FA81" s="308"/>
      <c r="FB81" s="308"/>
      <c r="FC81" s="308"/>
      <c r="FD81" s="308"/>
      <c r="FE81" s="41"/>
      <c r="FF81" s="41"/>
      <c r="FG81" s="41"/>
      <c r="FH81" s="256"/>
      <c r="FI81" s="41"/>
      <c r="FJ81" s="41"/>
      <c r="FK81" s="41"/>
      <c r="FL81" s="276"/>
    </row>
    <row r="82" spans="1:168">
      <c r="A82" s="45">
        <v>75</v>
      </c>
      <c r="B82" s="45" t="s">
        <v>210</v>
      </c>
      <c r="C82" s="45">
        <v>5</v>
      </c>
      <c r="D82" s="29" t="s">
        <v>496</v>
      </c>
      <c r="E82" s="175">
        <v>47</v>
      </c>
      <c r="F82" s="188">
        <v>5</v>
      </c>
      <c r="G82" s="246">
        <f>184332.456/1000</f>
        <v>184.33245600000001</v>
      </c>
      <c r="H82" s="45">
        <v>184332.45599999998</v>
      </c>
      <c r="I82" s="45">
        <v>0</v>
      </c>
      <c r="J82" s="397">
        <v>204.21693999999997</v>
      </c>
      <c r="K82" s="495">
        <f t="shared" si="11"/>
        <v>388.549396</v>
      </c>
      <c r="L82" s="578"/>
      <c r="M82" s="45">
        <f t="shared" si="9"/>
        <v>0</v>
      </c>
      <c r="N82" s="46">
        <f>K82-M82</f>
        <v>388.549396</v>
      </c>
      <c r="O82" s="46">
        <f t="shared" si="13"/>
        <v>0</v>
      </c>
      <c r="P82" s="234" t="s">
        <v>582</v>
      </c>
      <c r="Q82" s="46"/>
      <c r="R82" s="450"/>
      <c r="S82" s="257"/>
      <c r="T82" s="46"/>
      <c r="U82" s="46"/>
      <c r="V82" s="46"/>
      <c r="W82" s="46"/>
      <c r="X82" s="196"/>
      <c r="Y82" s="46"/>
      <c r="Z82" s="46"/>
      <c r="AA82" s="46"/>
      <c r="AB82" s="46"/>
      <c r="AC82" s="46"/>
      <c r="AD82" s="46"/>
      <c r="AE82" s="46"/>
      <c r="AF82" s="196"/>
      <c r="AG82" s="46"/>
      <c r="AH82" s="46"/>
      <c r="AI82" s="46"/>
      <c r="AJ82" s="46"/>
      <c r="AK82" s="46"/>
      <c r="AL82" s="46"/>
      <c r="AM82" s="46"/>
      <c r="AN82" s="196"/>
      <c r="AO82" s="439"/>
      <c r="AP82" s="46"/>
      <c r="AQ82" s="368"/>
      <c r="AR82" s="444"/>
      <c r="AS82" s="196"/>
      <c r="AT82" s="46"/>
      <c r="AU82" s="46"/>
      <c r="AV82" s="196"/>
      <c r="AW82" s="257"/>
      <c r="AX82" s="196"/>
      <c r="AY82" s="191"/>
      <c r="AZ82" s="257"/>
      <c r="BA82" s="196"/>
      <c r="BB82" s="46"/>
      <c r="BC82" s="257"/>
      <c r="BD82" s="196"/>
      <c r="BE82" s="191"/>
      <c r="BF82" s="46"/>
      <c r="BG82" s="196"/>
      <c r="BH82" s="46"/>
      <c r="BI82" s="257"/>
      <c r="BJ82" s="196"/>
      <c r="BK82" s="191"/>
      <c r="BL82" s="257"/>
      <c r="BM82" s="196"/>
      <c r="BN82" s="46"/>
      <c r="BO82" s="257"/>
      <c r="BP82" s="196"/>
      <c r="BQ82" s="190"/>
      <c r="BR82" s="46"/>
      <c r="BS82" s="196"/>
      <c r="BT82" s="46"/>
      <c r="BU82" s="257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196"/>
      <c r="CI82" s="46"/>
      <c r="CJ82" s="46"/>
      <c r="CK82" s="46"/>
      <c r="CL82" s="46"/>
      <c r="CM82" s="46"/>
      <c r="CN82" s="196"/>
      <c r="CO82" s="191"/>
      <c r="CP82" s="257"/>
      <c r="CQ82" s="196"/>
      <c r="CR82" s="167"/>
      <c r="CS82" s="257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191"/>
      <c r="DN82" s="46"/>
      <c r="DO82" s="196"/>
      <c r="DP82" s="221"/>
      <c r="DQ82" s="257">
        <f t="shared" si="12"/>
        <v>0</v>
      </c>
      <c r="DR82" s="294"/>
      <c r="DS82" s="295"/>
      <c r="DT82" s="386">
        <f t="shared" si="10"/>
        <v>0</v>
      </c>
      <c r="DU82" s="41"/>
      <c r="DV82" s="41"/>
      <c r="DW82" s="256"/>
      <c r="DX82" s="41"/>
      <c r="DY82" s="41"/>
      <c r="DZ82" s="68"/>
      <c r="EA82" s="41"/>
      <c r="EB82" s="41"/>
      <c r="EC82" s="256"/>
      <c r="ED82" s="308"/>
      <c r="EE82" s="308"/>
      <c r="EF82" s="308"/>
      <c r="EG82" s="41"/>
      <c r="EH82" s="41"/>
      <c r="EI82" s="41"/>
      <c r="EJ82" s="69"/>
      <c r="EK82" s="308"/>
      <c r="EL82" s="308"/>
      <c r="EM82" s="308"/>
      <c r="EN82" s="308"/>
      <c r="EO82" s="41"/>
      <c r="EP82" s="41"/>
      <c r="EQ82" s="41"/>
      <c r="ER82" s="256"/>
      <c r="ES82" s="293"/>
      <c r="ET82" s="293"/>
      <c r="EU82" s="293"/>
      <c r="EV82" s="293"/>
      <c r="EW82" s="41"/>
      <c r="EX82" s="41"/>
      <c r="EY82" s="41"/>
      <c r="EZ82" s="256"/>
      <c r="FA82" s="308"/>
      <c r="FB82" s="308"/>
      <c r="FC82" s="308"/>
      <c r="FD82" s="308"/>
      <c r="FE82" s="41"/>
      <c r="FF82" s="41"/>
      <c r="FG82" s="41"/>
      <c r="FH82" s="256"/>
      <c r="FI82" s="41"/>
      <c r="FJ82" s="41"/>
      <c r="FK82" s="41"/>
      <c r="FL82" s="276"/>
    </row>
    <row r="83" spans="1:168">
      <c r="A83" s="45">
        <v>76</v>
      </c>
      <c r="B83" s="45" t="s">
        <v>210</v>
      </c>
      <c r="C83" s="45">
        <v>5</v>
      </c>
      <c r="D83" s="29" t="s">
        <v>91</v>
      </c>
      <c r="E83" s="30">
        <v>48</v>
      </c>
      <c r="F83" s="30">
        <v>5</v>
      </c>
      <c r="G83" s="246">
        <f>57721.356/1000</f>
        <v>57.721356</v>
      </c>
      <c r="H83" s="45">
        <v>57721.355999999992</v>
      </c>
      <c r="I83" s="45">
        <v>0</v>
      </c>
      <c r="J83" s="397">
        <v>115.88105999999999</v>
      </c>
      <c r="K83" s="495">
        <f t="shared" si="11"/>
        <v>173.60241600000001</v>
      </c>
      <c r="L83" s="578"/>
      <c r="M83" s="45">
        <f t="shared" si="9"/>
        <v>0</v>
      </c>
      <c r="N83" s="46">
        <f t="shared" si="8"/>
        <v>173.60241600000001</v>
      </c>
      <c r="O83" s="46">
        <f t="shared" si="13"/>
        <v>166.8</v>
      </c>
      <c r="P83" s="234" t="s">
        <v>249</v>
      </c>
      <c r="Q83" s="46">
        <v>1</v>
      </c>
      <c r="R83" s="450">
        <v>1</v>
      </c>
      <c r="S83" s="257">
        <v>90000</v>
      </c>
      <c r="T83" s="46"/>
      <c r="U83" s="46"/>
      <c r="V83" s="46"/>
      <c r="W83" s="46"/>
      <c r="X83" s="196"/>
      <c r="Y83" s="46"/>
      <c r="Z83" s="46"/>
      <c r="AA83" s="46"/>
      <c r="AB83" s="46"/>
      <c r="AC83" s="46"/>
      <c r="AD83" s="46"/>
      <c r="AE83" s="46"/>
      <c r="AF83" s="196"/>
      <c r="AG83" s="46"/>
      <c r="AH83" s="46"/>
      <c r="AI83" s="46"/>
      <c r="AJ83" s="46"/>
      <c r="AK83" s="46"/>
      <c r="AL83" s="46"/>
      <c r="AM83" s="46"/>
      <c r="AN83" s="196"/>
      <c r="AO83" s="438"/>
      <c r="AP83" s="46"/>
      <c r="AQ83" s="368"/>
      <c r="AR83" s="257"/>
      <c r="AS83" s="196"/>
      <c r="AT83" s="46"/>
      <c r="AU83" s="46"/>
      <c r="AV83" s="196"/>
      <c r="AW83" s="257"/>
      <c r="AX83" s="196"/>
      <c r="AY83" s="191"/>
      <c r="AZ83" s="257"/>
      <c r="BA83" s="196"/>
      <c r="BB83" s="46"/>
      <c r="BC83" s="257"/>
      <c r="BD83" s="196"/>
      <c r="BE83" s="191"/>
      <c r="BF83" s="46"/>
      <c r="BG83" s="196"/>
      <c r="BH83" s="46"/>
      <c r="BI83" s="257"/>
      <c r="BJ83" s="196"/>
      <c r="BK83" s="190"/>
      <c r="BL83" s="257"/>
      <c r="BM83" s="196"/>
      <c r="BN83" s="46"/>
      <c r="BO83" s="257"/>
      <c r="BP83" s="196"/>
      <c r="BQ83" s="190"/>
      <c r="BR83" s="46"/>
      <c r="BS83" s="196"/>
      <c r="BT83" s="46"/>
      <c r="BU83" s="257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196"/>
      <c r="CI83" s="46"/>
      <c r="CJ83" s="46"/>
      <c r="CK83" s="46"/>
      <c r="CL83" s="46"/>
      <c r="CM83" s="46"/>
      <c r="CN83" s="196"/>
      <c r="CO83" s="191"/>
      <c r="CP83" s="257"/>
      <c r="CQ83" s="196"/>
      <c r="CR83" s="167"/>
      <c r="CS83" s="257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191"/>
      <c r="DN83" s="46"/>
      <c r="DO83" s="196"/>
      <c r="DP83" s="221" t="s">
        <v>851</v>
      </c>
      <c r="DQ83" s="257">
        <f t="shared" si="12"/>
        <v>76800</v>
      </c>
      <c r="DR83" s="294"/>
      <c r="DS83" s="295"/>
      <c r="DT83" s="386">
        <f t="shared" si="10"/>
        <v>0</v>
      </c>
      <c r="DU83" s="41"/>
      <c r="DV83" s="41"/>
      <c r="DW83" s="256"/>
      <c r="DX83" s="41"/>
      <c r="DY83" s="41"/>
      <c r="DZ83" s="68"/>
      <c r="EA83" s="41">
        <v>9</v>
      </c>
      <c r="EB83" s="41">
        <v>96</v>
      </c>
      <c r="EC83" s="256">
        <f>EB83*800</f>
        <v>76800</v>
      </c>
      <c r="ED83" s="308"/>
      <c r="EE83" s="308"/>
      <c r="EF83" s="308"/>
      <c r="EG83" s="41"/>
      <c r="EH83" s="41"/>
      <c r="EI83" s="41"/>
      <c r="EJ83" s="69"/>
      <c r="EK83" s="308"/>
      <c r="EL83" s="308"/>
      <c r="EM83" s="308"/>
      <c r="EN83" s="308"/>
      <c r="EO83" s="41"/>
      <c r="EP83" s="41"/>
      <c r="EQ83" s="41"/>
      <c r="ER83" s="256"/>
      <c r="ES83" s="293"/>
      <c r="ET83" s="293"/>
      <c r="EU83" s="293"/>
      <c r="EV83" s="293"/>
      <c r="EW83" s="41"/>
      <c r="EX83" s="41"/>
      <c r="EY83" s="41"/>
      <c r="EZ83" s="256"/>
      <c r="FA83" s="308"/>
      <c r="FB83" s="308"/>
      <c r="FC83" s="308"/>
      <c r="FD83" s="308"/>
      <c r="FE83" s="46"/>
      <c r="FF83" s="41"/>
      <c r="FG83" s="41"/>
      <c r="FH83" s="256"/>
      <c r="FI83" s="41"/>
      <c r="FJ83" s="41"/>
      <c r="FK83" s="41"/>
      <c r="FL83" s="276"/>
    </row>
    <row r="84" spans="1:168" ht="34.5">
      <c r="A84" s="45">
        <v>77</v>
      </c>
      <c r="B84" s="45" t="s">
        <v>210</v>
      </c>
      <c r="C84" s="45">
        <v>5</v>
      </c>
      <c r="D84" s="29" t="s">
        <v>496</v>
      </c>
      <c r="E84" s="175">
        <v>54</v>
      </c>
      <c r="F84" s="188">
        <v>7</v>
      </c>
      <c r="G84" s="246">
        <f>55835.262/1000</f>
        <v>55.835262</v>
      </c>
      <c r="H84" s="45">
        <v>0</v>
      </c>
      <c r="I84" s="45">
        <v>55835.262000000002</v>
      </c>
      <c r="J84" s="397">
        <v>177.34444999999997</v>
      </c>
      <c r="K84" s="495">
        <f t="shared" si="11"/>
        <v>233.17971199999997</v>
      </c>
      <c r="L84" s="578"/>
      <c r="M84" s="45">
        <f t="shared" si="9"/>
        <v>0</v>
      </c>
      <c r="N84" s="46">
        <f>K84-M84</f>
        <v>233.17971199999997</v>
      </c>
      <c r="O84" s="46">
        <f t="shared" si="13"/>
        <v>189.6</v>
      </c>
      <c r="P84" s="234" t="s">
        <v>254</v>
      </c>
      <c r="Q84" s="46">
        <v>1</v>
      </c>
      <c r="R84" s="450" t="s">
        <v>860</v>
      </c>
      <c r="S84" s="257">
        <v>110000</v>
      </c>
      <c r="T84" s="46"/>
      <c r="U84" s="46"/>
      <c r="V84" s="46"/>
      <c r="W84" s="46"/>
      <c r="X84" s="196"/>
      <c r="Y84" s="46"/>
      <c r="Z84" s="46"/>
      <c r="AA84" s="46"/>
      <c r="AB84" s="46"/>
      <c r="AC84" s="46"/>
      <c r="AD84" s="46"/>
      <c r="AE84" s="46"/>
      <c r="AF84" s="196"/>
      <c r="AG84" s="46"/>
      <c r="AH84" s="46"/>
      <c r="AI84" s="46"/>
      <c r="AJ84" s="46"/>
      <c r="AK84" s="46"/>
      <c r="AL84" s="46"/>
      <c r="AM84" s="46"/>
      <c r="AN84" s="196"/>
      <c r="AO84" s="438"/>
      <c r="AP84" s="46"/>
      <c r="AQ84" s="368"/>
      <c r="AR84" s="257"/>
      <c r="AS84" s="196"/>
      <c r="AT84" s="46"/>
      <c r="AU84" s="46"/>
      <c r="AV84" s="196"/>
      <c r="AW84" s="257"/>
      <c r="AX84" s="196" t="s">
        <v>254</v>
      </c>
      <c r="AY84" s="190" t="s">
        <v>859</v>
      </c>
      <c r="AZ84" s="257">
        <f>15*2000</f>
        <v>30000</v>
      </c>
      <c r="BA84" s="196"/>
      <c r="BB84" s="46"/>
      <c r="BC84" s="257"/>
      <c r="BD84" s="196"/>
      <c r="BE84" s="191"/>
      <c r="BF84" s="46"/>
      <c r="BG84" s="196"/>
      <c r="BH84" s="46"/>
      <c r="BI84" s="257"/>
      <c r="BJ84" s="196"/>
      <c r="BK84" s="191"/>
      <c r="BL84" s="257"/>
      <c r="BM84" s="196"/>
      <c r="BN84" s="46"/>
      <c r="BO84" s="257"/>
      <c r="BP84" s="196"/>
      <c r="BQ84" s="190"/>
      <c r="BR84" s="46"/>
      <c r="BS84" s="196"/>
      <c r="BT84" s="46"/>
      <c r="BU84" s="257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196"/>
      <c r="CI84" s="46"/>
      <c r="CJ84" s="46"/>
      <c r="CK84" s="46"/>
      <c r="CL84" s="46"/>
      <c r="CM84" s="46"/>
      <c r="CN84" s="196"/>
      <c r="CO84" s="191"/>
      <c r="CP84" s="257"/>
      <c r="CQ84" s="196"/>
      <c r="CR84" s="167"/>
      <c r="CS84" s="257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191"/>
      <c r="DN84" s="46"/>
      <c r="DO84" s="196"/>
      <c r="DP84" s="221" t="s">
        <v>861</v>
      </c>
      <c r="DQ84" s="257">
        <f t="shared" si="12"/>
        <v>49600</v>
      </c>
      <c r="DR84" s="294"/>
      <c r="DS84" s="295"/>
      <c r="DT84" s="386">
        <f t="shared" si="10"/>
        <v>0</v>
      </c>
      <c r="DU84" s="41"/>
      <c r="DV84" s="41"/>
      <c r="DW84" s="256"/>
      <c r="DX84" s="41"/>
      <c r="DY84" s="41"/>
      <c r="DZ84" s="68"/>
      <c r="EA84" s="41">
        <v>9</v>
      </c>
      <c r="EB84" s="41">
        <v>62</v>
      </c>
      <c r="EC84" s="256">
        <f>EB84*800</f>
        <v>49600</v>
      </c>
      <c r="ED84" s="308"/>
      <c r="EE84" s="308"/>
      <c r="EF84" s="308"/>
      <c r="EG84" s="41"/>
      <c r="EH84" s="41"/>
      <c r="EI84" s="41"/>
      <c r="EJ84" s="69"/>
      <c r="EK84" s="308"/>
      <c r="EL84" s="308"/>
      <c r="EM84" s="308"/>
      <c r="EN84" s="308"/>
      <c r="EO84" s="41"/>
      <c r="EP84" s="41"/>
      <c r="EQ84" s="41"/>
      <c r="ER84" s="256"/>
      <c r="ES84" s="293"/>
      <c r="ET84" s="293"/>
      <c r="EU84" s="293"/>
      <c r="EV84" s="293"/>
      <c r="EW84" s="41"/>
      <c r="EX84" s="41"/>
      <c r="EY84" s="41"/>
      <c r="EZ84" s="256"/>
      <c r="FA84" s="308"/>
      <c r="FB84" s="308"/>
      <c r="FC84" s="308"/>
      <c r="FD84" s="308"/>
      <c r="FE84" s="41"/>
      <c r="FF84" s="41"/>
      <c r="FG84" s="41"/>
      <c r="FH84" s="256"/>
      <c r="FI84" s="41"/>
      <c r="FJ84" s="41"/>
      <c r="FK84" s="41"/>
      <c r="FL84" s="276"/>
    </row>
    <row r="85" spans="1:168" ht="20.25">
      <c r="A85" s="45">
        <v>78</v>
      </c>
      <c r="B85" s="45" t="s">
        <v>210</v>
      </c>
      <c r="C85" s="45">
        <v>5</v>
      </c>
      <c r="D85" s="29" t="s">
        <v>496</v>
      </c>
      <c r="E85" s="175">
        <v>56</v>
      </c>
      <c r="F85" s="188">
        <v>7</v>
      </c>
      <c r="G85" s="246">
        <f>55595.7738/1000</f>
        <v>55.595773800000003</v>
      </c>
      <c r="H85" s="45">
        <v>0</v>
      </c>
      <c r="I85" s="45">
        <v>55595.773799999995</v>
      </c>
      <c r="J85" s="397">
        <v>44.709387000000007</v>
      </c>
      <c r="K85" s="495">
        <f t="shared" si="11"/>
        <v>100.30516080000001</v>
      </c>
      <c r="L85" s="578"/>
      <c r="M85" s="45">
        <f t="shared" si="9"/>
        <v>0</v>
      </c>
      <c r="N85" s="46">
        <f>K85-M85</f>
        <v>100.30516080000001</v>
      </c>
      <c r="O85" s="46">
        <f t="shared" si="13"/>
        <v>69.599999999999994</v>
      </c>
      <c r="P85" s="234"/>
      <c r="Q85" s="46"/>
      <c r="R85" s="450"/>
      <c r="S85" s="257"/>
      <c r="T85" s="46"/>
      <c r="U85" s="46"/>
      <c r="V85" s="46"/>
      <c r="W85" s="46"/>
      <c r="X85" s="196"/>
      <c r="Y85" s="46"/>
      <c r="Z85" s="46"/>
      <c r="AA85" s="46"/>
      <c r="AB85" s="46"/>
      <c r="AC85" s="46"/>
      <c r="AD85" s="46"/>
      <c r="AE85" s="46"/>
      <c r="AF85" s="196"/>
      <c r="AG85" s="46"/>
      <c r="AH85" s="46"/>
      <c r="AI85" s="46"/>
      <c r="AJ85" s="46"/>
      <c r="AK85" s="46"/>
      <c r="AL85" s="46"/>
      <c r="AM85" s="46"/>
      <c r="AN85" s="196"/>
      <c r="AO85" s="438"/>
      <c r="AP85" s="180"/>
      <c r="AQ85" s="368"/>
      <c r="AR85" s="257"/>
      <c r="AS85" s="218"/>
      <c r="AT85" s="46"/>
      <c r="AU85" s="46"/>
      <c r="AV85" s="196"/>
      <c r="AW85" s="257"/>
      <c r="AX85" s="196"/>
      <c r="AY85" s="191"/>
      <c r="AZ85" s="257"/>
      <c r="BA85" s="196"/>
      <c r="BB85" s="46"/>
      <c r="BC85" s="257"/>
      <c r="BD85" s="196"/>
      <c r="BE85" s="191"/>
      <c r="BF85" s="46"/>
      <c r="BG85" s="196"/>
      <c r="BH85" s="46"/>
      <c r="BI85" s="257"/>
      <c r="BJ85" s="196"/>
      <c r="BK85" s="191"/>
      <c r="BL85" s="257"/>
      <c r="BM85" s="196"/>
      <c r="BN85" s="46"/>
      <c r="BO85" s="257"/>
      <c r="BP85" s="196"/>
      <c r="BQ85" s="190"/>
      <c r="BR85" s="46"/>
      <c r="BS85" s="196"/>
      <c r="BT85" s="46"/>
      <c r="BU85" s="257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196"/>
      <c r="CI85" s="46"/>
      <c r="CJ85" s="46"/>
      <c r="CK85" s="46"/>
      <c r="CL85" s="46"/>
      <c r="CM85" s="46"/>
      <c r="CN85" s="196"/>
      <c r="CO85" s="191"/>
      <c r="CP85" s="257"/>
      <c r="CQ85" s="196"/>
      <c r="CR85" s="167"/>
      <c r="CS85" s="257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191"/>
      <c r="DN85" s="46"/>
      <c r="DO85" s="196"/>
      <c r="DP85" s="221" t="s">
        <v>862</v>
      </c>
      <c r="DQ85" s="257">
        <f t="shared" si="12"/>
        <v>69600</v>
      </c>
      <c r="DR85" s="294"/>
      <c r="DS85" s="295"/>
      <c r="DT85" s="386">
        <f t="shared" si="10"/>
        <v>0</v>
      </c>
      <c r="DU85" s="41"/>
      <c r="DV85" s="41"/>
      <c r="DW85" s="256"/>
      <c r="DX85" s="41"/>
      <c r="DY85" s="41"/>
      <c r="DZ85" s="68"/>
      <c r="EA85" s="41">
        <v>9</v>
      </c>
      <c r="EB85" s="41">
        <v>62</v>
      </c>
      <c r="EC85" s="256">
        <f>EB85*800</f>
        <v>49600</v>
      </c>
      <c r="ED85" s="308"/>
      <c r="EE85" s="308"/>
      <c r="EF85" s="308"/>
      <c r="EG85" s="41"/>
      <c r="EH85" s="41"/>
      <c r="EI85" s="41"/>
      <c r="EJ85" s="69"/>
      <c r="EK85" s="308"/>
      <c r="EL85" s="308"/>
      <c r="EM85" s="308"/>
      <c r="EN85" s="308"/>
      <c r="EO85" s="41">
        <v>10</v>
      </c>
      <c r="EP85" s="41">
        <v>1</v>
      </c>
      <c r="EQ85" s="41">
        <v>1</v>
      </c>
      <c r="ER85" s="256">
        <v>20000</v>
      </c>
      <c r="ES85" s="293"/>
      <c r="ET85" s="293"/>
      <c r="EU85" s="293"/>
      <c r="EV85" s="293"/>
      <c r="EW85" s="41"/>
      <c r="EX85" s="41"/>
      <c r="EY85" s="41"/>
      <c r="EZ85" s="256"/>
      <c r="FA85" s="308"/>
      <c r="FB85" s="308"/>
      <c r="FC85" s="308"/>
      <c r="FD85" s="308"/>
      <c r="FE85" s="41"/>
      <c r="FF85" s="41"/>
      <c r="FG85" s="41"/>
      <c r="FH85" s="256"/>
      <c r="FI85" s="41"/>
      <c r="FJ85" s="41"/>
      <c r="FK85" s="41"/>
      <c r="FL85" s="276"/>
    </row>
    <row r="86" spans="1:168" ht="20.25">
      <c r="A86" s="45">
        <v>79</v>
      </c>
      <c r="B86" s="45" t="s">
        <v>210</v>
      </c>
      <c r="C86" s="45">
        <v>5</v>
      </c>
      <c r="D86" s="29" t="s">
        <v>91</v>
      </c>
      <c r="E86" s="30" t="s">
        <v>92</v>
      </c>
      <c r="F86" s="30">
        <v>7</v>
      </c>
      <c r="G86" s="246">
        <f>54810.378/1000</f>
        <v>54.810378</v>
      </c>
      <c r="H86" s="45">
        <v>0</v>
      </c>
      <c r="I86" s="45">
        <v>54810.37799999999</v>
      </c>
      <c r="J86" s="397">
        <v>82.713649999999944</v>
      </c>
      <c r="K86" s="495">
        <f t="shared" si="11"/>
        <v>137.52402799999993</v>
      </c>
      <c r="L86" s="578"/>
      <c r="M86" s="45">
        <f t="shared" si="9"/>
        <v>0</v>
      </c>
      <c r="N86" s="46">
        <f t="shared" si="8"/>
        <v>137.52402799999993</v>
      </c>
      <c r="O86" s="46">
        <f t="shared" si="13"/>
        <v>129.19999999999999</v>
      </c>
      <c r="P86" s="234"/>
      <c r="Q86" s="46"/>
      <c r="R86" s="450"/>
      <c r="S86" s="257"/>
      <c r="T86" s="46"/>
      <c r="U86" s="46"/>
      <c r="V86" s="46"/>
      <c r="W86" s="46"/>
      <c r="X86" s="196"/>
      <c r="Y86" s="46"/>
      <c r="Z86" s="46"/>
      <c r="AA86" s="46"/>
      <c r="AB86" s="46"/>
      <c r="AC86" s="46"/>
      <c r="AD86" s="46"/>
      <c r="AE86" s="46"/>
      <c r="AF86" s="196"/>
      <c r="AG86" s="46"/>
      <c r="AH86" s="46"/>
      <c r="AI86" s="46"/>
      <c r="AJ86" s="46"/>
      <c r="AK86" s="46"/>
      <c r="AL86" s="46"/>
      <c r="AM86" s="46"/>
      <c r="AN86" s="196"/>
      <c r="AO86" s="438"/>
      <c r="AP86" s="46"/>
      <c r="AQ86" s="368"/>
      <c r="AR86" s="257"/>
      <c r="AS86" s="196"/>
      <c r="AT86" s="46"/>
      <c r="AU86" s="46"/>
      <c r="AV86" s="196"/>
      <c r="AW86" s="257"/>
      <c r="AX86" s="196"/>
      <c r="AY86" s="191"/>
      <c r="AZ86" s="257"/>
      <c r="BA86" s="196"/>
      <c r="BB86" s="46"/>
      <c r="BC86" s="257"/>
      <c r="BD86" s="196"/>
      <c r="BE86" s="191"/>
      <c r="BF86" s="46"/>
      <c r="BG86" s="196"/>
      <c r="BH86" s="46"/>
      <c r="BI86" s="257"/>
      <c r="BJ86" s="196"/>
      <c r="BK86" s="191"/>
      <c r="BL86" s="257"/>
      <c r="BM86" s="196"/>
      <c r="BN86" s="46"/>
      <c r="BO86" s="257"/>
      <c r="BP86" s="196"/>
      <c r="BQ86" s="190"/>
      <c r="BR86" s="46"/>
      <c r="BS86" s="196"/>
      <c r="BT86" s="46"/>
      <c r="BU86" s="257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196"/>
      <c r="CI86" s="46"/>
      <c r="CJ86" s="46"/>
      <c r="CK86" s="46"/>
      <c r="CL86" s="46"/>
      <c r="CM86" s="46"/>
      <c r="CN86" s="196"/>
      <c r="CO86" s="191"/>
      <c r="CP86" s="257"/>
      <c r="CQ86" s="196"/>
      <c r="CR86" s="167"/>
      <c r="CS86" s="257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191"/>
      <c r="DN86" s="46"/>
      <c r="DO86" s="196"/>
      <c r="DP86" s="221" t="s">
        <v>863</v>
      </c>
      <c r="DQ86" s="257">
        <f>DW86+EC86+EJ86+ER86+EZ86+FH86+30000</f>
        <v>129200</v>
      </c>
      <c r="DR86" s="294"/>
      <c r="DS86" s="295"/>
      <c r="DT86" s="386">
        <f t="shared" si="10"/>
        <v>0</v>
      </c>
      <c r="DU86" s="41"/>
      <c r="DV86" s="41"/>
      <c r="DW86" s="256"/>
      <c r="DX86" s="41"/>
      <c r="DY86" s="41"/>
      <c r="DZ86" s="68"/>
      <c r="EA86" s="41">
        <v>9</v>
      </c>
      <c r="EB86" s="41">
        <v>124</v>
      </c>
      <c r="EC86" s="256">
        <f>EB86*800</f>
        <v>99200</v>
      </c>
      <c r="ED86" s="308"/>
      <c r="EE86" s="308"/>
      <c r="EF86" s="308"/>
      <c r="EG86" s="41"/>
      <c r="EH86" s="41"/>
      <c r="EI86" s="41"/>
      <c r="EJ86" s="69"/>
      <c r="EK86" s="308"/>
      <c r="EL86" s="308"/>
      <c r="EM86" s="308"/>
      <c r="EN86" s="308"/>
      <c r="EO86" s="41"/>
      <c r="EP86" s="41"/>
      <c r="EQ86" s="41"/>
      <c r="ER86" s="256"/>
      <c r="ES86" s="293"/>
      <c r="ET86" s="293"/>
      <c r="EU86" s="293"/>
      <c r="EV86" s="293"/>
      <c r="EW86" s="41"/>
      <c r="EX86" s="41"/>
      <c r="EY86" s="41"/>
      <c r="EZ86" s="256"/>
      <c r="FA86" s="308"/>
      <c r="FB86" s="308"/>
      <c r="FC86" s="308"/>
      <c r="FD86" s="308"/>
      <c r="FE86" s="41"/>
      <c r="FF86" s="41"/>
      <c r="FG86" s="41"/>
      <c r="FH86" s="256"/>
      <c r="FI86" s="41"/>
      <c r="FJ86" s="41"/>
      <c r="FK86" s="41"/>
      <c r="FL86" s="276"/>
    </row>
    <row r="87" spans="1:168" ht="23.25">
      <c r="A87" s="45">
        <v>80</v>
      </c>
      <c r="B87" s="45" t="s">
        <v>210</v>
      </c>
      <c r="C87" s="45">
        <v>5</v>
      </c>
      <c r="D87" s="29" t="s">
        <v>91</v>
      </c>
      <c r="E87" s="30">
        <v>60</v>
      </c>
      <c r="F87" s="30">
        <v>7</v>
      </c>
      <c r="G87" s="246">
        <f>54633.6378/1000</f>
        <v>54.633637799999995</v>
      </c>
      <c r="H87" s="45">
        <v>0</v>
      </c>
      <c r="I87" s="45">
        <v>54633.637799999997</v>
      </c>
      <c r="J87" s="397">
        <v>37.63417699999998</v>
      </c>
      <c r="K87" s="495">
        <f t="shared" si="11"/>
        <v>92.267814799999968</v>
      </c>
      <c r="L87" s="578"/>
      <c r="M87" s="45">
        <f t="shared" si="9"/>
        <v>0</v>
      </c>
      <c r="N87" s="46">
        <f t="shared" si="8"/>
        <v>92.267814799999968</v>
      </c>
      <c r="O87" s="46">
        <f t="shared" si="13"/>
        <v>82.5</v>
      </c>
      <c r="P87" s="234"/>
      <c r="Q87" s="46"/>
      <c r="R87" s="450"/>
      <c r="S87" s="257"/>
      <c r="T87" s="46"/>
      <c r="U87" s="46"/>
      <c r="V87" s="46"/>
      <c r="W87" s="46"/>
      <c r="X87" s="196"/>
      <c r="Y87" s="46"/>
      <c r="Z87" s="46"/>
      <c r="AA87" s="46"/>
      <c r="AB87" s="46"/>
      <c r="AC87" s="46"/>
      <c r="AD87" s="46"/>
      <c r="AE87" s="46"/>
      <c r="AF87" s="196"/>
      <c r="AG87" s="46"/>
      <c r="AH87" s="46"/>
      <c r="AI87" s="46"/>
      <c r="AJ87" s="46"/>
      <c r="AK87" s="46"/>
      <c r="AL87" s="46"/>
      <c r="AM87" s="46"/>
      <c r="AN87" s="196" t="s">
        <v>248</v>
      </c>
      <c r="AO87" s="438" t="s">
        <v>335</v>
      </c>
      <c r="AP87" s="46">
        <v>50</v>
      </c>
      <c r="AQ87" s="368" t="s">
        <v>247</v>
      </c>
      <c r="AR87" s="257">
        <f>AP87*1300</f>
        <v>65000</v>
      </c>
      <c r="AS87" s="196"/>
      <c r="AT87" s="46"/>
      <c r="AU87" s="46"/>
      <c r="AV87" s="196"/>
      <c r="AW87" s="257"/>
      <c r="AX87" s="196"/>
      <c r="AY87" s="191"/>
      <c r="AZ87" s="257"/>
      <c r="BA87" s="196"/>
      <c r="BB87" s="46"/>
      <c r="BC87" s="257"/>
      <c r="BD87" s="196"/>
      <c r="BE87" s="191"/>
      <c r="BF87" s="46"/>
      <c r="BG87" s="196"/>
      <c r="BH87" s="46"/>
      <c r="BI87" s="257"/>
      <c r="BJ87" s="196" t="s">
        <v>228</v>
      </c>
      <c r="BK87" s="190" t="s">
        <v>864</v>
      </c>
      <c r="BL87" s="257">
        <f>7*2500</f>
        <v>17500</v>
      </c>
      <c r="BM87" s="196"/>
      <c r="BN87" s="46"/>
      <c r="BO87" s="257"/>
      <c r="BP87" s="196"/>
      <c r="BQ87" s="190"/>
      <c r="BR87" s="46"/>
      <c r="BS87" s="196"/>
      <c r="BT87" s="46"/>
      <c r="BU87" s="257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196"/>
      <c r="CI87" s="46"/>
      <c r="CJ87" s="46"/>
      <c r="CK87" s="46"/>
      <c r="CL87" s="46"/>
      <c r="CM87" s="46"/>
      <c r="CN87" s="196"/>
      <c r="CO87" s="191"/>
      <c r="CP87" s="257"/>
      <c r="CQ87" s="196"/>
      <c r="CR87" s="167"/>
      <c r="CS87" s="257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191"/>
      <c r="DN87" s="46"/>
      <c r="DO87" s="196"/>
      <c r="DP87" s="221"/>
      <c r="DQ87" s="257">
        <f t="shared" si="12"/>
        <v>0</v>
      </c>
      <c r="DR87" s="294"/>
      <c r="DS87" s="295"/>
      <c r="DT87" s="386">
        <f t="shared" si="10"/>
        <v>0</v>
      </c>
      <c r="DU87" s="41"/>
      <c r="DV87" s="41"/>
      <c r="DW87" s="256"/>
      <c r="DX87" s="41"/>
      <c r="DY87" s="41"/>
      <c r="DZ87" s="68"/>
      <c r="EA87" s="41"/>
      <c r="EB87" s="41"/>
      <c r="EC87" s="256"/>
      <c r="ED87" s="308"/>
      <c r="EE87" s="308"/>
      <c r="EF87" s="308"/>
      <c r="EG87" s="41"/>
      <c r="EH87" s="41"/>
      <c r="EI87" s="41"/>
      <c r="EJ87" s="69"/>
      <c r="EK87" s="308"/>
      <c r="EL87" s="308"/>
      <c r="EM87" s="308"/>
      <c r="EN87" s="308"/>
      <c r="EO87" s="41"/>
      <c r="EP87" s="41"/>
      <c r="EQ87" s="41"/>
      <c r="ER87" s="256"/>
      <c r="ES87" s="293"/>
      <c r="ET87" s="293"/>
      <c r="EU87" s="293"/>
      <c r="EV87" s="293"/>
      <c r="EW87" s="41"/>
      <c r="EX87" s="41"/>
      <c r="EY87" s="41"/>
      <c r="EZ87" s="256"/>
      <c r="FA87" s="308"/>
      <c r="FB87" s="308"/>
      <c r="FC87" s="308"/>
      <c r="FD87" s="308"/>
      <c r="FE87" s="41"/>
      <c r="FF87" s="41"/>
      <c r="FG87" s="41"/>
      <c r="FH87" s="256"/>
      <c r="FI87" s="41"/>
      <c r="FJ87" s="41"/>
      <c r="FK87" s="41"/>
      <c r="FL87" s="276"/>
    </row>
    <row r="88" spans="1:168" ht="30">
      <c r="A88" s="45">
        <v>81</v>
      </c>
      <c r="B88" s="45" t="s">
        <v>210</v>
      </c>
      <c r="C88" s="45">
        <v>5</v>
      </c>
      <c r="D88" s="29" t="s">
        <v>91</v>
      </c>
      <c r="E88" s="30">
        <v>62</v>
      </c>
      <c r="F88" s="30">
        <v>7</v>
      </c>
      <c r="G88" s="246">
        <f>55092.744/1000</f>
        <v>55.092743999999996</v>
      </c>
      <c r="H88" s="45">
        <v>0</v>
      </c>
      <c r="I88" s="45">
        <v>55092.743999999999</v>
      </c>
      <c r="J88" s="397">
        <v>68.310330000000008</v>
      </c>
      <c r="K88" s="495">
        <f t="shared" si="11"/>
        <v>123.403074</v>
      </c>
      <c r="L88" s="578"/>
      <c r="M88" s="45">
        <f t="shared" si="9"/>
        <v>0</v>
      </c>
      <c r="N88" s="46">
        <f t="shared" si="8"/>
        <v>123.403074</v>
      </c>
      <c r="O88" s="46">
        <f t="shared" si="13"/>
        <v>91.4</v>
      </c>
      <c r="P88" s="234"/>
      <c r="Q88" s="46"/>
      <c r="R88" s="450"/>
      <c r="S88" s="257"/>
      <c r="T88" s="46"/>
      <c r="U88" s="46"/>
      <c r="V88" s="46"/>
      <c r="W88" s="46"/>
      <c r="X88" s="196"/>
      <c r="Y88" s="46"/>
      <c r="Z88" s="46"/>
      <c r="AA88" s="46"/>
      <c r="AB88" s="46"/>
      <c r="AC88" s="46"/>
      <c r="AD88" s="46"/>
      <c r="AE88" s="46"/>
      <c r="AF88" s="196"/>
      <c r="AG88" s="46"/>
      <c r="AH88" s="46"/>
      <c r="AI88" s="46"/>
      <c r="AJ88" s="46"/>
      <c r="AK88" s="46"/>
      <c r="AL88" s="46"/>
      <c r="AM88" s="46"/>
      <c r="AN88" s="196" t="s">
        <v>227</v>
      </c>
      <c r="AO88" s="438" t="s">
        <v>335</v>
      </c>
      <c r="AP88" s="46">
        <v>28</v>
      </c>
      <c r="AQ88" s="368" t="s">
        <v>865</v>
      </c>
      <c r="AR88" s="257">
        <f>AP88*1300</f>
        <v>36400</v>
      </c>
      <c r="AS88" s="196"/>
      <c r="AT88" s="46"/>
      <c r="AU88" s="46"/>
      <c r="AV88" s="196"/>
      <c r="AW88" s="257"/>
      <c r="AX88" s="196"/>
      <c r="AY88" s="191"/>
      <c r="AZ88" s="257"/>
      <c r="BA88" s="196"/>
      <c r="BB88" s="46"/>
      <c r="BC88" s="257"/>
      <c r="BD88" s="196"/>
      <c r="BE88" s="191"/>
      <c r="BF88" s="46"/>
      <c r="BG88" s="196"/>
      <c r="BH88" s="46"/>
      <c r="BI88" s="257"/>
      <c r="BJ88" s="196"/>
      <c r="BK88" s="190"/>
      <c r="BL88" s="257"/>
      <c r="BM88" s="196"/>
      <c r="BN88" s="46"/>
      <c r="BO88" s="257"/>
      <c r="BP88" s="196"/>
      <c r="BQ88" s="190"/>
      <c r="BR88" s="46"/>
      <c r="BS88" s="196"/>
      <c r="BT88" s="46"/>
      <c r="BU88" s="257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196"/>
      <c r="CI88" s="46"/>
      <c r="CJ88" s="46"/>
      <c r="CK88" s="46"/>
      <c r="CL88" s="46"/>
      <c r="CM88" s="46"/>
      <c r="CN88" s="196"/>
      <c r="CO88" s="191"/>
      <c r="CP88" s="257"/>
      <c r="CQ88" s="196"/>
      <c r="CR88" s="167"/>
      <c r="CS88" s="257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191"/>
      <c r="DN88" s="46"/>
      <c r="DO88" s="196"/>
      <c r="DP88" s="221" t="s">
        <v>866</v>
      </c>
      <c r="DQ88" s="257">
        <f>DW88+EC88+EJ88+ER88+EZ88+FH88+15000+20000</f>
        <v>55000</v>
      </c>
      <c r="DR88" s="294"/>
      <c r="DS88" s="295"/>
      <c r="DT88" s="386">
        <f t="shared" si="10"/>
        <v>0</v>
      </c>
      <c r="DU88" s="41"/>
      <c r="DV88" s="41"/>
      <c r="DW88" s="256"/>
      <c r="DX88" s="41"/>
      <c r="DY88" s="41"/>
      <c r="DZ88" s="68"/>
      <c r="EA88" s="41"/>
      <c r="EB88" s="41"/>
      <c r="EC88" s="256"/>
      <c r="ED88" s="308"/>
      <c r="EE88" s="308"/>
      <c r="EF88" s="308"/>
      <c r="EG88" s="41">
        <v>4</v>
      </c>
      <c r="EH88" s="41">
        <v>1</v>
      </c>
      <c r="EI88" s="41">
        <v>1</v>
      </c>
      <c r="EJ88" s="69">
        <v>20000</v>
      </c>
      <c r="EK88" s="308"/>
      <c r="EL88" s="308"/>
      <c r="EM88" s="308"/>
      <c r="EN88" s="308"/>
      <c r="EO88" s="41"/>
      <c r="EP88" s="41"/>
      <c r="EQ88" s="41"/>
      <c r="ER88" s="256"/>
      <c r="ES88" s="293"/>
      <c r="ET88" s="293"/>
      <c r="EU88" s="293"/>
      <c r="EV88" s="293"/>
      <c r="EW88" s="41"/>
      <c r="EX88" s="41"/>
      <c r="EY88" s="41"/>
      <c r="EZ88" s="256"/>
      <c r="FA88" s="308"/>
      <c r="FB88" s="308"/>
      <c r="FC88" s="308"/>
      <c r="FD88" s="308"/>
      <c r="FE88" s="41"/>
      <c r="FF88" s="41"/>
      <c r="FG88" s="41"/>
      <c r="FH88" s="256"/>
      <c r="FI88" s="41"/>
      <c r="FJ88" s="41"/>
      <c r="FK88" s="41"/>
      <c r="FL88" s="276"/>
    </row>
    <row r="89" spans="1:168" ht="20.25">
      <c r="A89" s="45">
        <v>82</v>
      </c>
      <c r="B89" s="45" t="s">
        <v>210</v>
      </c>
      <c r="C89" s="45">
        <v>5</v>
      </c>
      <c r="D89" s="29" t="s">
        <v>91</v>
      </c>
      <c r="E89" s="30" t="s">
        <v>93</v>
      </c>
      <c r="F89" s="30">
        <v>5</v>
      </c>
      <c r="G89" s="246">
        <f>72349.2/1000</f>
        <v>72.349199999999996</v>
      </c>
      <c r="H89" s="45">
        <v>72349.200000000012</v>
      </c>
      <c r="I89" s="45">
        <v>0</v>
      </c>
      <c r="J89" s="397">
        <v>-11.301370000000006</v>
      </c>
      <c r="K89" s="495">
        <f t="shared" si="11"/>
        <v>61.04782999999999</v>
      </c>
      <c r="L89" s="578"/>
      <c r="M89" s="45">
        <f t="shared" si="9"/>
        <v>0</v>
      </c>
      <c r="N89" s="46">
        <f t="shared" si="8"/>
        <v>61.04782999999999</v>
      </c>
      <c r="O89" s="46">
        <f t="shared" si="13"/>
        <v>50</v>
      </c>
      <c r="P89" s="234"/>
      <c r="Q89" s="46"/>
      <c r="R89" s="450"/>
      <c r="S89" s="257"/>
      <c r="T89" s="46"/>
      <c r="U89" s="46"/>
      <c r="V89" s="46"/>
      <c r="W89" s="46"/>
      <c r="X89" s="196"/>
      <c r="Y89" s="46"/>
      <c r="Z89" s="46"/>
      <c r="AA89" s="46"/>
      <c r="AB89" s="46"/>
      <c r="AC89" s="46"/>
      <c r="AD89" s="46"/>
      <c r="AE89" s="46"/>
      <c r="AF89" s="196"/>
      <c r="AG89" s="46"/>
      <c r="AH89" s="46"/>
      <c r="AI89" s="46"/>
      <c r="AJ89" s="46"/>
      <c r="AK89" s="46"/>
      <c r="AL89" s="46"/>
      <c r="AM89" s="46"/>
      <c r="AN89" s="196"/>
      <c r="AO89" s="438"/>
      <c r="AP89" s="46"/>
      <c r="AQ89" s="368"/>
      <c r="AR89" s="257"/>
      <c r="AS89" s="196"/>
      <c r="AT89" s="46"/>
      <c r="AU89" s="46"/>
      <c r="AV89" s="196"/>
      <c r="AW89" s="257"/>
      <c r="AX89" s="196"/>
      <c r="AY89" s="191"/>
      <c r="AZ89" s="257"/>
      <c r="BA89" s="196"/>
      <c r="BB89" s="46"/>
      <c r="BC89" s="257"/>
      <c r="BD89" s="196"/>
      <c r="BE89" s="191"/>
      <c r="BF89" s="46"/>
      <c r="BG89" s="196"/>
      <c r="BH89" s="46"/>
      <c r="BI89" s="257"/>
      <c r="BJ89" s="196"/>
      <c r="BK89" s="191"/>
      <c r="BL89" s="257"/>
      <c r="BM89" s="196"/>
      <c r="BN89" s="46"/>
      <c r="BO89" s="257"/>
      <c r="BP89" s="196"/>
      <c r="BQ89" s="190"/>
      <c r="BR89" s="46"/>
      <c r="BS89" s="196"/>
      <c r="BT89" s="46"/>
      <c r="BU89" s="257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196"/>
      <c r="CI89" s="46"/>
      <c r="CJ89" s="46"/>
      <c r="CK89" s="46"/>
      <c r="CL89" s="46"/>
      <c r="CM89" s="46"/>
      <c r="CN89" s="196"/>
      <c r="CO89" s="191"/>
      <c r="CP89" s="257"/>
      <c r="CQ89" s="196"/>
      <c r="CR89" s="167"/>
      <c r="CS89" s="257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191"/>
      <c r="DN89" s="46"/>
      <c r="DO89" s="196"/>
      <c r="DP89" s="221" t="s">
        <v>867</v>
      </c>
      <c r="DQ89" s="257">
        <f>DW89+EC89+EJ89+ER89+EZ89+FH89+40000</f>
        <v>50000</v>
      </c>
      <c r="DR89" s="294"/>
      <c r="DS89" s="295"/>
      <c r="DT89" s="386">
        <f t="shared" si="10"/>
        <v>0</v>
      </c>
      <c r="DU89" s="41"/>
      <c r="DV89" s="41"/>
      <c r="DW89" s="256"/>
      <c r="DX89" s="41"/>
      <c r="DY89" s="41"/>
      <c r="DZ89" s="68"/>
      <c r="EA89" s="41"/>
      <c r="EB89" s="41"/>
      <c r="EC89" s="256"/>
      <c r="ED89" s="308"/>
      <c r="EE89" s="308"/>
      <c r="EF89" s="308"/>
      <c r="EG89" s="41">
        <v>5</v>
      </c>
      <c r="EH89" s="41">
        <v>2</v>
      </c>
      <c r="EI89" s="41">
        <v>1.2</v>
      </c>
      <c r="EJ89" s="69">
        <v>10000</v>
      </c>
      <c r="EK89" s="308"/>
      <c r="EL89" s="308"/>
      <c r="EM89" s="308"/>
      <c r="EN89" s="308"/>
      <c r="EO89" s="41"/>
      <c r="EP89" s="41"/>
      <c r="EQ89" s="41"/>
      <c r="ER89" s="256"/>
      <c r="ES89" s="293"/>
      <c r="ET89" s="293"/>
      <c r="EU89" s="293"/>
      <c r="EV89" s="293"/>
      <c r="EW89" s="41"/>
      <c r="EX89" s="41"/>
      <c r="EY89" s="41"/>
      <c r="EZ89" s="256"/>
      <c r="FA89" s="308"/>
      <c r="FB89" s="308"/>
      <c r="FC89" s="308"/>
      <c r="FD89" s="308"/>
      <c r="FE89" s="46"/>
      <c r="FF89" s="41"/>
      <c r="FG89" s="41"/>
      <c r="FH89" s="256"/>
      <c r="FI89" s="41"/>
      <c r="FJ89" s="41"/>
      <c r="FK89" s="41"/>
      <c r="FL89" s="276"/>
    </row>
    <row r="90" spans="1:168" ht="43.9" customHeight="1">
      <c r="A90" s="45">
        <v>83</v>
      </c>
      <c r="B90" s="45" t="s">
        <v>210</v>
      </c>
      <c r="C90" s="45">
        <v>5</v>
      </c>
      <c r="D90" s="29" t="s">
        <v>91</v>
      </c>
      <c r="E90" s="30" t="s">
        <v>94</v>
      </c>
      <c r="F90" s="30">
        <v>7</v>
      </c>
      <c r="G90" s="246">
        <f>74963.9898/1000</f>
        <v>74.963989799999993</v>
      </c>
      <c r="H90" s="45">
        <v>0</v>
      </c>
      <c r="I90" s="45">
        <v>74963.989799999996</v>
      </c>
      <c r="J90" s="397">
        <v>140.09563699999998</v>
      </c>
      <c r="K90" s="495">
        <f t="shared" si="11"/>
        <v>215.05962679999999</v>
      </c>
      <c r="L90" s="578"/>
      <c r="M90" s="45">
        <f t="shared" si="9"/>
        <v>0</v>
      </c>
      <c r="N90" s="46">
        <f t="shared" si="8"/>
        <v>215.05962679999999</v>
      </c>
      <c r="O90" s="46">
        <f t="shared" si="13"/>
        <v>195.8</v>
      </c>
      <c r="P90" s="234"/>
      <c r="Q90" s="46"/>
      <c r="R90" s="450"/>
      <c r="S90" s="257"/>
      <c r="T90" s="46"/>
      <c r="U90" s="46"/>
      <c r="V90" s="46"/>
      <c r="W90" s="46"/>
      <c r="X90" s="196"/>
      <c r="Y90" s="46"/>
      <c r="Z90" s="46"/>
      <c r="AA90" s="46"/>
      <c r="AB90" s="46"/>
      <c r="AC90" s="46"/>
      <c r="AD90" s="46"/>
      <c r="AE90" s="46"/>
      <c r="AF90" s="196"/>
      <c r="AG90" s="46"/>
      <c r="AH90" s="46"/>
      <c r="AI90" s="46"/>
      <c r="AJ90" s="46"/>
      <c r="AK90" s="46"/>
      <c r="AL90" s="46"/>
      <c r="AM90" s="46"/>
      <c r="AN90" s="196"/>
      <c r="AO90" s="438"/>
      <c r="AP90" s="46"/>
      <c r="AQ90" s="368"/>
      <c r="AR90" s="257"/>
      <c r="AS90" s="196"/>
      <c r="AT90" s="46"/>
      <c r="AU90" s="46"/>
      <c r="AV90" s="196"/>
      <c r="AW90" s="257"/>
      <c r="AX90" s="196"/>
      <c r="AY90" s="191"/>
      <c r="AZ90" s="257"/>
      <c r="BA90" s="196"/>
      <c r="BB90" s="46"/>
      <c r="BC90" s="257"/>
      <c r="BD90" s="196"/>
      <c r="BE90" s="191"/>
      <c r="BF90" s="46"/>
      <c r="BG90" s="196"/>
      <c r="BH90" s="46"/>
      <c r="BI90" s="257"/>
      <c r="BJ90" s="196"/>
      <c r="BK90" s="191"/>
      <c r="BL90" s="257"/>
      <c r="BM90" s="196"/>
      <c r="BN90" s="46"/>
      <c r="BO90" s="257"/>
      <c r="BP90" s="196"/>
      <c r="BQ90" s="190"/>
      <c r="BR90" s="46"/>
      <c r="BS90" s="196"/>
      <c r="BT90" s="46"/>
      <c r="BU90" s="257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196"/>
      <c r="CI90" s="46"/>
      <c r="CJ90" s="46"/>
      <c r="CK90" s="46"/>
      <c r="CL90" s="46"/>
      <c r="CM90" s="46"/>
      <c r="CN90" s="196" t="s">
        <v>254</v>
      </c>
      <c r="CO90" s="190" t="s">
        <v>868</v>
      </c>
      <c r="CP90" s="257">
        <v>5000</v>
      </c>
      <c r="CQ90" s="196"/>
      <c r="CR90" s="167"/>
      <c r="CS90" s="257"/>
      <c r="CT90" s="46"/>
      <c r="CU90" s="46"/>
      <c r="CV90" s="46"/>
      <c r="CW90" s="46"/>
      <c r="CX90" s="46"/>
      <c r="CY90" s="46"/>
      <c r="CZ90" s="46">
        <v>9</v>
      </c>
      <c r="DA90" s="46">
        <v>106</v>
      </c>
      <c r="DB90" s="257">
        <f>DA90*1800</f>
        <v>190800</v>
      </c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191"/>
      <c r="DN90" s="46"/>
      <c r="DO90" s="218"/>
      <c r="DP90" s="221"/>
      <c r="DQ90" s="257">
        <f t="shared" si="12"/>
        <v>0</v>
      </c>
      <c r="DR90" s="294"/>
      <c r="DS90" s="295"/>
      <c r="DT90" s="386">
        <f t="shared" si="10"/>
        <v>0</v>
      </c>
      <c r="DU90" s="41"/>
      <c r="DV90" s="41"/>
      <c r="DW90" s="256"/>
      <c r="DX90" s="41"/>
      <c r="DY90" s="41"/>
      <c r="DZ90" s="68"/>
      <c r="EA90" s="41"/>
      <c r="EB90" s="41"/>
      <c r="EC90" s="256"/>
      <c r="ED90" s="308"/>
      <c r="EE90" s="308"/>
      <c r="EF90" s="308"/>
      <c r="EG90" s="41"/>
      <c r="EH90" s="41"/>
      <c r="EI90" s="41"/>
      <c r="EJ90" s="69"/>
      <c r="EK90" s="308"/>
      <c r="EL90" s="308"/>
      <c r="EM90" s="308"/>
      <c r="EN90" s="308"/>
      <c r="EO90" s="41"/>
      <c r="EP90" s="41"/>
      <c r="EQ90" s="41"/>
      <c r="ER90" s="256"/>
      <c r="ES90" s="293"/>
      <c r="ET90" s="293"/>
      <c r="EU90" s="293"/>
      <c r="EV90" s="293"/>
      <c r="EW90" s="41"/>
      <c r="EX90" s="41"/>
      <c r="EY90" s="41"/>
      <c r="EZ90" s="256"/>
      <c r="FA90" s="308"/>
      <c r="FB90" s="308"/>
      <c r="FC90" s="308"/>
      <c r="FD90" s="308"/>
      <c r="FE90" s="46"/>
      <c r="FF90" s="41"/>
      <c r="FG90" s="41"/>
      <c r="FH90" s="256"/>
      <c r="FI90" s="41"/>
      <c r="FJ90" s="41"/>
      <c r="FK90" s="41"/>
      <c r="FL90" s="276"/>
    </row>
    <row r="91" spans="1:168">
      <c r="A91" s="45">
        <v>84</v>
      </c>
      <c r="B91" s="45" t="s">
        <v>210</v>
      </c>
      <c r="C91" s="45">
        <v>5</v>
      </c>
      <c r="D91" s="29" t="s">
        <v>91</v>
      </c>
      <c r="E91" s="30">
        <v>68</v>
      </c>
      <c r="F91" s="30">
        <v>5</v>
      </c>
      <c r="G91" s="246">
        <f>43376.256/1000</f>
        <v>43.376255999999998</v>
      </c>
      <c r="H91" s="45">
        <v>43376.256000000001</v>
      </c>
      <c r="I91" s="45">
        <v>0</v>
      </c>
      <c r="J91" s="397">
        <v>39.482270000000014</v>
      </c>
      <c r="K91" s="495">
        <f t="shared" si="11"/>
        <v>82.858526000000012</v>
      </c>
      <c r="L91" s="578"/>
      <c r="M91" s="45">
        <f t="shared" si="9"/>
        <v>0</v>
      </c>
      <c r="N91" s="46">
        <f t="shared" si="8"/>
        <v>82.858526000000012</v>
      </c>
      <c r="O91" s="46">
        <f t="shared" si="13"/>
        <v>76.8</v>
      </c>
      <c r="P91" s="234"/>
      <c r="Q91" s="46"/>
      <c r="R91" s="450"/>
      <c r="S91" s="257"/>
      <c r="T91" s="46"/>
      <c r="U91" s="46"/>
      <c r="V91" s="46"/>
      <c r="W91" s="46"/>
      <c r="X91" s="196"/>
      <c r="Y91" s="46"/>
      <c r="Z91" s="46"/>
      <c r="AA91" s="46"/>
      <c r="AB91" s="46"/>
      <c r="AC91" s="46"/>
      <c r="AD91" s="46"/>
      <c r="AE91" s="46"/>
      <c r="AF91" s="196"/>
      <c r="AG91" s="46"/>
      <c r="AH91" s="46"/>
      <c r="AI91" s="46"/>
      <c r="AJ91" s="46"/>
      <c r="AK91" s="46"/>
      <c r="AL91" s="46"/>
      <c r="AM91" s="46"/>
      <c r="AN91" s="196"/>
      <c r="AO91" s="438"/>
      <c r="AP91" s="46"/>
      <c r="AQ91" s="368"/>
      <c r="AR91" s="257"/>
      <c r="AS91" s="196"/>
      <c r="AT91" s="46"/>
      <c r="AU91" s="46"/>
      <c r="AV91" s="196"/>
      <c r="AW91" s="257"/>
      <c r="AX91" s="196"/>
      <c r="AY91" s="191"/>
      <c r="AZ91" s="257"/>
      <c r="BA91" s="196"/>
      <c r="BB91" s="46"/>
      <c r="BC91" s="257"/>
      <c r="BD91" s="196"/>
      <c r="BE91" s="191"/>
      <c r="BF91" s="46"/>
      <c r="BG91" s="196"/>
      <c r="BH91" s="46"/>
      <c r="BI91" s="257"/>
      <c r="BJ91" s="196"/>
      <c r="BK91" s="191"/>
      <c r="BL91" s="257"/>
      <c r="BM91" s="196"/>
      <c r="BN91" s="46"/>
      <c r="BO91" s="257"/>
      <c r="BP91" s="196"/>
      <c r="BQ91" s="190"/>
      <c r="BR91" s="46"/>
      <c r="BS91" s="196"/>
      <c r="BT91" s="46"/>
      <c r="BU91" s="257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196"/>
      <c r="CI91" s="46"/>
      <c r="CJ91" s="46"/>
      <c r="CK91" s="46"/>
      <c r="CL91" s="46"/>
      <c r="CM91" s="46"/>
      <c r="CN91" s="196"/>
      <c r="CO91" s="191"/>
      <c r="CP91" s="257"/>
      <c r="CQ91" s="196"/>
      <c r="CR91" s="167"/>
      <c r="CS91" s="257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191"/>
      <c r="DN91" s="46"/>
      <c r="DO91" s="196"/>
      <c r="DP91" s="221" t="s">
        <v>851</v>
      </c>
      <c r="DQ91" s="257">
        <f t="shared" si="12"/>
        <v>76800</v>
      </c>
      <c r="DR91" s="294"/>
      <c r="DS91" s="295"/>
      <c r="DT91" s="386">
        <f t="shared" si="10"/>
        <v>0</v>
      </c>
      <c r="DU91" s="41"/>
      <c r="DV91" s="41"/>
      <c r="DW91" s="256"/>
      <c r="DX91" s="41"/>
      <c r="DY91" s="41"/>
      <c r="DZ91" s="68"/>
      <c r="EA91" s="41">
        <v>9</v>
      </c>
      <c r="EB91" s="41">
        <v>96</v>
      </c>
      <c r="EC91" s="256">
        <f>EB91*800</f>
        <v>76800</v>
      </c>
      <c r="ED91" s="308"/>
      <c r="EE91" s="308"/>
      <c r="EF91" s="308"/>
      <c r="EG91" s="41"/>
      <c r="EH91" s="41"/>
      <c r="EI91" s="41"/>
      <c r="EJ91" s="69"/>
      <c r="EK91" s="308"/>
      <c r="EL91" s="308"/>
      <c r="EM91" s="308"/>
      <c r="EN91" s="308"/>
      <c r="EO91" s="41"/>
      <c r="EP91" s="41"/>
      <c r="EQ91" s="41"/>
      <c r="ER91" s="256"/>
      <c r="ES91" s="293"/>
      <c r="ET91" s="293"/>
      <c r="EU91" s="293"/>
      <c r="EV91" s="293"/>
      <c r="EW91" s="41"/>
      <c r="EX91" s="41"/>
      <c r="EY91" s="41"/>
      <c r="EZ91" s="256"/>
      <c r="FA91" s="308"/>
      <c r="FB91" s="308"/>
      <c r="FC91" s="308"/>
      <c r="FD91" s="308"/>
      <c r="FE91" s="46"/>
      <c r="FF91" s="41"/>
      <c r="FG91" s="41"/>
      <c r="FH91" s="256"/>
      <c r="FI91" s="41"/>
      <c r="FJ91" s="41"/>
      <c r="FK91" s="41"/>
      <c r="FL91" s="276"/>
    </row>
    <row r="92" spans="1:168" ht="30">
      <c r="A92" s="45">
        <v>85</v>
      </c>
      <c r="B92" s="45" t="s">
        <v>210</v>
      </c>
      <c r="C92" s="45">
        <v>5</v>
      </c>
      <c r="D92" s="29" t="s">
        <v>91</v>
      </c>
      <c r="E92" s="30">
        <v>70</v>
      </c>
      <c r="F92" s="30">
        <v>5</v>
      </c>
      <c r="G92" s="246">
        <f>43093.512/1000</f>
        <v>43.093512000000004</v>
      </c>
      <c r="H92" s="45">
        <v>43093.511999999988</v>
      </c>
      <c r="I92" s="45">
        <v>0</v>
      </c>
      <c r="J92" s="397">
        <v>23.366919999999986</v>
      </c>
      <c r="K92" s="495">
        <f t="shared" si="11"/>
        <v>66.460431999999997</v>
      </c>
      <c r="L92" s="578"/>
      <c r="M92" s="45">
        <f t="shared" si="9"/>
        <v>0</v>
      </c>
      <c r="N92" s="46">
        <f t="shared" si="8"/>
        <v>66.460431999999997</v>
      </c>
      <c r="O92" s="46">
        <f t="shared" si="13"/>
        <v>50</v>
      </c>
      <c r="P92" s="234"/>
      <c r="Q92" s="46"/>
      <c r="R92" s="450"/>
      <c r="S92" s="257"/>
      <c r="T92" s="46"/>
      <c r="U92" s="46"/>
      <c r="V92" s="46"/>
      <c r="W92" s="46"/>
      <c r="X92" s="196"/>
      <c r="Y92" s="46"/>
      <c r="Z92" s="46"/>
      <c r="AA92" s="46"/>
      <c r="AB92" s="46"/>
      <c r="AC92" s="46"/>
      <c r="AD92" s="46"/>
      <c r="AE92" s="46"/>
      <c r="AF92" s="196"/>
      <c r="AG92" s="46"/>
      <c r="AH92" s="46"/>
      <c r="AI92" s="46"/>
      <c r="AJ92" s="46"/>
      <c r="AK92" s="46"/>
      <c r="AL92" s="46"/>
      <c r="AM92" s="46"/>
      <c r="AN92" s="196"/>
      <c r="AO92" s="438"/>
      <c r="AP92" s="46"/>
      <c r="AQ92" s="368"/>
      <c r="AR92" s="257"/>
      <c r="AS92" s="196"/>
      <c r="AT92" s="46"/>
      <c r="AU92" s="46"/>
      <c r="AV92" s="196"/>
      <c r="AW92" s="257"/>
      <c r="AX92" s="196"/>
      <c r="AY92" s="191"/>
      <c r="AZ92" s="257"/>
      <c r="BA92" s="196"/>
      <c r="BB92" s="46"/>
      <c r="BC92" s="257"/>
      <c r="BD92" s="196"/>
      <c r="BE92" s="191"/>
      <c r="BF92" s="46"/>
      <c r="BG92" s="196"/>
      <c r="BH92" s="46"/>
      <c r="BI92" s="257"/>
      <c r="BJ92" s="196"/>
      <c r="BK92" s="191"/>
      <c r="BL92" s="257"/>
      <c r="BM92" s="196"/>
      <c r="BN92" s="46"/>
      <c r="BO92" s="257"/>
      <c r="BP92" s="196"/>
      <c r="BQ92" s="190"/>
      <c r="BR92" s="46"/>
      <c r="BS92" s="196"/>
      <c r="BT92" s="46"/>
      <c r="BU92" s="257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196"/>
      <c r="CI92" s="46"/>
      <c r="CJ92" s="46"/>
      <c r="CK92" s="46"/>
      <c r="CL92" s="46"/>
      <c r="CM92" s="46"/>
      <c r="CN92" s="196"/>
      <c r="CO92" s="191"/>
      <c r="CP92" s="257"/>
      <c r="CQ92" s="196"/>
      <c r="CR92" s="167"/>
      <c r="CS92" s="257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191"/>
      <c r="DN92" s="46"/>
      <c r="DO92" s="218"/>
      <c r="DP92" s="221" t="s">
        <v>869</v>
      </c>
      <c r="DQ92" s="257">
        <f>DW92+EC92+EJ92+ER92+EZ92+FH92+10000</f>
        <v>50000</v>
      </c>
      <c r="DR92" s="294"/>
      <c r="DS92" s="295"/>
      <c r="DT92" s="386">
        <f t="shared" si="10"/>
        <v>0</v>
      </c>
      <c r="DU92" s="41"/>
      <c r="DV92" s="41"/>
      <c r="DW92" s="256"/>
      <c r="DX92" s="41"/>
      <c r="DY92" s="41"/>
      <c r="DZ92" s="68"/>
      <c r="EA92" s="41"/>
      <c r="EB92" s="41"/>
      <c r="EC92" s="256"/>
      <c r="ED92" s="308"/>
      <c r="EE92" s="308"/>
      <c r="EF92" s="308"/>
      <c r="EG92" s="41"/>
      <c r="EH92" s="41"/>
      <c r="EI92" s="41"/>
      <c r="EJ92" s="69"/>
      <c r="EK92" s="308"/>
      <c r="EL92" s="308"/>
      <c r="EM92" s="308"/>
      <c r="EN92" s="308"/>
      <c r="EO92" s="41">
        <v>12</v>
      </c>
      <c r="EP92" s="41">
        <v>2</v>
      </c>
      <c r="EQ92" s="41">
        <v>1.2</v>
      </c>
      <c r="ER92" s="256">
        <v>40000</v>
      </c>
      <c r="ES92" s="293"/>
      <c r="ET92" s="293"/>
      <c r="EU92" s="293"/>
      <c r="EV92" s="293"/>
      <c r="EW92" s="41"/>
      <c r="EX92" s="41"/>
      <c r="EY92" s="41"/>
      <c r="EZ92" s="256"/>
      <c r="FA92" s="308"/>
      <c r="FB92" s="308"/>
      <c r="FC92" s="308"/>
      <c r="FD92" s="308"/>
      <c r="FE92" s="46"/>
      <c r="FF92" s="41"/>
      <c r="FG92" s="41"/>
      <c r="FH92" s="256"/>
      <c r="FI92" s="41"/>
      <c r="FJ92" s="41"/>
      <c r="FK92" s="41"/>
      <c r="FL92" s="276"/>
    </row>
    <row r="93" spans="1:168" s="28" customFormat="1">
      <c r="A93" s="45">
        <v>86</v>
      </c>
      <c r="B93" s="45" t="s">
        <v>210</v>
      </c>
      <c r="C93" s="45">
        <v>5</v>
      </c>
      <c r="D93" s="29" t="s">
        <v>91</v>
      </c>
      <c r="E93" s="30">
        <v>72</v>
      </c>
      <c r="F93" s="30">
        <v>5</v>
      </c>
      <c r="G93" s="246">
        <f>42993.72/1000</f>
        <v>42.993720000000003</v>
      </c>
      <c r="H93" s="45">
        <v>42993.72</v>
      </c>
      <c r="I93" s="45">
        <v>0</v>
      </c>
      <c r="J93" s="397">
        <v>-30.514999999999986</v>
      </c>
      <c r="K93" s="495">
        <f t="shared" si="11"/>
        <v>12.478720000000017</v>
      </c>
      <c r="L93" s="578"/>
      <c r="M93" s="45">
        <f t="shared" si="9"/>
        <v>0</v>
      </c>
      <c r="N93" s="46">
        <f t="shared" si="8"/>
        <v>12.478720000000017</v>
      </c>
      <c r="O93" s="46">
        <f t="shared" si="13"/>
        <v>12</v>
      </c>
      <c r="P93" s="234"/>
      <c r="Q93" s="46"/>
      <c r="R93" s="450"/>
      <c r="S93" s="257"/>
      <c r="T93" s="46"/>
      <c r="U93" s="46"/>
      <c r="V93" s="46"/>
      <c r="W93" s="46"/>
      <c r="X93" s="196"/>
      <c r="Y93" s="46"/>
      <c r="Z93" s="46"/>
      <c r="AA93" s="46"/>
      <c r="AB93" s="46"/>
      <c r="AC93" s="46"/>
      <c r="AD93" s="46"/>
      <c r="AE93" s="46"/>
      <c r="AF93" s="196"/>
      <c r="AG93" s="46"/>
      <c r="AH93" s="46"/>
      <c r="AI93" s="46"/>
      <c r="AJ93" s="46"/>
      <c r="AK93" s="46"/>
      <c r="AL93" s="46"/>
      <c r="AM93" s="46"/>
      <c r="AN93" s="196"/>
      <c r="AO93" s="438"/>
      <c r="AP93" s="46"/>
      <c r="AQ93" s="368"/>
      <c r="AR93" s="257"/>
      <c r="AS93" s="196"/>
      <c r="AT93" s="46"/>
      <c r="AU93" s="46"/>
      <c r="AV93" s="196"/>
      <c r="AW93" s="257"/>
      <c r="AX93" s="196"/>
      <c r="AY93" s="191"/>
      <c r="AZ93" s="257"/>
      <c r="BA93" s="196"/>
      <c r="BB93" s="46"/>
      <c r="BC93" s="257"/>
      <c r="BD93" s="196"/>
      <c r="BE93" s="191"/>
      <c r="BF93" s="46"/>
      <c r="BG93" s="196"/>
      <c r="BH93" s="46"/>
      <c r="BI93" s="257"/>
      <c r="BJ93" s="196"/>
      <c r="BK93" s="191"/>
      <c r="BL93" s="257"/>
      <c r="BM93" s="196"/>
      <c r="BN93" s="46"/>
      <c r="BO93" s="257"/>
      <c r="BP93" s="196"/>
      <c r="BQ93" s="190"/>
      <c r="BR93" s="46"/>
      <c r="BS93" s="196"/>
      <c r="BT93" s="46"/>
      <c r="BU93" s="257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196"/>
      <c r="CI93" s="46"/>
      <c r="CJ93" s="46"/>
      <c r="CK93" s="46"/>
      <c r="CL93" s="46"/>
      <c r="CM93" s="46"/>
      <c r="CN93" s="196"/>
      <c r="CO93" s="191"/>
      <c r="CP93" s="257"/>
      <c r="CQ93" s="196"/>
      <c r="CR93" s="167"/>
      <c r="CS93" s="257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191"/>
      <c r="DN93" s="46"/>
      <c r="DO93" s="196"/>
      <c r="DP93" s="221" t="s">
        <v>531</v>
      </c>
      <c r="DQ93" s="257">
        <f>DW93+EC93+EJ93+ER93+EZ93+FH93+12000</f>
        <v>12000</v>
      </c>
      <c r="DR93" s="294"/>
      <c r="DS93" s="295"/>
      <c r="DT93" s="386">
        <f t="shared" si="10"/>
        <v>0</v>
      </c>
      <c r="DU93" s="46"/>
      <c r="DV93" s="46"/>
      <c r="DW93" s="256"/>
      <c r="DX93" s="46"/>
      <c r="DY93" s="46"/>
      <c r="DZ93" s="46"/>
      <c r="EA93" s="46"/>
      <c r="EB93" s="46"/>
      <c r="EC93" s="256"/>
      <c r="ED93" s="308"/>
      <c r="EE93" s="308"/>
      <c r="EF93" s="308"/>
      <c r="EG93" s="46"/>
      <c r="EH93" s="46"/>
      <c r="EI93" s="46"/>
      <c r="EJ93" s="69"/>
      <c r="EK93" s="308"/>
      <c r="EL93" s="308"/>
      <c r="EM93" s="308"/>
      <c r="EN93" s="308"/>
      <c r="EO93" s="46"/>
      <c r="EP93" s="46"/>
      <c r="EQ93" s="46"/>
      <c r="ER93" s="256"/>
      <c r="ES93" s="293"/>
      <c r="ET93" s="293"/>
      <c r="EU93" s="293"/>
      <c r="EV93" s="293"/>
      <c r="EW93" s="46"/>
      <c r="EX93" s="46"/>
      <c r="EY93" s="46"/>
      <c r="EZ93" s="257"/>
      <c r="FA93" s="308"/>
      <c r="FB93" s="308"/>
      <c r="FC93" s="308"/>
      <c r="FD93" s="308"/>
      <c r="FE93" s="46"/>
      <c r="FF93" s="46"/>
      <c r="FG93" s="46"/>
      <c r="FH93" s="257"/>
      <c r="FI93" s="46"/>
      <c r="FJ93" s="46"/>
      <c r="FK93" s="46"/>
      <c r="FL93" s="257"/>
    </row>
    <row r="94" spans="1:168">
      <c r="A94" s="45">
        <v>87</v>
      </c>
      <c r="B94" s="45" t="s">
        <v>210</v>
      </c>
      <c r="C94" s="45">
        <v>5</v>
      </c>
      <c r="D94" s="29" t="s">
        <v>91</v>
      </c>
      <c r="E94" s="30" t="s">
        <v>95</v>
      </c>
      <c r="F94" s="30">
        <v>5</v>
      </c>
      <c r="G94" s="246">
        <f>78502.2084/1000</f>
        <v>78.502208400000001</v>
      </c>
      <c r="H94" s="45">
        <v>78502.208400000003</v>
      </c>
      <c r="I94" s="45">
        <v>0</v>
      </c>
      <c r="J94" s="397">
        <v>-5.5410599999999732</v>
      </c>
      <c r="K94" s="495">
        <f t="shared" si="11"/>
        <v>72.961148400000027</v>
      </c>
      <c r="L94" s="578"/>
      <c r="M94" s="45">
        <f t="shared" si="9"/>
        <v>0</v>
      </c>
      <c r="N94" s="46">
        <f t="shared" si="8"/>
        <v>72.961148400000027</v>
      </c>
      <c r="O94" s="46">
        <f t="shared" si="13"/>
        <v>65</v>
      </c>
      <c r="P94" s="234"/>
      <c r="Q94" s="46"/>
      <c r="R94" s="450"/>
      <c r="S94" s="257"/>
      <c r="T94" s="46"/>
      <c r="U94" s="46"/>
      <c r="V94" s="46"/>
      <c r="W94" s="46"/>
      <c r="X94" s="196"/>
      <c r="Y94" s="46"/>
      <c r="Z94" s="46"/>
      <c r="AA94" s="46"/>
      <c r="AB94" s="46"/>
      <c r="AC94" s="46"/>
      <c r="AD94" s="46"/>
      <c r="AE94" s="46"/>
      <c r="AF94" s="196"/>
      <c r="AG94" s="46"/>
      <c r="AH94" s="46"/>
      <c r="AI94" s="46"/>
      <c r="AJ94" s="46"/>
      <c r="AK94" s="46"/>
      <c r="AL94" s="46"/>
      <c r="AM94" s="46"/>
      <c r="AN94" s="196" t="s">
        <v>248</v>
      </c>
      <c r="AO94" s="438" t="s">
        <v>335</v>
      </c>
      <c r="AP94" s="46">
        <v>50</v>
      </c>
      <c r="AQ94" s="368">
        <v>18</v>
      </c>
      <c r="AR94" s="257">
        <f>AP94*1300</f>
        <v>65000</v>
      </c>
      <c r="AS94" s="196"/>
      <c r="AT94" s="46"/>
      <c r="AU94" s="46"/>
      <c r="AV94" s="196"/>
      <c r="AW94" s="257"/>
      <c r="AX94" s="196"/>
      <c r="AY94" s="191"/>
      <c r="AZ94" s="257"/>
      <c r="BA94" s="196"/>
      <c r="BB94" s="46"/>
      <c r="BC94" s="257"/>
      <c r="BD94" s="196"/>
      <c r="BE94" s="191"/>
      <c r="BF94" s="46"/>
      <c r="BG94" s="196"/>
      <c r="BH94" s="46"/>
      <c r="BI94" s="257"/>
      <c r="BJ94" s="196"/>
      <c r="BK94" s="191"/>
      <c r="BL94" s="257"/>
      <c r="BM94" s="196"/>
      <c r="BN94" s="46"/>
      <c r="BO94" s="257"/>
      <c r="BP94" s="196"/>
      <c r="BQ94" s="190"/>
      <c r="BR94" s="46"/>
      <c r="BS94" s="196"/>
      <c r="BT94" s="46"/>
      <c r="BU94" s="257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196"/>
      <c r="CI94" s="46"/>
      <c r="CJ94" s="46"/>
      <c r="CK94" s="46"/>
      <c r="CL94" s="46"/>
      <c r="CM94" s="46"/>
      <c r="CN94" s="196"/>
      <c r="CO94" s="191"/>
      <c r="CP94" s="257"/>
      <c r="CQ94" s="196"/>
      <c r="CR94" s="167"/>
      <c r="CS94" s="257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191"/>
      <c r="DN94" s="46"/>
      <c r="DO94" s="196"/>
      <c r="DP94" s="221"/>
      <c r="DQ94" s="257">
        <f t="shared" si="12"/>
        <v>0</v>
      </c>
      <c r="DR94" s="294"/>
      <c r="DS94" s="295"/>
      <c r="DT94" s="386">
        <f t="shared" si="10"/>
        <v>0</v>
      </c>
      <c r="DU94" s="41"/>
      <c r="DV94" s="41"/>
      <c r="DW94" s="256"/>
      <c r="DX94" s="41"/>
      <c r="DY94" s="41"/>
      <c r="DZ94" s="68"/>
      <c r="EA94" s="41"/>
      <c r="EB94" s="41"/>
      <c r="EC94" s="256"/>
      <c r="ED94" s="308"/>
      <c r="EE94" s="308"/>
      <c r="EF94" s="308"/>
      <c r="EG94" s="41"/>
      <c r="EH94" s="41"/>
      <c r="EI94" s="41"/>
      <c r="EJ94" s="69"/>
      <c r="EK94" s="308"/>
      <c r="EL94" s="308"/>
      <c r="EM94" s="308"/>
      <c r="EN94" s="308"/>
      <c r="EO94" s="41"/>
      <c r="EP94" s="41"/>
      <c r="EQ94" s="41"/>
      <c r="ER94" s="256"/>
      <c r="ES94" s="293"/>
      <c r="ET94" s="293"/>
      <c r="EU94" s="293"/>
      <c r="EV94" s="293"/>
      <c r="EW94" s="41"/>
      <c r="EX94" s="41"/>
      <c r="EY94" s="41"/>
      <c r="EZ94" s="256"/>
      <c r="FA94" s="308"/>
      <c r="FB94" s="308"/>
      <c r="FC94" s="308"/>
      <c r="FD94" s="308"/>
      <c r="FE94" s="46"/>
      <c r="FF94" s="41"/>
      <c r="FG94" s="41"/>
      <c r="FH94" s="256"/>
      <c r="FI94" s="60"/>
      <c r="FJ94" s="41"/>
      <c r="FK94" s="41"/>
      <c r="FL94" s="276"/>
    </row>
    <row r="95" spans="1:168">
      <c r="A95" s="45">
        <v>88</v>
      </c>
      <c r="B95" s="45" t="s">
        <v>210</v>
      </c>
      <c r="C95" s="45">
        <v>5</v>
      </c>
      <c r="D95" s="29" t="s">
        <v>96</v>
      </c>
      <c r="E95" s="30" t="s">
        <v>97</v>
      </c>
      <c r="F95" s="30">
        <v>5</v>
      </c>
      <c r="G95" s="246">
        <f>178502.94/1000</f>
        <v>178.50294</v>
      </c>
      <c r="H95" s="45">
        <v>178502.94</v>
      </c>
      <c r="I95" s="45">
        <v>0</v>
      </c>
      <c r="J95" s="397">
        <v>162.39603</v>
      </c>
      <c r="K95" s="495">
        <f t="shared" si="11"/>
        <v>340.89896999999996</v>
      </c>
      <c r="L95" s="578"/>
      <c r="M95" s="45">
        <f t="shared" si="9"/>
        <v>0</v>
      </c>
      <c r="N95" s="46">
        <f t="shared" si="8"/>
        <v>340.89896999999996</v>
      </c>
      <c r="O95" s="46">
        <f t="shared" si="13"/>
        <v>326</v>
      </c>
      <c r="P95" s="234" t="s">
        <v>254</v>
      </c>
      <c r="Q95" s="46">
        <v>1</v>
      </c>
      <c r="R95" s="450">
        <v>1</v>
      </c>
      <c r="S95" s="257">
        <v>90000</v>
      </c>
      <c r="T95" s="46"/>
      <c r="U95" s="46"/>
      <c r="V95" s="46"/>
      <c r="W95" s="46"/>
      <c r="X95" s="196"/>
      <c r="Y95" s="46"/>
      <c r="Z95" s="46"/>
      <c r="AA95" s="46"/>
      <c r="AB95" s="46"/>
      <c r="AC95" s="46"/>
      <c r="AD95" s="46"/>
      <c r="AE95" s="46"/>
      <c r="AF95" s="196"/>
      <c r="AG95" s="46"/>
      <c r="AH95" s="46"/>
      <c r="AI95" s="46"/>
      <c r="AJ95" s="46"/>
      <c r="AK95" s="46"/>
      <c r="AL95" s="46"/>
      <c r="AM95" s="46"/>
      <c r="AN95" s="196" t="s">
        <v>228</v>
      </c>
      <c r="AO95" s="438" t="s">
        <v>335</v>
      </c>
      <c r="AP95" s="46">
        <v>120</v>
      </c>
      <c r="AQ95" s="368" t="s">
        <v>552</v>
      </c>
      <c r="AR95" s="257">
        <f>AP95*1300</f>
        <v>156000</v>
      </c>
      <c r="AS95" s="196"/>
      <c r="AT95" s="46"/>
      <c r="AU95" s="46"/>
      <c r="AV95" s="196"/>
      <c r="AW95" s="257"/>
      <c r="AX95" s="196"/>
      <c r="AY95" s="191"/>
      <c r="AZ95" s="257"/>
      <c r="BA95" s="196"/>
      <c r="BB95" s="46"/>
      <c r="BC95" s="257"/>
      <c r="BD95" s="196"/>
      <c r="BE95" s="191"/>
      <c r="BF95" s="46"/>
      <c r="BG95" s="196"/>
      <c r="BH95" s="46"/>
      <c r="BI95" s="257"/>
      <c r="BJ95" s="196"/>
      <c r="BK95" s="191"/>
      <c r="BL95" s="257"/>
      <c r="BM95" s="196"/>
      <c r="BN95" s="46"/>
      <c r="BO95" s="257"/>
      <c r="BP95" s="196"/>
      <c r="BQ95" s="190"/>
      <c r="BR95" s="46"/>
      <c r="BS95" s="196"/>
      <c r="BT95" s="46"/>
      <c r="BU95" s="257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196"/>
      <c r="CI95" s="46"/>
      <c r="CJ95" s="46"/>
      <c r="CK95" s="46"/>
      <c r="CL95" s="46"/>
      <c r="CM95" s="46"/>
      <c r="CN95" s="196"/>
      <c r="CO95" s="191"/>
      <c r="CP95" s="257"/>
      <c r="CQ95" s="196"/>
      <c r="CR95" s="167"/>
      <c r="CS95" s="257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191"/>
      <c r="DN95" s="46"/>
      <c r="DO95" s="196"/>
      <c r="DP95" s="221" t="s">
        <v>870</v>
      </c>
      <c r="DQ95" s="257">
        <f t="shared" si="12"/>
        <v>80000</v>
      </c>
      <c r="DR95" s="294"/>
      <c r="DS95" s="295"/>
      <c r="DT95" s="386">
        <f t="shared" si="10"/>
        <v>0</v>
      </c>
      <c r="DU95" s="41"/>
      <c r="DV95" s="41"/>
      <c r="DW95" s="256"/>
      <c r="DX95" s="41"/>
      <c r="DY95" s="41"/>
      <c r="DZ95" s="68"/>
      <c r="EA95" s="41"/>
      <c r="EB95" s="41"/>
      <c r="EC95" s="256"/>
      <c r="ED95" s="308"/>
      <c r="EE95" s="308"/>
      <c r="EF95" s="308"/>
      <c r="EG95" s="41"/>
      <c r="EH95" s="41"/>
      <c r="EI95" s="41"/>
      <c r="EJ95" s="69"/>
      <c r="EK95" s="308"/>
      <c r="EL95" s="308"/>
      <c r="EM95" s="308"/>
      <c r="EN95" s="308"/>
      <c r="EO95" s="41"/>
      <c r="EP95" s="41"/>
      <c r="EQ95" s="41"/>
      <c r="ER95" s="256"/>
      <c r="ES95" s="293"/>
      <c r="ET95" s="293"/>
      <c r="EU95" s="293"/>
      <c r="EV95" s="293"/>
      <c r="EW95" s="41">
        <v>7</v>
      </c>
      <c r="EX95" s="41">
        <v>5</v>
      </c>
      <c r="EY95" s="41">
        <v>20</v>
      </c>
      <c r="EZ95" s="256">
        <v>80000</v>
      </c>
      <c r="FA95" s="308"/>
      <c r="FB95" s="308"/>
      <c r="FC95" s="308"/>
      <c r="FD95" s="308"/>
      <c r="FE95" s="46"/>
      <c r="FF95" s="41"/>
      <c r="FG95" s="41"/>
      <c r="FH95" s="256"/>
      <c r="FI95" s="41"/>
      <c r="FJ95" s="41"/>
      <c r="FK95" s="41"/>
      <c r="FL95" s="276"/>
    </row>
    <row r="96" spans="1:168">
      <c r="A96" s="45">
        <v>89</v>
      </c>
      <c r="B96" s="45" t="s">
        <v>210</v>
      </c>
      <c r="C96" s="45">
        <v>5</v>
      </c>
      <c r="D96" s="29" t="s">
        <v>98</v>
      </c>
      <c r="E96" s="30">
        <v>84</v>
      </c>
      <c r="F96" s="30">
        <v>5</v>
      </c>
      <c r="G96" s="246">
        <f>42461.496/1000</f>
        <v>42.461495999999997</v>
      </c>
      <c r="H96" s="45">
        <v>42461.495999999999</v>
      </c>
      <c r="I96" s="45">
        <v>0</v>
      </c>
      <c r="J96" s="397">
        <v>29.54542</v>
      </c>
      <c r="K96" s="495">
        <f t="shared" si="11"/>
        <v>72.00691599999999</v>
      </c>
      <c r="L96" s="578"/>
      <c r="M96" s="45">
        <f t="shared" si="9"/>
        <v>0</v>
      </c>
      <c r="N96" s="46">
        <f t="shared" si="8"/>
        <v>72.00691599999999</v>
      </c>
      <c r="O96" s="46">
        <f t="shared" si="13"/>
        <v>69.599999999999994</v>
      </c>
      <c r="P96" s="234"/>
      <c r="Q96" s="46">
        <v>1</v>
      </c>
      <c r="R96" s="450" t="s">
        <v>871</v>
      </c>
      <c r="S96" s="257">
        <v>20000</v>
      </c>
      <c r="T96" s="46"/>
      <c r="U96" s="46"/>
      <c r="V96" s="46"/>
      <c r="W96" s="46"/>
      <c r="X96" s="196"/>
      <c r="Y96" s="46"/>
      <c r="Z96" s="46"/>
      <c r="AA96" s="46"/>
      <c r="AB96" s="46"/>
      <c r="AC96" s="46"/>
      <c r="AD96" s="46"/>
      <c r="AE96" s="46"/>
      <c r="AF96" s="196"/>
      <c r="AG96" s="46"/>
      <c r="AH96" s="46"/>
      <c r="AI96" s="46"/>
      <c r="AJ96" s="46"/>
      <c r="AK96" s="46"/>
      <c r="AL96" s="46"/>
      <c r="AM96" s="46"/>
      <c r="AN96" s="196"/>
      <c r="AO96" s="438"/>
      <c r="AP96" s="46"/>
      <c r="AQ96" s="368"/>
      <c r="AR96" s="257"/>
      <c r="AS96" s="196"/>
      <c r="AT96" s="46"/>
      <c r="AU96" s="46"/>
      <c r="AV96" s="196"/>
      <c r="AW96" s="257"/>
      <c r="AX96" s="196"/>
      <c r="AY96" s="191"/>
      <c r="AZ96" s="257"/>
      <c r="BA96" s="196"/>
      <c r="BB96" s="46"/>
      <c r="BC96" s="257"/>
      <c r="BD96" s="196"/>
      <c r="BE96" s="191"/>
      <c r="BF96" s="46"/>
      <c r="BG96" s="196"/>
      <c r="BH96" s="46"/>
      <c r="BI96" s="257"/>
      <c r="BJ96" s="196"/>
      <c r="BK96" s="191"/>
      <c r="BL96" s="257"/>
      <c r="BM96" s="196"/>
      <c r="BN96" s="46"/>
      <c r="BO96" s="257"/>
      <c r="BP96" s="196"/>
      <c r="BQ96" s="190"/>
      <c r="BR96" s="46"/>
      <c r="BS96" s="196"/>
      <c r="BT96" s="46"/>
      <c r="BU96" s="257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196"/>
      <c r="CI96" s="46"/>
      <c r="CJ96" s="46"/>
      <c r="CK96" s="46"/>
      <c r="CL96" s="46"/>
      <c r="CM96" s="46"/>
      <c r="CN96" s="196"/>
      <c r="CO96" s="191"/>
      <c r="CP96" s="257"/>
      <c r="CQ96" s="196"/>
      <c r="CR96" s="167"/>
      <c r="CS96" s="257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191"/>
      <c r="DN96" s="46"/>
      <c r="DO96" s="196"/>
      <c r="DP96" s="221" t="s">
        <v>833</v>
      </c>
      <c r="DQ96" s="257">
        <f t="shared" si="12"/>
        <v>49600</v>
      </c>
      <c r="DR96" s="294"/>
      <c r="DS96" s="295"/>
      <c r="DT96" s="386">
        <f t="shared" si="10"/>
        <v>0</v>
      </c>
      <c r="DU96" s="41"/>
      <c r="DV96" s="41"/>
      <c r="DW96" s="256"/>
      <c r="DX96" s="41"/>
      <c r="DY96" s="41"/>
      <c r="DZ96" s="68"/>
      <c r="EA96" s="41">
        <v>8</v>
      </c>
      <c r="EB96" s="41">
        <v>62</v>
      </c>
      <c r="EC96" s="256">
        <f>EB96*800</f>
        <v>49600</v>
      </c>
      <c r="ED96" s="308"/>
      <c r="EE96" s="308"/>
      <c r="EF96" s="308"/>
      <c r="EG96" s="41"/>
      <c r="EH96" s="41"/>
      <c r="EI96" s="41"/>
      <c r="EJ96" s="69"/>
      <c r="EK96" s="308"/>
      <c r="EL96" s="308"/>
      <c r="EM96" s="308"/>
      <c r="EN96" s="308"/>
      <c r="EO96" s="41"/>
      <c r="EP96" s="41"/>
      <c r="EQ96" s="41"/>
      <c r="ER96" s="256"/>
      <c r="ES96" s="293"/>
      <c r="ET96" s="293"/>
      <c r="EU96" s="293"/>
      <c r="EV96" s="293"/>
      <c r="EW96" s="41"/>
      <c r="EX96" s="41"/>
      <c r="EY96" s="41"/>
      <c r="EZ96" s="256"/>
      <c r="FA96" s="308"/>
      <c r="FB96" s="308"/>
      <c r="FC96" s="308"/>
      <c r="FD96" s="308"/>
      <c r="FE96" s="46"/>
      <c r="FF96" s="41"/>
      <c r="FG96" s="41"/>
      <c r="FH96" s="256"/>
      <c r="FI96" s="41"/>
      <c r="FJ96" s="41"/>
      <c r="FK96" s="41"/>
      <c r="FL96" s="276"/>
    </row>
    <row r="97" spans="1:168">
      <c r="A97" s="45">
        <v>90</v>
      </c>
      <c r="B97" s="45" t="s">
        <v>210</v>
      </c>
      <c r="C97" s="45">
        <v>5</v>
      </c>
      <c r="D97" s="29" t="s">
        <v>98</v>
      </c>
      <c r="E97" s="30">
        <v>86</v>
      </c>
      <c r="F97" s="30">
        <v>7</v>
      </c>
      <c r="G97" s="246">
        <f>52509.618/1000</f>
        <v>52.509618000000003</v>
      </c>
      <c r="H97" s="45">
        <v>0</v>
      </c>
      <c r="I97" s="45">
        <v>52509.617999999995</v>
      </c>
      <c r="J97" s="397">
        <v>104.08626000000001</v>
      </c>
      <c r="K97" s="495">
        <f t="shared" si="11"/>
        <v>156.59587800000003</v>
      </c>
      <c r="L97" s="578"/>
      <c r="M97" s="45">
        <f t="shared" si="9"/>
        <v>0</v>
      </c>
      <c r="N97" s="46">
        <f t="shared" si="8"/>
        <v>156.59587800000003</v>
      </c>
      <c r="O97" s="46">
        <f t="shared" si="13"/>
        <v>145</v>
      </c>
      <c r="P97" s="234"/>
      <c r="Q97" s="46"/>
      <c r="R97" s="450"/>
      <c r="S97" s="257"/>
      <c r="T97" s="46"/>
      <c r="U97" s="46"/>
      <c r="V97" s="46"/>
      <c r="W97" s="46"/>
      <c r="X97" s="196"/>
      <c r="Y97" s="46"/>
      <c r="Z97" s="46"/>
      <c r="AA97" s="46"/>
      <c r="AB97" s="46"/>
      <c r="AC97" s="46"/>
      <c r="AD97" s="46"/>
      <c r="AE97" s="46"/>
      <c r="AF97" s="196"/>
      <c r="AG97" s="46"/>
      <c r="AH97" s="46"/>
      <c r="AI97" s="46"/>
      <c r="AJ97" s="46"/>
      <c r="AK97" s="46"/>
      <c r="AL97" s="46"/>
      <c r="AM97" s="46"/>
      <c r="AN97" s="196" t="s">
        <v>247</v>
      </c>
      <c r="AO97" s="438" t="s">
        <v>335</v>
      </c>
      <c r="AP97" s="46">
        <v>50</v>
      </c>
      <c r="AQ97" s="368" t="s">
        <v>250</v>
      </c>
      <c r="AR97" s="257">
        <f>AP97*1300</f>
        <v>65000</v>
      </c>
      <c r="AS97" s="196"/>
      <c r="AT97" s="46"/>
      <c r="AU97" s="46"/>
      <c r="AV97" s="196"/>
      <c r="AW97" s="257"/>
      <c r="AX97" s="196"/>
      <c r="AY97" s="191"/>
      <c r="AZ97" s="257"/>
      <c r="BA97" s="196"/>
      <c r="BB97" s="46"/>
      <c r="BC97" s="257"/>
      <c r="BD97" s="196"/>
      <c r="BE97" s="191"/>
      <c r="BF97" s="46"/>
      <c r="BG97" s="196"/>
      <c r="BH97" s="46"/>
      <c r="BI97" s="257"/>
      <c r="BJ97" s="196"/>
      <c r="BK97" s="191"/>
      <c r="BL97" s="257"/>
      <c r="BM97" s="196"/>
      <c r="BN97" s="46"/>
      <c r="BO97" s="257"/>
      <c r="BP97" s="196"/>
      <c r="BQ97" s="190"/>
      <c r="BR97" s="46"/>
      <c r="BS97" s="196"/>
      <c r="BT97" s="46"/>
      <c r="BU97" s="257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196"/>
      <c r="CI97" s="46"/>
      <c r="CJ97" s="46"/>
      <c r="CK97" s="46"/>
      <c r="CL97" s="46"/>
      <c r="CM97" s="46"/>
      <c r="CN97" s="196"/>
      <c r="CO97" s="190"/>
      <c r="CP97" s="257"/>
      <c r="CQ97" s="196"/>
      <c r="CR97" s="167"/>
      <c r="CS97" s="257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191"/>
      <c r="DN97" s="46"/>
      <c r="DO97" s="196"/>
      <c r="DP97" s="221" t="s">
        <v>870</v>
      </c>
      <c r="DQ97" s="257">
        <f t="shared" si="12"/>
        <v>80000</v>
      </c>
      <c r="DR97" s="294"/>
      <c r="DS97" s="295"/>
      <c r="DT97" s="386">
        <f t="shared" si="10"/>
        <v>0</v>
      </c>
      <c r="DU97" s="41"/>
      <c r="DV97" s="41"/>
      <c r="DW97" s="256"/>
      <c r="DX97" s="41"/>
      <c r="DY97" s="41"/>
      <c r="DZ97" s="68"/>
      <c r="EA97" s="41"/>
      <c r="EB97" s="41"/>
      <c r="EC97" s="256"/>
      <c r="ED97" s="308"/>
      <c r="EE97" s="308"/>
      <c r="EF97" s="308"/>
      <c r="EG97" s="41"/>
      <c r="EH97" s="41"/>
      <c r="EI97" s="41"/>
      <c r="EJ97" s="69"/>
      <c r="EK97" s="308"/>
      <c r="EL97" s="308"/>
      <c r="EM97" s="308"/>
      <c r="EN97" s="308"/>
      <c r="EO97" s="41"/>
      <c r="EP97" s="41"/>
      <c r="EQ97" s="41"/>
      <c r="ER97" s="256"/>
      <c r="ES97" s="293"/>
      <c r="ET97" s="293"/>
      <c r="EU97" s="293"/>
      <c r="EV97" s="293"/>
      <c r="EW97" s="41">
        <v>10</v>
      </c>
      <c r="EX97" s="41">
        <v>5</v>
      </c>
      <c r="EY97" s="41"/>
      <c r="EZ97" s="256">
        <v>80000</v>
      </c>
      <c r="FA97" s="308"/>
      <c r="FB97" s="308"/>
      <c r="FC97" s="308"/>
      <c r="FD97" s="308"/>
      <c r="FE97" s="41"/>
      <c r="FF97" s="41"/>
      <c r="FG97" s="41"/>
      <c r="FH97" s="256"/>
      <c r="FI97" s="41"/>
      <c r="FJ97" s="41"/>
      <c r="FK97" s="41"/>
      <c r="FL97" s="276"/>
    </row>
    <row r="98" spans="1:168">
      <c r="A98" s="45">
        <v>91</v>
      </c>
      <c r="B98" s="45" t="s">
        <v>210</v>
      </c>
      <c r="C98" s="45">
        <v>5</v>
      </c>
      <c r="D98" s="29" t="s">
        <v>98</v>
      </c>
      <c r="E98" s="30">
        <v>88</v>
      </c>
      <c r="F98" s="30">
        <v>7</v>
      </c>
      <c r="G98" s="246">
        <f>83831.328/1000</f>
        <v>83.831327999999999</v>
      </c>
      <c r="H98" s="45">
        <v>0</v>
      </c>
      <c r="I98" s="45">
        <v>83831.327999999994</v>
      </c>
      <c r="J98" s="397">
        <v>341.31013799999994</v>
      </c>
      <c r="K98" s="495">
        <f t="shared" si="11"/>
        <v>425.14146599999992</v>
      </c>
      <c r="L98" s="578"/>
      <c r="M98" s="45">
        <f t="shared" si="9"/>
        <v>0</v>
      </c>
      <c r="N98" s="46">
        <f t="shared" si="8"/>
        <v>425.14146599999992</v>
      </c>
      <c r="O98" s="46">
        <f t="shared" si="13"/>
        <v>425</v>
      </c>
      <c r="P98" s="234"/>
      <c r="Q98" s="46"/>
      <c r="R98" s="450"/>
      <c r="S98" s="257"/>
      <c r="T98" s="46"/>
      <c r="U98" s="46"/>
      <c r="V98" s="46"/>
      <c r="W98" s="46"/>
      <c r="X98" s="196"/>
      <c r="Y98" s="46"/>
      <c r="Z98" s="46"/>
      <c r="AA98" s="46"/>
      <c r="AB98" s="46"/>
      <c r="AC98" s="46"/>
      <c r="AD98" s="46"/>
      <c r="AE98" s="46"/>
      <c r="AF98" s="196"/>
      <c r="AG98" s="46"/>
      <c r="AH98" s="46"/>
      <c r="AI98" s="46"/>
      <c r="AJ98" s="46"/>
      <c r="AK98" s="46"/>
      <c r="AL98" s="46"/>
      <c r="AM98" s="46"/>
      <c r="AN98" s="196"/>
      <c r="AO98" s="438"/>
      <c r="AP98" s="46"/>
      <c r="AQ98" s="368"/>
      <c r="AR98" s="257"/>
      <c r="AS98" s="196"/>
      <c r="AT98" s="46"/>
      <c r="AU98" s="46"/>
      <c r="AV98" s="196"/>
      <c r="AW98" s="257"/>
      <c r="AX98" s="196"/>
      <c r="AY98" s="190"/>
      <c r="AZ98" s="257"/>
      <c r="BA98" s="196"/>
      <c r="BB98" s="46"/>
      <c r="BC98" s="257"/>
      <c r="BD98" s="196"/>
      <c r="BE98" s="191"/>
      <c r="BF98" s="46"/>
      <c r="BG98" s="196"/>
      <c r="BH98" s="46"/>
      <c r="BI98" s="257"/>
      <c r="BJ98" s="196"/>
      <c r="BK98" s="191"/>
      <c r="BL98" s="257"/>
      <c r="BM98" s="196"/>
      <c r="BN98" s="46"/>
      <c r="BO98" s="257"/>
      <c r="BP98" s="196"/>
      <c r="BQ98" s="190"/>
      <c r="BR98" s="46"/>
      <c r="BS98" s="196"/>
      <c r="BT98" s="46"/>
      <c r="BU98" s="257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196"/>
      <c r="CI98" s="46"/>
      <c r="CJ98" s="46"/>
      <c r="CK98" s="46"/>
      <c r="CL98" s="46"/>
      <c r="CM98" s="46"/>
      <c r="CN98" s="196"/>
      <c r="CO98" s="191"/>
      <c r="CP98" s="257"/>
      <c r="CQ98" s="196"/>
      <c r="CR98" s="167"/>
      <c r="CS98" s="257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191"/>
      <c r="DN98" s="46"/>
      <c r="DO98" s="196"/>
      <c r="DP98" s="221" t="s">
        <v>531</v>
      </c>
      <c r="DQ98" s="257">
        <f>DW98+EC98+EJ98+ER98+EZ98+FH98+425000</f>
        <v>425000</v>
      </c>
      <c r="DR98" s="294"/>
      <c r="DS98" s="295"/>
      <c r="DT98" s="386">
        <f t="shared" si="10"/>
        <v>0</v>
      </c>
      <c r="DU98" s="41"/>
      <c r="DV98" s="41"/>
      <c r="DW98" s="256"/>
      <c r="DX98" s="41"/>
      <c r="DY98" s="41"/>
      <c r="DZ98" s="68"/>
      <c r="EA98" s="41"/>
      <c r="EB98" s="41"/>
      <c r="EC98" s="256"/>
      <c r="ED98" s="308"/>
      <c r="EE98" s="308"/>
      <c r="EF98" s="308"/>
      <c r="EG98" s="41"/>
      <c r="EH98" s="41"/>
      <c r="EI98" s="41"/>
      <c r="EJ98" s="69"/>
      <c r="EK98" s="308"/>
      <c r="EL98" s="308"/>
      <c r="EM98" s="308"/>
      <c r="EN98" s="308"/>
      <c r="EO98" s="41"/>
      <c r="EP98" s="41"/>
      <c r="EQ98" s="41"/>
      <c r="ER98" s="256"/>
      <c r="ES98" s="293"/>
      <c r="ET98" s="293"/>
      <c r="EU98" s="293"/>
      <c r="EV98" s="293"/>
      <c r="EW98" s="41"/>
      <c r="EX98" s="41"/>
      <c r="EY98" s="41"/>
      <c r="EZ98" s="256"/>
      <c r="FA98" s="308"/>
      <c r="FB98" s="308"/>
      <c r="FC98" s="308"/>
      <c r="FD98" s="308"/>
      <c r="FE98" s="41"/>
      <c r="FF98" s="41"/>
      <c r="FG98" s="41"/>
      <c r="FH98" s="256"/>
      <c r="FI98" s="41"/>
      <c r="FJ98" s="41"/>
      <c r="FK98" s="41"/>
      <c r="FL98" s="276"/>
    </row>
    <row r="99" spans="1:168">
      <c r="A99" s="45">
        <v>92</v>
      </c>
      <c r="B99" s="45" t="s">
        <v>210</v>
      </c>
      <c r="C99" s="45">
        <v>5</v>
      </c>
      <c r="D99" s="29" t="s">
        <v>98</v>
      </c>
      <c r="E99" s="30" t="s">
        <v>99</v>
      </c>
      <c r="F99" s="30">
        <v>7</v>
      </c>
      <c r="G99" s="246">
        <f>53712.288/1000</f>
        <v>53.712288000000001</v>
      </c>
      <c r="H99" s="45">
        <v>0</v>
      </c>
      <c r="I99" s="45">
        <v>53712.288</v>
      </c>
      <c r="J99" s="397">
        <v>-13.007520000000024</v>
      </c>
      <c r="K99" s="495">
        <f t="shared" si="11"/>
        <v>40.704767999999973</v>
      </c>
      <c r="L99" s="578"/>
      <c r="M99" s="45">
        <f t="shared" si="9"/>
        <v>0</v>
      </c>
      <c r="N99" s="46">
        <f t="shared" si="8"/>
        <v>40.704767999999973</v>
      </c>
      <c r="O99" s="46">
        <f t="shared" si="13"/>
        <v>26</v>
      </c>
      <c r="P99" s="234"/>
      <c r="Q99" s="46"/>
      <c r="R99" s="450"/>
      <c r="S99" s="257"/>
      <c r="T99" s="46"/>
      <c r="U99" s="46"/>
      <c r="V99" s="46"/>
      <c r="W99" s="46"/>
      <c r="X99" s="196"/>
      <c r="Y99" s="46"/>
      <c r="Z99" s="46"/>
      <c r="AA99" s="46"/>
      <c r="AB99" s="46"/>
      <c r="AC99" s="46"/>
      <c r="AD99" s="46"/>
      <c r="AE99" s="46"/>
      <c r="AF99" s="196"/>
      <c r="AG99" s="46"/>
      <c r="AH99" s="46"/>
      <c r="AI99" s="46"/>
      <c r="AJ99" s="46"/>
      <c r="AK99" s="46"/>
      <c r="AL99" s="46"/>
      <c r="AM99" s="46"/>
      <c r="AN99" s="196" t="s">
        <v>248</v>
      </c>
      <c r="AO99" s="438" t="s">
        <v>335</v>
      </c>
      <c r="AP99" s="46">
        <v>20</v>
      </c>
      <c r="AQ99" s="368" t="s">
        <v>250</v>
      </c>
      <c r="AR99" s="257">
        <f>AP99*1300</f>
        <v>26000</v>
      </c>
      <c r="AS99" s="196"/>
      <c r="AT99" s="46"/>
      <c r="AU99" s="46"/>
      <c r="AV99" s="196"/>
      <c r="AW99" s="257"/>
      <c r="AX99" s="196"/>
      <c r="AY99" s="191"/>
      <c r="AZ99" s="257"/>
      <c r="BA99" s="196"/>
      <c r="BB99" s="46"/>
      <c r="BC99" s="257"/>
      <c r="BD99" s="196"/>
      <c r="BE99" s="191"/>
      <c r="BF99" s="46"/>
      <c r="BG99" s="196"/>
      <c r="BH99" s="46"/>
      <c r="BI99" s="257"/>
      <c r="BJ99" s="196"/>
      <c r="BK99" s="191"/>
      <c r="BL99" s="257"/>
      <c r="BM99" s="196"/>
      <c r="BN99" s="46"/>
      <c r="BO99" s="257"/>
      <c r="BP99" s="196"/>
      <c r="BQ99" s="190"/>
      <c r="BR99" s="46"/>
      <c r="BS99" s="196"/>
      <c r="BT99" s="46"/>
      <c r="BU99" s="257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196"/>
      <c r="CI99" s="46"/>
      <c r="CJ99" s="46"/>
      <c r="CK99" s="46"/>
      <c r="CL99" s="46"/>
      <c r="CM99" s="46"/>
      <c r="CN99" s="196"/>
      <c r="CO99" s="191"/>
      <c r="CP99" s="257"/>
      <c r="CQ99" s="196"/>
      <c r="CR99" s="167"/>
      <c r="CS99" s="257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191"/>
      <c r="DN99" s="46"/>
      <c r="DO99" s="196"/>
      <c r="DP99" s="221"/>
      <c r="DQ99" s="257">
        <f t="shared" si="12"/>
        <v>0</v>
      </c>
      <c r="DR99" s="296"/>
      <c r="DS99" s="295"/>
      <c r="DT99" s="386">
        <f t="shared" si="10"/>
        <v>0</v>
      </c>
      <c r="DU99" s="41"/>
      <c r="DV99" s="41"/>
      <c r="DW99" s="256"/>
      <c r="DX99" s="41"/>
      <c r="DY99" s="41"/>
      <c r="DZ99" s="68"/>
      <c r="EA99" s="41"/>
      <c r="EB99" s="41"/>
      <c r="EC99" s="256"/>
      <c r="ED99" s="308"/>
      <c r="EE99" s="308"/>
      <c r="EF99" s="308"/>
      <c r="EG99" s="41"/>
      <c r="EH99" s="41"/>
      <c r="EI99" s="41"/>
      <c r="EJ99" s="69"/>
      <c r="EK99" s="308"/>
      <c r="EL99" s="308"/>
      <c r="EM99" s="308"/>
      <c r="EN99" s="308"/>
      <c r="EO99" s="41"/>
      <c r="EP99" s="41"/>
      <c r="EQ99" s="41"/>
      <c r="ER99" s="256"/>
      <c r="ES99" s="293"/>
      <c r="ET99" s="293"/>
      <c r="EU99" s="293"/>
      <c r="EV99" s="293"/>
      <c r="EW99" s="41"/>
      <c r="EX99" s="41"/>
      <c r="EY99" s="41"/>
      <c r="EZ99" s="256"/>
      <c r="FA99" s="308"/>
      <c r="FB99" s="308"/>
      <c r="FC99" s="308"/>
      <c r="FD99" s="308"/>
      <c r="FE99" s="41"/>
      <c r="FF99" s="41"/>
      <c r="FG99" s="41"/>
      <c r="FH99" s="256"/>
      <c r="FI99" s="41"/>
      <c r="FJ99" s="41"/>
      <c r="FK99" s="41"/>
      <c r="FL99" s="276"/>
    </row>
    <row r="100" spans="1:168">
      <c r="A100" s="45">
        <v>93</v>
      </c>
      <c r="B100" s="45" t="s">
        <v>210</v>
      </c>
      <c r="C100" s="45">
        <v>5</v>
      </c>
      <c r="D100" s="29" t="s">
        <v>98</v>
      </c>
      <c r="E100" s="30" t="s">
        <v>100</v>
      </c>
      <c r="F100" s="30">
        <v>7</v>
      </c>
      <c r="G100" s="246">
        <f>53241.678/1000</f>
        <v>53.241678</v>
      </c>
      <c r="H100" s="45">
        <v>0</v>
      </c>
      <c r="I100" s="45">
        <v>53241.678000000007</v>
      </c>
      <c r="J100" s="397">
        <v>-98.154920000000033</v>
      </c>
      <c r="K100" s="495">
        <f t="shared" si="11"/>
        <v>-44.913242000000032</v>
      </c>
      <c r="L100" s="578"/>
      <c r="M100" s="45">
        <f t="shared" si="9"/>
        <v>0</v>
      </c>
      <c r="N100" s="46">
        <f t="shared" si="8"/>
        <v>-44.913242000000032</v>
      </c>
      <c r="O100" s="46">
        <f t="shared" si="13"/>
        <v>0</v>
      </c>
      <c r="P100" s="234"/>
      <c r="Q100" s="46"/>
      <c r="R100" s="450"/>
      <c r="S100" s="257"/>
      <c r="T100" s="46"/>
      <c r="U100" s="46"/>
      <c r="V100" s="46"/>
      <c r="W100" s="46"/>
      <c r="X100" s="196"/>
      <c r="Y100" s="46"/>
      <c r="Z100" s="46"/>
      <c r="AA100" s="46"/>
      <c r="AB100" s="46"/>
      <c r="AC100" s="46"/>
      <c r="AD100" s="46"/>
      <c r="AE100" s="46"/>
      <c r="AF100" s="196"/>
      <c r="AG100" s="46"/>
      <c r="AH100" s="46"/>
      <c r="AI100" s="46"/>
      <c r="AJ100" s="46"/>
      <c r="AK100" s="46"/>
      <c r="AL100" s="46"/>
      <c r="AM100" s="46"/>
      <c r="AN100" s="196"/>
      <c r="AO100" s="438"/>
      <c r="AP100" s="46"/>
      <c r="AQ100" s="368"/>
      <c r="AR100" s="257"/>
      <c r="AS100" s="196"/>
      <c r="AT100" s="46"/>
      <c r="AU100" s="46"/>
      <c r="AV100" s="196"/>
      <c r="AW100" s="257"/>
      <c r="AX100" s="196"/>
      <c r="AY100" s="191"/>
      <c r="AZ100" s="257"/>
      <c r="BA100" s="196"/>
      <c r="BB100" s="46"/>
      <c r="BC100" s="257"/>
      <c r="BD100" s="196"/>
      <c r="BE100" s="191"/>
      <c r="BF100" s="46"/>
      <c r="BG100" s="196"/>
      <c r="BH100" s="46"/>
      <c r="BI100" s="257"/>
      <c r="BJ100" s="196"/>
      <c r="BK100" s="191"/>
      <c r="BL100" s="257"/>
      <c r="BM100" s="196"/>
      <c r="BN100" s="46"/>
      <c r="BO100" s="257"/>
      <c r="BP100" s="196"/>
      <c r="BQ100" s="190"/>
      <c r="BR100" s="46"/>
      <c r="BS100" s="196"/>
      <c r="BT100" s="46"/>
      <c r="BU100" s="257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196"/>
      <c r="CI100" s="46"/>
      <c r="CJ100" s="46"/>
      <c r="CK100" s="46"/>
      <c r="CL100" s="46"/>
      <c r="CM100" s="46"/>
      <c r="CN100" s="196"/>
      <c r="CO100" s="191"/>
      <c r="CP100" s="257"/>
      <c r="CQ100" s="196"/>
      <c r="CR100" s="167"/>
      <c r="CS100" s="257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191"/>
      <c r="DN100" s="46"/>
      <c r="DO100" s="196"/>
      <c r="DP100" s="221"/>
      <c r="DQ100" s="257">
        <f t="shared" si="12"/>
        <v>0</v>
      </c>
      <c r="DR100" s="296"/>
      <c r="DS100" s="295"/>
      <c r="DT100" s="386">
        <f t="shared" si="10"/>
        <v>0</v>
      </c>
      <c r="DU100" s="41"/>
      <c r="DV100" s="41"/>
      <c r="DW100" s="256"/>
      <c r="DX100" s="41"/>
      <c r="DY100" s="41"/>
      <c r="DZ100" s="68"/>
      <c r="EA100" s="41"/>
      <c r="EB100" s="41"/>
      <c r="EC100" s="256"/>
      <c r="ED100" s="308"/>
      <c r="EE100" s="308"/>
      <c r="EF100" s="308"/>
      <c r="EG100" s="41"/>
      <c r="EH100" s="41"/>
      <c r="EI100" s="41"/>
      <c r="EJ100" s="69"/>
      <c r="EK100" s="308"/>
      <c r="EL100" s="308"/>
      <c r="EM100" s="308"/>
      <c r="EN100" s="308"/>
      <c r="EO100" s="41"/>
      <c r="EP100" s="41"/>
      <c r="EQ100" s="41"/>
      <c r="ER100" s="256"/>
      <c r="ES100" s="293"/>
      <c r="ET100" s="293"/>
      <c r="EU100" s="293"/>
      <c r="EV100" s="293"/>
      <c r="EW100" s="41"/>
      <c r="EX100" s="41"/>
      <c r="EY100" s="41"/>
      <c r="EZ100" s="256"/>
      <c r="FA100" s="308"/>
      <c r="FB100" s="308"/>
      <c r="FC100" s="308"/>
      <c r="FD100" s="308"/>
      <c r="FE100" s="41"/>
      <c r="FF100" s="41"/>
      <c r="FG100" s="41"/>
      <c r="FH100" s="256"/>
      <c r="FI100" s="41"/>
      <c r="FJ100" s="41"/>
      <c r="FK100" s="41"/>
      <c r="FL100" s="276"/>
    </row>
    <row r="101" spans="1:168" s="28" customFormat="1">
      <c r="A101" s="45">
        <v>94</v>
      </c>
      <c r="B101" s="45" t="s">
        <v>210</v>
      </c>
      <c r="C101" s="45">
        <v>5</v>
      </c>
      <c r="D101" s="29" t="s">
        <v>98</v>
      </c>
      <c r="E101" s="30">
        <v>90</v>
      </c>
      <c r="F101" s="30">
        <v>7</v>
      </c>
      <c r="G101" s="246">
        <f>67182.192/1000</f>
        <v>67.182192000000001</v>
      </c>
      <c r="H101" s="45">
        <v>0</v>
      </c>
      <c r="I101" s="45">
        <v>67182.191999999995</v>
      </c>
      <c r="J101" s="397">
        <v>105.72028800000001</v>
      </c>
      <c r="K101" s="495">
        <f t="shared" si="11"/>
        <v>172.90248000000003</v>
      </c>
      <c r="L101" s="578"/>
      <c r="M101" s="45">
        <f t="shared" si="9"/>
        <v>0</v>
      </c>
      <c r="N101" s="46">
        <f t="shared" si="8"/>
        <v>172.90248000000003</v>
      </c>
      <c r="O101" s="46">
        <f t="shared" si="13"/>
        <v>90</v>
      </c>
      <c r="P101" s="234" t="s">
        <v>249</v>
      </c>
      <c r="Q101" s="46">
        <v>1</v>
      </c>
      <c r="R101" s="450">
        <v>2</v>
      </c>
      <c r="S101" s="257">
        <v>90000</v>
      </c>
      <c r="T101" s="46"/>
      <c r="U101" s="46"/>
      <c r="V101" s="46"/>
      <c r="W101" s="46"/>
      <c r="X101" s="196"/>
      <c r="Y101" s="46"/>
      <c r="Z101" s="46"/>
      <c r="AA101" s="46"/>
      <c r="AB101" s="46"/>
      <c r="AC101" s="46"/>
      <c r="AD101" s="46"/>
      <c r="AE101" s="46"/>
      <c r="AF101" s="196"/>
      <c r="AG101" s="46"/>
      <c r="AH101" s="46"/>
      <c r="AI101" s="46"/>
      <c r="AJ101" s="46"/>
      <c r="AK101" s="46"/>
      <c r="AL101" s="46"/>
      <c r="AM101" s="46"/>
      <c r="AN101" s="196"/>
      <c r="AO101" s="438"/>
      <c r="AP101" s="46"/>
      <c r="AQ101" s="368"/>
      <c r="AR101" s="257"/>
      <c r="AS101" s="196"/>
      <c r="AT101" s="46"/>
      <c r="AU101" s="46"/>
      <c r="AV101" s="196"/>
      <c r="AW101" s="257"/>
      <c r="AX101" s="196"/>
      <c r="AY101" s="191"/>
      <c r="AZ101" s="257"/>
      <c r="BA101" s="196"/>
      <c r="BB101" s="46"/>
      <c r="BC101" s="257"/>
      <c r="BD101" s="196"/>
      <c r="BE101" s="191"/>
      <c r="BF101" s="46"/>
      <c r="BG101" s="196"/>
      <c r="BH101" s="46"/>
      <c r="BI101" s="257"/>
      <c r="BJ101" s="196"/>
      <c r="BK101" s="191"/>
      <c r="BL101" s="257"/>
      <c r="BM101" s="196"/>
      <c r="BN101" s="46"/>
      <c r="BO101" s="257"/>
      <c r="BP101" s="196"/>
      <c r="BQ101" s="190"/>
      <c r="BR101" s="46"/>
      <c r="BS101" s="196"/>
      <c r="BT101" s="46"/>
      <c r="BU101" s="257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196"/>
      <c r="CI101" s="46"/>
      <c r="CJ101" s="46"/>
      <c r="CK101" s="46"/>
      <c r="CL101" s="46"/>
      <c r="CM101" s="46"/>
      <c r="CN101" s="196"/>
      <c r="CO101" s="191"/>
      <c r="CP101" s="257"/>
      <c r="CQ101" s="196"/>
      <c r="CR101" s="167"/>
      <c r="CS101" s="257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191"/>
      <c r="DN101" s="46"/>
      <c r="DO101" s="196"/>
      <c r="DP101" s="221"/>
      <c r="DQ101" s="257">
        <f t="shared" si="12"/>
        <v>0</v>
      </c>
      <c r="DR101" s="294"/>
      <c r="DS101" s="295"/>
      <c r="DT101" s="386">
        <f t="shared" si="10"/>
        <v>0</v>
      </c>
      <c r="DU101" s="46"/>
      <c r="DV101" s="46"/>
      <c r="DW101" s="256"/>
      <c r="DX101" s="46"/>
      <c r="DY101" s="46"/>
      <c r="DZ101" s="46"/>
      <c r="EA101" s="46"/>
      <c r="EB101" s="46"/>
      <c r="EC101" s="257"/>
      <c r="ED101" s="308"/>
      <c r="EE101" s="308"/>
      <c r="EF101" s="308"/>
      <c r="EG101" s="46"/>
      <c r="EH101" s="46"/>
      <c r="EI101" s="46"/>
      <c r="EJ101" s="46"/>
      <c r="EK101" s="308"/>
      <c r="EL101" s="308"/>
      <c r="EM101" s="308"/>
      <c r="EN101" s="308"/>
      <c r="EO101" s="46"/>
      <c r="EP101" s="46"/>
      <c r="EQ101" s="46"/>
      <c r="ER101" s="257"/>
      <c r="ES101" s="293"/>
      <c r="ET101" s="293"/>
      <c r="EU101" s="293"/>
      <c r="EV101" s="293"/>
      <c r="EW101" s="46"/>
      <c r="EX101" s="46"/>
      <c r="EY101" s="46"/>
      <c r="EZ101" s="257"/>
      <c r="FA101" s="308"/>
      <c r="FB101" s="308"/>
      <c r="FC101" s="308"/>
      <c r="FD101" s="308"/>
      <c r="FE101" s="46"/>
      <c r="FF101" s="46"/>
      <c r="FG101" s="46"/>
      <c r="FH101" s="257"/>
      <c r="FI101" s="46"/>
      <c r="FJ101" s="46"/>
      <c r="FK101" s="46"/>
      <c r="FL101" s="257"/>
    </row>
    <row r="102" spans="1:168">
      <c r="A102" s="45">
        <v>95</v>
      </c>
      <c r="B102" s="45" t="s">
        <v>210</v>
      </c>
      <c r="C102" s="45">
        <v>5</v>
      </c>
      <c r="D102" s="29" t="s">
        <v>98</v>
      </c>
      <c r="E102" s="30" t="s">
        <v>101</v>
      </c>
      <c r="F102" s="30">
        <v>7</v>
      </c>
      <c r="G102" s="246">
        <f>53388.09/1000</f>
        <v>53.388089999999998</v>
      </c>
      <c r="H102" s="45">
        <v>0</v>
      </c>
      <c r="I102" s="45">
        <v>53388.09</v>
      </c>
      <c r="J102" s="397">
        <v>-14.387419999999977</v>
      </c>
      <c r="K102" s="495">
        <f t="shared" si="11"/>
        <v>39.000670000000021</v>
      </c>
      <c r="L102" s="578"/>
      <c r="M102" s="45">
        <f t="shared" si="9"/>
        <v>0</v>
      </c>
      <c r="N102" s="46">
        <f t="shared" si="8"/>
        <v>39.000670000000021</v>
      </c>
      <c r="O102" s="46">
        <f t="shared" si="13"/>
        <v>32.5</v>
      </c>
      <c r="P102" s="234"/>
      <c r="Q102" s="46"/>
      <c r="R102" s="450"/>
      <c r="S102" s="257"/>
      <c r="T102" s="46"/>
      <c r="U102" s="46"/>
      <c r="V102" s="46"/>
      <c r="W102" s="46"/>
      <c r="X102" s="196"/>
      <c r="Y102" s="46"/>
      <c r="Z102" s="46"/>
      <c r="AA102" s="46"/>
      <c r="AB102" s="46"/>
      <c r="AC102" s="46"/>
      <c r="AD102" s="46"/>
      <c r="AE102" s="46"/>
      <c r="AF102" s="196"/>
      <c r="AG102" s="46"/>
      <c r="AH102" s="46"/>
      <c r="AI102" s="46"/>
      <c r="AJ102" s="46"/>
      <c r="AK102" s="46"/>
      <c r="AL102" s="46"/>
      <c r="AM102" s="46"/>
      <c r="AN102" s="196" t="s">
        <v>248</v>
      </c>
      <c r="AO102" s="438" t="s">
        <v>335</v>
      </c>
      <c r="AP102" s="46">
        <v>25</v>
      </c>
      <c r="AQ102" s="368" t="s">
        <v>872</v>
      </c>
      <c r="AR102" s="257">
        <f>AP102*1300</f>
        <v>32500</v>
      </c>
      <c r="AS102" s="196"/>
      <c r="AT102" s="46"/>
      <c r="AU102" s="46"/>
      <c r="AV102" s="196"/>
      <c r="AW102" s="257"/>
      <c r="AX102" s="196"/>
      <c r="AY102" s="191"/>
      <c r="AZ102" s="257"/>
      <c r="BA102" s="196"/>
      <c r="BB102" s="46"/>
      <c r="BC102" s="257"/>
      <c r="BD102" s="196"/>
      <c r="BE102" s="191"/>
      <c r="BF102" s="46"/>
      <c r="BG102" s="196"/>
      <c r="BH102" s="46"/>
      <c r="BI102" s="257"/>
      <c r="BJ102" s="196"/>
      <c r="BK102" s="191"/>
      <c r="BL102" s="257"/>
      <c r="BM102" s="196"/>
      <c r="BN102" s="46"/>
      <c r="BO102" s="257"/>
      <c r="BP102" s="196"/>
      <c r="BQ102" s="190"/>
      <c r="BR102" s="46"/>
      <c r="BS102" s="196"/>
      <c r="BT102" s="46"/>
      <c r="BU102" s="257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196"/>
      <c r="CI102" s="46"/>
      <c r="CJ102" s="46"/>
      <c r="CK102" s="46"/>
      <c r="CL102" s="46"/>
      <c r="CM102" s="46"/>
      <c r="CN102" s="196"/>
      <c r="CO102" s="191"/>
      <c r="CP102" s="257"/>
      <c r="CQ102" s="196"/>
      <c r="CR102" s="167"/>
      <c r="CS102" s="257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191"/>
      <c r="DN102" s="46"/>
      <c r="DO102" s="196"/>
      <c r="DP102" s="221"/>
      <c r="DQ102" s="257">
        <f t="shared" si="12"/>
        <v>0</v>
      </c>
      <c r="DR102" s="294"/>
      <c r="DS102" s="295"/>
      <c r="DT102" s="386">
        <f t="shared" si="10"/>
        <v>0</v>
      </c>
      <c r="DU102" s="41"/>
      <c r="DV102" s="41"/>
      <c r="DW102" s="256"/>
      <c r="DX102" s="41"/>
      <c r="DY102" s="41"/>
      <c r="DZ102" s="68"/>
      <c r="EA102" s="41"/>
      <c r="EB102" s="41"/>
      <c r="EC102" s="256"/>
      <c r="ED102" s="308"/>
      <c r="EE102" s="308"/>
      <c r="EF102" s="308"/>
      <c r="EG102" s="41"/>
      <c r="EH102" s="41"/>
      <c r="EI102" s="41"/>
      <c r="EJ102" s="69"/>
      <c r="EK102" s="308"/>
      <c r="EL102" s="308"/>
      <c r="EM102" s="308"/>
      <c r="EN102" s="308"/>
      <c r="EO102" s="41"/>
      <c r="EP102" s="41"/>
      <c r="EQ102" s="41"/>
      <c r="ER102" s="256"/>
      <c r="ES102" s="293"/>
      <c r="ET102" s="293"/>
      <c r="EU102" s="293"/>
      <c r="EV102" s="293"/>
      <c r="EW102" s="41"/>
      <c r="EX102" s="41"/>
      <c r="EY102" s="41"/>
      <c r="EZ102" s="256"/>
      <c r="FA102" s="308"/>
      <c r="FB102" s="308"/>
      <c r="FC102" s="308"/>
      <c r="FD102" s="308"/>
      <c r="FE102" s="41"/>
      <c r="FF102" s="41"/>
      <c r="FG102" s="41"/>
      <c r="FH102" s="256"/>
      <c r="FI102" s="41"/>
      <c r="FJ102" s="41"/>
      <c r="FK102" s="41"/>
      <c r="FL102" s="276"/>
    </row>
    <row r="103" spans="1:168">
      <c r="A103" s="45">
        <v>96</v>
      </c>
      <c r="B103" s="45" t="s">
        <v>210</v>
      </c>
      <c r="C103" s="45">
        <v>5</v>
      </c>
      <c r="D103" s="29" t="s">
        <v>98</v>
      </c>
      <c r="E103" s="30" t="s">
        <v>102</v>
      </c>
      <c r="F103" s="30">
        <v>7</v>
      </c>
      <c r="G103" s="246">
        <f>53900.532/1000</f>
        <v>53.900531999999998</v>
      </c>
      <c r="H103" s="45">
        <v>0</v>
      </c>
      <c r="I103" s="45">
        <v>53900.531999999992</v>
      </c>
      <c r="J103" s="397">
        <v>87.141129999999976</v>
      </c>
      <c r="K103" s="495">
        <f t="shared" si="11"/>
        <v>141.04166199999997</v>
      </c>
      <c r="L103" s="578"/>
      <c r="M103" s="45">
        <f t="shared" si="9"/>
        <v>0</v>
      </c>
      <c r="N103" s="46">
        <f t="shared" si="8"/>
        <v>141.04166199999997</v>
      </c>
      <c r="O103" s="46">
        <f t="shared" si="13"/>
        <v>129</v>
      </c>
      <c r="P103" s="234"/>
      <c r="Q103" s="46">
        <v>1</v>
      </c>
      <c r="R103" s="450">
        <v>1</v>
      </c>
      <c r="S103" s="257">
        <v>90000</v>
      </c>
      <c r="T103" s="46"/>
      <c r="U103" s="46"/>
      <c r="V103" s="46"/>
      <c r="W103" s="46"/>
      <c r="X103" s="196"/>
      <c r="Y103" s="46"/>
      <c r="Z103" s="46"/>
      <c r="AA103" s="46"/>
      <c r="AB103" s="46"/>
      <c r="AC103" s="46"/>
      <c r="AD103" s="46"/>
      <c r="AE103" s="46"/>
      <c r="AF103" s="196"/>
      <c r="AG103" s="46"/>
      <c r="AH103" s="46"/>
      <c r="AI103" s="46"/>
      <c r="AJ103" s="46"/>
      <c r="AK103" s="46"/>
      <c r="AL103" s="46"/>
      <c r="AM103" s="46"/>
      <c r="AN103" s="196" t="s">
        <v>227</v>
      </c>
      <c r="AO103" s="438" t="s">
        <v>335</v>
      </c>
      <c r="AP103" s="46">
        <v>30</v>
      </c>
      <c r="AQ103" s="368" t="s">
        <v>873</v>
      </c>
      <c r="AR103" s="257">
        <f>AP103*1300</f>
        <v>39000</v>
      </c>
      <c r="AS103" s="196"/>
      <c r="AT103" s="46"/>
      <c r="AU103" s="46"/>
      <c r="AV103" s="196"/>
      <c r="AW103" s="257"/>
      <c r="AX103" s="196"/>
      <c r="AY103" s="191"/>
      <c r="AZ103" s="257"/>
      <c r="BA103" s="196"/>
      <c r="BB103" s="46"/>
      <c r="BC103" s="257"/>
      <c r="BD103" s="196"/>
      <c r="BE103" s="191"/>
      <c r="BF103" s="46"/>
      <c r="BG103" s="196"/>
      <c r="BH103" s="46"/>
      <c r="BI103" s="257"/>
      <c r="BJ103" s="196"/>
      <c r="BK103" s="191"/>
      <c r="BL103" s="257"/>
      <c r="BM103" s="196"/>
      <c r="BN103" s="46"/>
      <c r="BO103" s="257"/>
      <c r="BP103" s="196"/>
      <c r="BQ103" s="190"/>
      <c r="BR103" s="257"/>
      <c r="BS103" s="196"/>
      <c r="BT103" s="46"/>
      <c r="BU103" s="257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196"/>
      <c r="CI103" s="46"/>
      <c r="CJ103" s="257"/>
      <c r="CK103" s="46"/>
      <c r="CL103" s="46"/>
      <c r="CM103" s="46"/>
      <c r="CN103" s="196"/>
      <c r="CO103" s="191"/>
      <c r="CP103" s="257"/>
      <c r="CQ103" s="196"/>
      <c r="CR103" s="167"/>
      <c r="CS103" s="257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191"/>
      <c r="DN103" s="46"/>
      <c r="DO103" s="196"/>
      <c r="DP103" s="221"/>
      <c r="DQ103" s="257">
        <f t="shared" si="12"/>
        <v>0</v>
      </c>
      <c r="DR103" s="294"/>
      <c r="DS103" s="295"/>
      <c r="DT103" s="386">
        <f t="shared" si="10"/>
        <v>0</v>
      </c>
      <c r="DU103" s="41"/>
      <c r="DV103" s="41"/>
      <c r="DW103" s="256"/>
      <c r="DX103" s="41"/>
      <c r="DY103" s="41"/>
      <c r="DZ103" s="68"/>
      <c r="EA103" s="41"/>
      <c r="EB103" s="41"/>
      <c r="EC103" s="256"/>
      <c r="ED103" s="308"/>
      <c r="EE103" s="308"/>
      <c r="EF103" s="308"/>
      <c r="EG103" s="41"/>
      <c r="EH103" s="41"/>
      <c r="EI103" s="41"/>
      <c r="EJ103" s="69"/>
      <c r="EK103" s="308"/>
      <c r="EL103" s="308"/>
      <c r="EM103" s="308"/>
      <c r="EN103" s="308"/>
      <c r="EO103" s="41"/>
      <c r="EP103" s="41"/>
      <c r="EQ103" s="41"/>
      <c r="ER103" s="256"/>
      <c r="ES103" s="293"/>
      <c r="ET103" s="293"/>
      <c r="EU103" s="293"/>
      <c r="EV103" s="293"/>
      <c r="EW103" s="41"/>
      <c r="EX103" s="41"/>
      <c r="EY103" s="41"/>
      <c r="EZ103" s="256"/>
      <c r="FA103" s="308"/>
      <c r="FB103" s="308"/>
      <c r="FC103" s="308"/>
      <c r="FD103" s="308"/>
      <c r="FE103" s="41"/>
      <c r="FF103" s="41"/>
      <c r="FG103" s="41"/>
      <c r="FH103" s="256"/>
      <c r="FI103" s="41"/>
      <c r="FJ103" s="41"/>
      <c r="FK103" s="41"/>
      <c r="FL103" s="276"/>
    </row>
    <row r="104" spans="1:168">
      <c r="A104" s="45">
        <v>97</v>
      </c>
      <c r="B104" s="45" t="s">
        <v>210</v>
      </c>
      <c r="C104" s="45">
        <v>5</v>
      </c>
      <c r="D104" s="29" t="s">
        <v>98</v>
      </c>
      <c r="E104" s="30">
        <v>92</v>
      </c>
      <c r="F104" s="30">
        <v>7</v>
      </c>
      <c r="G104" s="246">
        <f>53388.09/1000</f>
        <v>53.388089999999998</v>
      </c>
      <c r="H104" s="45">
        <v>0</v>
      </c>
      <c r="I104" s="45">
        <v>53388.09</v>
      </c>
      <c r="J104" s="397">
        <v>39.604220000000019</v>
      </c>
      <c r="K104" s="495">
        <f t="shared" si="11"/>
        <v>92.992310000000018</v>
      </c>
      <c r="L104" s="578"/>
      <c r="M104" s="45">
        <f t="shared" si="9"/>
        <v>0</v>
      </c>
      <c r="N104" s="46">
        <f t="shared" si="8"/>
        <v>92.992310000000018</v>
      </c>
      <c r="O104" s="46">
        <f t="shared" si="13"/>
        <v>83.8</v>
      </c>
      <c r="P104" s="234"/>
      <c r="Q104" s="46"/>
      <c r="R104" s="450"/>
      <c r="S104" s="257"/>
      <c r="T104" s="46"/>
      <c r="U104" s="46"/>
      <c r="V104" s="46"/>
      <c r="W104" s="46"/>
      <c r="X104" s="196"/>
      <c r="Y104" s="46"/>
      <c r="Z104" s="46"/>
      <c r="AA104" s="46"/>
      <c r="AB104" s="46"/>
      <c r="AC104" s="46"/>
      <c r="AD104" s="46"/>
      <c r="AE104" s="46"/>
      <c r="AF104" s="196"/>
      <c r="AG104" s="46"/>
      <c r="AH104" s="46"/>
      <c r="AI104" s="46"/>
      <c r="AJ104" s="46"/>
      <c r="AK104" s="46"/>
      <c r="AL104" s="46"/>
      <c r="AM104" s="46"/>
      <c r="AN104" s="196" t="s">
        <v>248</v>
      </c>
      <c r="AO104" s="438" t="s">
        <v>335</v>
      </c>
      <c r="AP104" s="46">
        <v>26</v>
      </c>
      <c r="AQ104" s="368" t="s">
        <v>874</v>
      </c>
      <c r="AR104" s="257">
        <f>AP104*1300</f>
        <v>33800</v>
      </c>
      <c r="AS104" s="196"/>
      <c r="AT104" s="46"/>
      <c r="AU104" s="46"/>
      <c r="AV104" s="196"/>
      <c r="AW104" s="257"/>
      <c r="AX104" s="196"/>
      <c r="AY104" s="191"/>
      <c r="AZ104" s="257"/>
      <c r="BA104" s="196"/>
      <c r="BB104" s="46"/>
      <c r="BC104" s="257"/>
      <c r="BD104" s="196"/>
      <c r="BE104" s="191"/>
      <c r="BF104" s="46"/>
      <c r="BG104" s="196"/>
      <c r="BH104" s="46"/>
      <c r="BI104" s="257"/>
      <c r="BJ104" s="196"/>
      <c r="BK104" s="190"/>
      <c r="BL104" s="257"/>
      <c r="BM104" s="196"/>
      <c r="BN104" s="46"/>
      <c r="BO104" s="257"/>
      <c r="BP104" s="196"/>
      <c r="BQ104" s="190"/>
      <c r="BR104" s="46"/>
      <c r="BS104" s="196"/>
      <c r="BT104" s="46"/>
      <c r="BU104" s="257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196"/>
      <c r="CI104" s="46"/>
      <c r="CJ104" s="46"/>
      <c r="CK104" s="46"/>
      <c r="CL104" s="46"/>
      <c r="CM104" s="46"/>
      <c r="CN104" s="196"/>
      <c r="CO104" s="191"/>
      <c r="CP104" s="257"/>
      <c r="CQ104" s="196"/>
      <c r="CR104" s="167"/>
      <c r="CS104" s="257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191"/>
      <c r="DN104" s="46"/>
      <c r="DO104" s="196"/>
      <c r="DP104" s="221" t="s">
        <v>850</v>
      </c>
      <c r="DQ104" s="257">
        <f t="shared" si="12"/>
        <v>50000</v>
      </c>
      <c r="DR104" s="294"/>
      <c r="DS104" s="295"/>
      <c r="DT104" s="386">
        <f t="shared" si="10"/>
        <v>0</v>
      </c>
      <c r="DU104" s="41">
        <v>7</v>
      </c>
      <c r="DV104" s="41">
        <v>2</v>
      </c>
      <c r="DW104" s="256">
        <f>50000</f>
        <v>50000</v>
      </c>
      <c r="DX104" s="41"/>
      <c r="DY104" s="41"/>
      <c r="DZ104" s="68"/>
      <c r="EA104" s="41"/>
      <c r="EB104" s="41"/>
      <c r="EC104" s="256"/>
      <c r="ED104" s="308"/>
      <c r="EE104" s="308"/>
      <c r="EF104" s="308"/>
      <c r="EG104" s="41"/>
      <c r="EH104" s="41"/>
      <c r="EI104" s="41"/>
      <c r="EJ104" s="69"/>
      <c r="EK104" s="308"/>
      <c r="EL104" s="308"/>
      <c r="EM104" s="308"/>
      <c r="EN104" s="308"/>
      <c r="EO104" s="41"/>
      <c r="EP104" s="41"/>
      <c r="EQ104" s="41"/>
      <c r="ER104" s="256"/>
      <c r="ES104" s="293"/>
      <c r="ET104" s="293"/>
      <c r="EU104" s="293"/>
      <c r="EV104" s="293"/>
      <c r="EW104" s="41"/>
      <c r="EX104" s="41"/>
      <c r="EY104" s="41"/>
      <c r="EZ104" s="256"/>
      <c r="FA104" s="308"/>
      <c r="FB104" s="308"/>
      <c r="FC104" s="308"/>
      <c r="FD104" s="308"/>
      <c r="FE104" s="41"/>
      <c r="FF104" s="41"/>
      <c r="FG104" s="41"/>
      <c r="FH104" s="256"/>
      <c r="FI104" s="41"/>
      <c r="FJ104" s="41"/>
      <c r="FK104" s="41"/>
      <c r="FL104" s="276"/>
    </row>
    <row r="105" spans="1:168" ht="20.25">
      <c r="A105" s="45">
        <v>98</v>
      </c>
      <c r="B105" s="45" t="s">
        <v>210</v>
      </c>
      <c r="C105" s="45">
        <v>5</v>
      </c>
      <c r="D105" s="29" t="s">
        <v>497</v>
      </c>
      <c r="E105" s="175">
        <v>94</v>
      </c>
      <c r="F105" s="188">
        <v>7</v>
      </c>
      <c r="G105" s="246">
        <f>53544.96/1000</f>
        <v>53.544959999999996</v>
      </c>
      <c r="H105" s="45">
        <v>0</v>
      </c>
      <c r="I105" s="45">
        <v>53544.959999999999</v>
      </c>
      <c r="J105" s="397">
        <v>55.704040000000013</v>
      </c>
      <c r="K105" s="495">
        <f t="shared" si="11"/>
        <v>109.24900000000001</v>
      </c>
      <c r="L105" s="578"/>
      <c r="M105" s="45">
        <f t="shared" si="9"/>
        <v>0</v>
      </c>
      <c r="N105" s="46">
        <f>K105-M105</f>
        <v>109.24900000000001</v>
      </c>
      <c r="O105" s="46">
        <f t="shared" si="13"/>
        <v>95</v>
      </c>
      <c r="P105" s="234"/>
      <c r="Q105" s="46">
        <v>1</v>
      </c>
      <c r="R105" s="450">
        <v>1</v>
      </c>
      <c r="S105" s="257">
        <v>90000</v>
      </c>
      <c r="T105" s="46"/>
      <c r="U105" s="46"/>
      <c r="V105" s="46"/>
      <c r="W105" s="46"/>
      <c r="X105" s="196"/>
      <c r="Y105" s="46"/>
      <c r="Z105" s="46"/>
      <c r="AA105" s="46"/>
      <c r="AB105" s="46"/>
      <c r="AC105" s="46"/>
      <c r="AD105" s="46"/>
      <c r="AE105" s="46"/>
      <c r="AF105" s="196"/>
      <c r="AG105" s="46"/>
      <c r="AH105" s="46"/>
      <c r="AI105" s="46"/>
      <c r="AJ105" s="46"/>
      <c r="AK105" s="46"/>
      <c r="AL105" s="46"/>
      <c r="AM105" s="46"/>
      <c r="AN105" s="196"/>
      <c r="AO105" s="438"/>
      <c r="AP105" s="46"/>
      <c r="AQ105" s="368"/>
      <c r="AR105" s="257"/>
      <c r="AS105" s="196"/>
      <c r="AT105" s="46"/>
      <c r="AU105" s="46"/>
      <c r="AV105" s="196"/>
      <c r="AW105" s="257"/>
      <c r="AX105" s="196"/>
      <c r="AY105" s="191"/>
      <c r="AZ105" s="257"/>
      <c r="BA105" s="196"/>
      <c r="BB105" s="46"/>
      <c r="BC105" s="257"/>
      <c r="BD105" s="196"/>
      <c r="BE105" s="191"/>
      <c r="BF105" s="46"/>
      <c r="BG105" s="196"/>
      <c r="BH105" s="46"/>
      <c r="BI105" s="257"/>
      <c r="BJ105" s="196"/>
      <c r="BK105" s="190"/>
      <c r="BL105" s="257"/>
      <c r="BM105" s="196"/>
      <c r="BN105" s="46"/>
      <c r="BO105" s="257"/>
      <c r="BP105" s="196"/>
      <c r="BQ105" s="190"/>
      <c r="BR105" s="46"/>
      <c r="BS105" s="196"/>
      <c r="BT105" s="46"/>
      <c r="BU105" s="257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196"/>
      <c r="CI105" s="46"/>
      <c r="CJ105" s="46"/>
      <c r="CK105" s="46"/>
      <c r="CL105" s="46"/>
      <c r="CM105" s="46"/>
      <c r="CN105" s="196"/>
      <c r="CO105" s="191"/>
      <c r="CP105" s="257"/>
      <c r="CQ105" s="196"/>
      <c r="CR105" s="167"/>
      <c r="CS105" s="257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191"/>
      <c r="DN105" s="46"/>
      <c r="DO105" s="196"/>
      <c r="DP105" s="221" t="s">
        <v>875</v>
      </c>
      <c r="DQ105" s="257">
        <f>DW105+EC105+EJ105+ER105+EZ105+FH105+5000</f>
        <v>5000</v>
      </c>
      <c r="DR105" s="294"/>
      <c r="DS105" s="295"/>
      <c r="DT105" s="386">
        <f t="shared" si="10"/>
        <v>0</v>
      </c>
      <c r="DU105" s="41"/>
      <c r="DV105" s="41"/>
      <c r="DW105" s="256"/>
      <c r="DX105" s="41"/>
      <c r="DY105" s="41"/>
      <c r="DZ105" s="68"/>
      <c r="EA105" s="41"/>
      <c r="EB105" s="41"/>
      <c r="EC105" s="256"/>
      <c r="ED105" s="308"/>
      <c r="EE105" s="308"/>
      <c r="EF105" s="308"/>
      <c r="EG105" s="41"/>
      <c r="EH105" s="41"/>
      <c r="EI105" s="41"/>
      <c r="EJ105" s="69"/>
      <c r="EK105" s="308"/>
      <c r="EL105" s="308"/>
      <c r="EM105" s="308"/>
      <c r="EN105" s="308"/>
      <c r="EO105" s="41"/>
      <c r="EP105" s="41"/>
      <c r="EQ105" s="41"/>
      <c r="ER105" s="256"/>
      <c r="ES105" s="293"/>
      <c r="ET105" s="293"/>
      <c r="EU105" s="293"/>
      <c r="EV105" s="293"/>
      <c r="EW105" s="41"/>
      <c r="EX105" s="41"/>
      <c r="EY105" s="41"/>
      <c r="EZ105" s="256"/>
      <c r="FA105" s="308"/>
      <c r="FB105" s="308"/>
      <c r="FC105" s="308"/>
      <c r="FD105" s="308"/>
      <c r="FE105" s="41"/>
      <c r="FF105" s="41"/>
      <c r="FG105" s="41"/>
      <c r="FH105" s="256"/>
      <c r="FI105" s="41"/>
      <c r="FJ105" s="41"/>
      <c r="FK105" s="41"/>
      <c r="FL105" s="276"/>
    </row>
    <row r="106" spans="1:168" ht="45.75">
      <c r="A106" s="45">
        <v>99</v>
      </c>
      <c r="B106" s="45" t="s">
        <v>210</v>
      </c>
      <c r="C106" s="45">
        <v>5</v>
      </c>
      <c r="D106" s="29" t="s">
        <v>98</v>
      </c>
      <c r="E106" s="30">
        <v>96</v>
      </c>
      <c r="F106" s="30">
        <v>5</v>
      </c>
      <c r="G106" s="246">
        <f>178486.308/1000</f>
        <v>178.48630799999998</v>
      </c>
      <c r="H106" s="45">
        <v>178486.30800000002</v>
      </c>
      <c r="I106" s="45">
        <v>0</v>
      </c>
      <c r="J106" s="397">
        <v>138.66161</v>
      </c>
      <c r="K106" s="495">
        <f t="shared" si="11"/>
        <v>317.147918</v>
      </c>
      <c r="L106" s="578"/>
      <c r="M106" s="45">
        <f t="shared" si="9"/>
        <v>0</v>
      </c>
      <c r="N106" s="46">
        <f t="shared" si="8"/>
        <v>317.147918</v>
      </c>
      <c r="O106" s="46">
        <f t="shared" si="13"/>
        <v>245</v>
      </c>
      <c r="P106" s="234" t="s">
        <v>1007</v>
      </c>
      <c r="Q106" s="46">
        <v>2</v>
      </c>
      <c r="R106" s="450" t="s">
        <v>876</v>
      </c>
      <c r="S106" s="257">
        <f>90000*2+20000+15000*2</f>
        <v>230000</v>
      </c>
      <c r="T106" s="46"/>
      <c r="U106" s="46"/>
      <c r="V106" s="46"/>
      <c r="W106" s="46"/>
      <c r="X106" s="196"/>
      <c r="Y106" s="46"/>
      <c r="Z106" s="46"/>
      <c r="AA106" s="46"/>
      <c r="AB106" s="46"/>
      <c r="AC106" s="46"/>
      <c r="AD106" s="46"/>
      <c r="AE106" s="46"/>
      <c r="AF106" s="196"/>
      <c r="AG106" s="46"/>
      <c r="AH106" s="46"/>
      <c r="AI106" s="46"/>
      <c r="AJ106" s="46"/>
      <c r="AK106" s="46"/>
      <c r="AL106" s="46"/>
      <c r="AM106" s="46"/>
      <c r="AN106" s="196"/>
      <c r="AO106" s="438"/>
      <c r="AP106" s="46"/>
      <c r="AQ106" s="368"/>
      <c r="AR106" s="257"/>
      <c r="AS106" s="196"/>
      <c r="AT106" s="46"/>
      <c r="AU106" s="167"/>
      <c r="AV106" s="196"/>
      <c r="AW106" s="257"/>
      <c r="AX106" s="196"/>
      <c r="AY106" s="191"/>
      <c r="AZ106" s="257"/>
      <c r="BA106" s="196"/>
      <c r="BB106" s="46"/>
      <c r="BC106" s="257"/>
      <c r="BD106" s="196"/>
      <c r="BE106" s="191"/>
      <c r="BF106" s="46"/>
      <c r="BG106" s="196"/>
      <c r="BH106" s="46"/>
      <c r="BI106" s="257"/>
      <c r="BJ106" s="196"/>
      <c r="BK106" s="191"/>
      <c r="BL106" s="257"/>
      <c r="BM106" s="196"/>
      <c r="BN106" s="167"/>
      <c r="BO106" s="257"/>
      <c r="BP106" s="196"/>
      <c r="BQ106" s="190"/>
      <c r="BR106" s="46"/>
      <c r="BS106" s="196"/>
      <c r="BT106" s="46"/>
      <c r="BU106" s="257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196"/>
      <c r="CI106" s="46"/>
      <c r="CJ106" s="46"/>
      <c r="CK106" s="46"/>
      <c r="CL106" s="46"/>
      <c r="CM106" s="46"/>
      <c r="CN106" s="196"/>
      <c r="CO106" s="191"/>
      <c r="CP106" s="257"/>
      <c r="CQ106" s="196"/>
      <c r="CR106" s="167"/>
      <c r="CS106" s="257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191"/>
      <c r="DN106" s="46"/>
      <c r="DO106" s="196"/>
      <c r="DP106" s="221" t="s">
        <v>877</v>
      </c>
      <c r="DQ106" s="257">
        <f t="shared" si="12"/>
        <v>15000</v>
      </c>
      <c r="DR106" s="294"/>
      <c r="DS106" s="295"/>
      <c r="DT106" s="386">
        <f t="shared" si="10"/>
        <v>0</v>
      </c>
      <c r="DU106" s="41"/>
      <c r="DV106" s="41"/>
      <c r="DW106" s="256"/>
      <c r="DX106" s="41"/>
      <c r="DY106" s="41"/>
      <c r="DZ106" s="68"/>
      <c r="EA106" s="41"/>
      <c r="EB106" s="41"/>
      <c r="EC106" s="256"/>
      <c r="ED106" s="308"/>
      <c r="EE106" s="308"/>
      <c r="EF106" s="308"/>
      <c r="EG106" s="41"/>
      <c r="EH106" s="41"/>
      <c r="EI106" s="41"/>
      <c r="EJ106" s="69"/>
      <c r="EK106" s="308"/>
      <c r="EL106" s="308"/>
      <c r="EM106" s="308"/>
      <c r="EN106" s="308"/>
      <c r="EO106" s="41">
        <v>3</v>
      </c>
      <c r="EP106" s="41">
        <v>1</v>
      </c>
      <c r="EQ106" s="41">
        <v>6</v>
      </c>
      <c r="ER106" s="256">
        <v>15000</v>
      </c>
      <c r="ES106" s="293"/>
      <c r="ET106" s="293"/>
      <c r="EU106" s="293"/>
      <c r="EV106" s="293"/>
      <c r="EW106" s="41"/>
      <c r="EX106" s="41"/>
      <c r="EY106" s="41"/>
      <c r="EZ106" s="256"/>
      <c r="FA106" s="308"/>
      <c r="FB106" s="308"/>
      <c r="FC106" s="308"/>
      <c r="FD106" s="308"/>
      <c r="FE106" s="46"/>
      <c r="FF106" s="41"/>
      <c r="FG106" s="41"/>
      <c r="FH106" s="256"/>
      <c r="FI106" s="41"/>
      <c r="FJ106" s="41"/>
      <c r="FK106" s="41"/>
      <c r="FL106" s="276"/>
    </row>
    <row r="107" spans="1:168" ht="20.25">
      <c r="A107" s="45">
        <v>100</v>
      </c>
      <c r="B107" s="45" t="s">
        <v>210</v>
      </c>
      <c r="C107" s="45">
        <v>5</v>
      </c>
      <c r="D107" s="29" t="s">
        <v>98</v>
      </c>
      <c r="E107" s="30">
        <v>138</v>
      </c>
      <c r="F107" s="30">
        <v>5</v>
      </c>
      <c r="G107" s="246">
        <f>83825.28/1000</f>
        <v>83.825279999999992</v>
      </c>
      <c r="H107" s="45">
        <v>83825.279999999999</v>
      </c>
      <c r="I107" s="45">
        <v>0</v>
      </c>
      <c r="J107" s="397">
        <v>170.10070999999999</v>
      </c>
      <c r="K107" s="495">
        <f t="shared" si="11"/>
        <v>253.92598999999998</v>
      </c>
      <c r="L107" s="578"/>
      <c r="M107" s="45">
        <f t="shared" si="9"/>
        <v>0</v>
      </c>
      <c r="N107" s="46">
        <f t="shared" si="8"/>
        <v>253.92598999999998</v>
      </c>
      <c r="O107" s="46">
        <f t="shared" si="13"/>
        <v>215.8</v>
      </c>
      <c r="P107" s="234"/>
      <c r="Q107" s="46"/>
      <c r="R107" s="450"/>
      <c r="S107" s="257"/>
      <c r="T107" s="46"/>
      <c r="U107" s="46"/>
      <c r="V107" s="46"/>
      <c r="W107" s="46"/>
      <c r="X107" s="196"/>
      <c r="Y107" s="46"/>
      <c r="Z107" s="46"/>
      <c r="AA107" s="46"/>
      <c r="AB107" s="46"/>
      <c r="AC107" s="46"/>
      <c r="AD107" s="46"/>
      <c r="AE107" s="46"/>
      <c r="AF107" s="196"/>
      <c r="AG107" s="46"/>
      <c r="AH107" s="46"/>
      <c r="AI107" s="46"/>
      <c r="AJ107" s="46"/>
      <c r="AK107" s="46"/>
      <c r="AL107" s="46"/>
      <c r="AM107" s="46"/>
      <c r="AN107" s="196"/>
      <c r="AO107" s="438"/>
      <c r="AP107" s="46"/>
      <c r="AQ107" s="368"/>
      <c r="AR107" s="257"/>
      <c r="AS107" s="196"/>
      <c r="AT107" s="46"/>
      <c r="AU107" s="46"/>
      <c r="AV107" s="196"/>
      <c r="AW107" s="257"/>
      <c r="AX107" s="196"/>
      <c r="AY107" s="191"/>
      <c r="AZ107" s="257"/>
      <c r="BA107" s="196"/>
      <c r="BB107" s="46"/>
      <c r="BC107" s="257"/>
      <c r="BD107" s="196"/>
      <c r="BE107" s="191"/>
      <c r="BF107" s="46"/>
      <c r="BG107" s="196"/>
      <c r="BH107" s="46"/>
      <c r="BI107" s="257"/>
      <c r="BJ107" s="196"/>
      <c r="BK107" s="190"/>
      <c r="BL107" s="257"/>
      <c r="BM107" s="196"/>
      <c r="BN107" s="46"/>
      <c r="BO107" s="257"/>
      <c r="BP107" s="196"/>
      <c r="BQ107" s="190"/>
      <c r="BR107" s="46"/>
      <c r="BS107" s="196"/>
      <c r="BT107" s="46"/>
      <c r="BU107" s="257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196"/>
      <c r="CI107" s="46"/>
      <c r="CJ107" s="46"/>
      <c r="CK107" s="46"/>
      <c r="CL107" s="46"/>
      <c r="CM107" s="46"/>
      <c r="CN107" s="196"/>
      <c r="CO107" s="191"/>
      <c r="CP107" s="257"/>
      <c r="CQ107" s="196"/>
      <c r="CR107" s="167"/>
      <c r="CS107" s="257"/>
      <c r="CT107" s="46"/>
      <c r="CU107" s="46"/>
      <c r="CV107" s="46"/>
      <c r="CW107" s="46"/>
      <c r="CX107" s="46"/>
      <c r="CY107" s="46"/>
      <c r="CZ107" s="46">
        <v>8</v>
      </c>
      <c r="DA107" s="46">
        <v>81</v>
      </c>
      <c r="DB107" s="46">
        <f>DA107*1800</f>
        <v>145800</v>
      </c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191"/>
      <c r="DN107" s="46"/>
      <c r="DO107" s="196"/>
      <c r="DP107" s="221" t="s">
        <v>878</v>
      </c>
      <c r="DQ107" s="257">
        <f>DW107+EC107+EJ107+ER107+EZ107+FH107+50000</f>
        <v>70000</v>
      </c>
      <c r="DR107" s="294"/>
      <c r="DS107" s="295"/>
      <c r="DT107" s="386">
        <f t="shared" si="10"/>
        <v>0</v>
      </c>
      <c r="DU107" s="41"/>
      <c r="DV107" s="41"/>
      <c r="DW107" s="256"/>
      <c r="DX107" s="41"/>
      <c r="DY107" s="41"/>
      <c r="DZ107" s="68"/>
      <c r="EA107" s="41"/>
      <c r="EB107" s="41"/>
      <c r="EC107" s="256"/>
      <c r="ED107" s="308"/>
      <c r="EE107" s="308"/>
      <c r="EF107" s="308"/>
      <c r="EG107" s="41"/>
      <c r="EH107" s="41"/>
      <c r="EI107" s="41"/>
      <c r="EJ107" s="69"/>
      <c r="EK107" s="308"/>
      <c r="EL107" s="308"/>
      <c r="EM107" s="308"/>
      <c r="EN107" s="308"/>
      <c r="EO107" s="41"/>
      <c r="EP107" s="41"/>
      <c r="EQ107" s="41"/>
      <c r="ER107" s="256"/>
      <c r="ES107" s="293"/>
      <c r="ET107" s="293"/>
      <c r="EU107" s="293"/>
      <c r="EV107" s="293"/>
      <c r="EW107" s="41"/>
      <c r="EX107" s="41"/>
      <c r="EY107" s="41"/>
      <c r="EZ107" s="256"/>
      <c r="FA107" s="308"/>
      <c r="FB107" s="308"/>
      <c r="FC107" s="308"/>
      <c r="FD107" s="308"/>
      <c r="FE107" s="46">
        <v>9</v>
      </c>
      <c r="FF107" s="41">
        <v>1</v>
      </c>
      <c r="FG107" s="41">
        <v>1</v>
      </c>
      <c r="FH107" s="256">
        <v>20000</v>
      </c>
      <c r="FI107" s="41"/>
      <c r="FJ107" s="41"/>
      <c r="FK107" s="41"/>
      <c r="FL107" s="276"/>
    </row>
    <row r="108" spans="1:168">
      <c r="A108" s="45">
        <v>101</v>
      </c>
      <c r="B108" s="45" t="s">
        <v>210</v>
      </c>
      <c r="C108" s="45">
        <v>5</v>
      </c>
      <c r="D108" s="29" t="s">
        <v>98</v>
      </c>
      <c r="E108" s="30">
        <v>140</v>
      </c>
      <c r="F108" s="30">
        <v>5</v>
      </c>
      <c r="G108" s="246">
        <f>54977.9076/1000</f>
        <v>54.977907600000002</v>
      </c>
      <c r="H108" s="45">
        <v>54977.907599999999</v>
      </c>
      <c r="I108" s="45">
        <v>0</v>
      </c>
      <c r="J108" s="397">
        <v>159.16666000000001</v>
      </c>
      <c r="K108" s="495">
        <f t="shared" si="11"/>
        <v>214.14456760000002</v>
      </c>
      <c r="L108" s="578"/>
      <c r="M108" s="45">
        <f t="shared" si="9"/>
        <v>0</v>
      </c>
      <c r="N108" s="46">
        <f t="shared" si="8"/>
        <v>214.14456760000002</v>
      </c>
      <c r="O108" s="46">
        <f t="shared" si="13"/>
        <v>180</v>
      </c>
      <c r="P108" s="234" t="s">
        <v>228</v>
      </c>
      <c r="Q108" s="46">
        <v>2</v>
      </c>
      <c r="R108" s="450">
        <v>1.2</v>
      </c>
      <c r="S108" s="257">
        <v>180000</v>
      </c>
      <c r="T108" s="46"/>
      <c r="U108" s="46"/>
      <c r="V108" s="46"/>
      <c r="W108" s="46"/>
      <c r="X108" s="196"/>
      <c r="Y108" s="46"/>
      <c r="Z108" s="46"/>
      <c r="AA108" s="46"/>
      <c r="AB108" s="46"/>
      <c r="AC108" s="46"/>
      <c r="AD108" s="46"/>
      <c r="AE108" s="46"/>
      <c r="AF108" s="196"/>
      <c r="AG108" s="46"/>
      <c r="AH108" s="46"/>
      <c r="AI108" s="46"/>
      <c r="AJ108" s="46"/>
      <c r="AK108" s="46"/>
      <c r="AL108" s="46"/>
      <c r="AM108" s="46"/>
      <c r="AN108" s="196"/>
      <c r="AO108" s="438"/>
      <c r="AP108" s="46"/>
      <c r="AQ108" s="368"/>
      <c r="AR108" s="257"/>
      <c r="AS108" s="196"/>
      <c r="AT108" s="46"/>
      <c r="AU108" s="46"/>
      <c r="AV108" s="196"/>
      <c r="AW108" s="257"/>
      <c r="AX108" s="196"/>
      <c r="AY108" s="191"/>
      <c r="AZ108" s="257"/>
      <c r="BA108" s="196"/>
      <c r="BB108" s="46"/>
      <c r="BC108" s="257"/>
      <c r="BD108" s="196"/>
      <c r="BE108" s="191"/>
      <c r="BF108" s="46"/>
      <c r="BG108" s="196"/>
      <c r="BH108" s="46"/>
      <c r="BI108" s="257"/>
      <c r="BJ108" s="196"/>
      <c r="BK108" s="191"/>
      <c r="BL108" s="257"/>
      <c r="BM108" s="196"/>
      <c r="BN108" s="46"/>
      <c r="BO108" s="257"/>
      <c r="BP108" s="196"/>
      <c r="BQ108" s="190"/>
      <c r="BR108" s="46"/>
      <c r="BS108" s="196"/>
      <c r="BT108" s="46"/>
      <c r="BU108" s="257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196"/>
      <c r="CI108" s="46"/>
      <c r="CJ108" s="46"/>
      <c r="CK108" s="46"/>
      <c r="CL108" s="46"/>
      <c r="CM108" s="46"/>
      <c r="CN108" s="196"/>
      <c r="CO108" s="191"/>
      <c r="CP108" s="257"/>
      <c r="CQ108" s="196"/>
      <c r="CR108" s="167"/>
      <c r="CS108" s="257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191"/>
      <c r="DN108" s="46"/>
      <c r="DO108" s="196"/>
      <c r="DP108" s="221"/>
      <c r="DQ108" s="257">
        <f t="shared" si="12"/>
        <v>0</v>
      </c>
      <c r="DR108" s="294"/>
      <c r="DS108" s="295"/>
      <c r="DT108" s="386">
        <f t="shared" si="10"/>
        <v>0</v>
      </c>
      <c r="DU108" s="41"/>
      <c r="DV108" s="41"/>
      <c r="DW108" s="256"/>
      <c r="DX108" s="41"/>
      <c r="DY108" s="41"/>
      <c r="DZ108" s="68"/>
      <c r="EA108" s="41"/>
      <c r="EB108" s="41"/>
      <c r="EC108" s="256"/>
      <c r="ED108" s="308"/>
      <c r="EE108" s="308"/>
      <c r="EF108" s="308"/>
      <c r="EG108" s="41"/>
      <c r="EH108" s="41"/>
      <c r="EI108" s="41"/>
      <c r="EJ108" s="69"/>
      <c r="EK108" s="308"/>
      <c r="EL108" s="308"/>
      <c r="EM108" s="308"/>
      <c r="EN108" s="308"/>
      <c r="EO108" s="41"/>
      <c r="EP108" s="41"/>
      <c r="EQ108" s="41"/>
      <c r="ER108" s="256"/>
      <c r="ES108" s="293"/>
      <c r="ET108" s="293"/>
      <c r="EU108" s="293"/>
      <c r="EV108" s="293"/>
      <c r="EW108" s="41"/>
      <c r="EX108" s="41"/>
      <c r="EY108" s="41"/>
      <c r="EZ108" s="256"/>
      <c r="FA108" s="308"/>
      <c r="FB108" s="308"/>
      <c r="FC108" s="308"/>
      <c r="FD108" s="308"/>
      <c r="FE108" s="46"/>
      <c r="FF108" s="41"/>
      <c r="FG108" s="41"/>
      <c r="FH108" s="256"/>
      <c r="FI108" s="41"/>
      <c r="FJ108" s="41"/>
      <c r="FK108" s="41"/>
      <c r="FL108" s="276"/>
    </row>
    <row r="109" spans="1:168" ht="20.25">
      <c r="A109" s="45">
        <v>102</v>
      </c>
      <c r="B109" s="45" t="s">
        <v>210</v>
      </c>
      <c r="C109" s="45">
        <v>5</v>
      </c>
      <c r="D109" s="29" t="s">
        <v>98</v>
      </c>
      <c r="E109" s="30">
        <v>144</v>
      </c>
      <c r="F109" s="30">
        <v>5</v>
      </c>
      <c r="G109" s="246">
        <f>55110.132/1000</f>
        <v>55.110132</v>
      </c>
      <c r="H109" s="45">
        <v>55110.132000000005</v>
      </c>
      <c r="I109" s="45">
        <v>0</v>
      </c>
      <c r="J109" s="397">
        <v>198.85991999999999</v>
      </c>
      <c r="K109" s="495">
        <f t="shared" si="11"/>
        <v>253.97005199999998</v>
      </c>
      <c r="L109" s="578"/>
      <c r="M109" s="45">
        <f t="shared" si="9"/>
        <v>0</v>
      </c>
      <c r="N109" s="46">
        <f t="shared" si="8"/>
        <v>253.97005199999998</v>
      </c>
      <c r="O109" s="46">
        <f t="shared" si="13"/>
        <v>251.8</v>
      </c>
      <c r="P109" s="234"/>
      <c r="Q109" s="46"/>
      <c r="R109" s="450"/>
      <c r="S109" s="257"/>
      <c r="T109" s="46"/>
      <c r="U109" s="46"/>
      <c r="V109" s="46"/>
      <c r="W109" s="46"/>
      <c r="X109" s="196"/>
      <c r="Y109" s="46"/>
      <c r="Z109" s="46"/>
      <c r="AA109" s="46"/>
      <c r="AB109" s="46"/>
      <c r="AC109" s="46"/>
      <c r="AD109" s="46"/>
      <c r="AE109" s="46"/>
      <c r="AF109" s="196"/>
      <c r="AG109" s="46"/>
      <c r="AH109" s="46"/>
      <c r="AI109" s="46"/>
      <c r="AJ109" s="46"/>
      <c r="AK109" s="46"/>
      <c r="AL109" s="46"/>
      <c r="AM109" s="46"/>
      <c r="AN109" s="196"/>
      <c r="AO109" s="438"/>
      <c r="AP109" s="46"/>
      <c r="AQ109" s="368"/>
      <c r="AR109" s="257"/>
      <c r="AS109" s="196"/>
      <c r="AT109" s="46"/>
      <c r="AU109" s="46"/>
      <c r="AV109" s="196"/>
      <c r="AW109" s="257"/>
      <c r="AX109" s="196"/>
      <c r="AY109" s="191"/>
      <c r="AZ109" s="257"/>
      <c r="BA109" s="196"/>
      <c r="BB109" s="46"/>
      <c r="BC109" s="257"/>
      <c r="BD109" s="196"/>
      <c r="BE109" s="191"/>
      <c r="BF109" s="46"/>
      <c r="BG109" s="196"/>
      <c r="BH109" s="46"/>
      <c r="BI109" s="257"/>
      <c r="BJ109" s="196" t="s">
        <v>248</v>
      </c>
      <c r="BK109" s="191">
        <v>20</v>
      </c>
      <c r="BL109" s="257">
        <f>BK109*2500</f>
        <v>50000</v>
      </c>
      <c r="BM109" s="196"/>
      <c r="BN109" s="46"/>
      <c r="BO109" s="257"/>
      <c r="BP109" s="196"/>
      <c r="BQ109" s="190"/>
      <c r="BR109" s="46"/>
      <c r="BS109" s="196"/>
      <c r="BT109" s="46"/>
      <c r="BU109" s="257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196" t="s">
        <v>228</v>
      </c>
      <c r="CI109" s="46">
        <v>6</v>
      </c>
      <c r="CJ109" s="46">
        <f>CI109*7500</f>
        <v>45000</v>
      </c>
      <c r="CK109" s="46"/>
      <c r="CL109" s="46"/>
      <c r="CM109" s="46"/>
      <c r="CN109" s="196"/>
      <c r="CO109" s="191"/>
      <c r="CP109" s="257"/>
      <c r="CQ109" s="196"/>
      <c r="CR109" s="167"/>
      <c r="CS109" s="257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191"/>
      <c r="DN109" s="46"/>
      <c r="DO109" s="218"/>
      <c r="DP109" s="221" t="s">
        <v>879</v>
      </c>
      <c r="DQ109" s="257">
        <f t="shared" si="12"/>
        <v>156800</v>
      </c>
      <c r="DR109" s="294"/>
      <c r="DS109" s="295"/>
      <c r="DT109" s="386">
        <f t="shared" si="10"/>
        <v>0</v>
      </c>
      <c r="DU109" s="41">
        <v>5</v>
      </c>
      <c r="DV109" s="41">
        <v>4</v>
      </c>
      <c r="DW109" s="256">
        <f>DV109*20000</f>
        <v>80000</v>
      </c>
      <c r="DX109" s="41"/>
      <c r="DY109" s="41"/>
      <c r="DZ109" s="68"/>
      <c r="EA109" s="41">
        <v>9</v>
      </c>
      <c r="EB109" s="41">
        <v>96</v>
      </c>
      <c r="EC109" s="256">
        <f>EB109*800</f>
        <v>76800</v>
      </c>
      <c r="ED109" s="308"/>
      <c r="EE109" s="308"/>
      <c r="EF109" s="308"/>
      <c r="EG109" s="41"/>
      <c r="EH109" s="41"/>
      <c r="EI109" s="41"/>
      <c r="EJ109" s="69"/>
      <c r="EK109" s="308"/>
      <c r="EL109" s="308"/>
      <c r="EM109" s="308"/>
      <c r="EN109" s="308"/>
      <c r="EO109" s="41"/>
      <c r="EP109" s="41"/>
      <c r="EQ109" s="41"/>
      <c r="ER109" s="256"/>
      <c r="ES109" s="293"/>
      <c r="ET109" s="293"/>
      <c r="EU109" s="293"/>
      <c r="EV109" s="293"/>
      <c r="EW109" s="41"/>
      <c r="EX109" s="41"/>
      <c r="EY109" s="41"/>
      <c r="EZ109" s="256"/>
      <c r="FA109" s="308"/>
      <c r="FB109" s="308"/>
      <c r="FC109" s="308"/>
      <c r="FD109" s="308"/>
      <c r="FE109" s="46"/>
      <c r="FF109" s="41"/>
      <c r="FG109" s="41"/>
      <c r="FH109" s="256"/>
      <c r="FI109" s="41"/>
      <c r="FJ109" s="41"/>
      <c r="FK109" s="41"/>
      <c r="FL109" s="276"/>
    </row>
    <row r="110" spans="1:168">
      <c r="A110" s="45">
        <v>103</v>
      </c>
      <c r="B110" s="45" t="s">
        <v>210</v>
      </c>
      <c r="C110" s="45">
        <v>5</v>
      </c>
      <c r="D110" s="29" t="s">
        <v>98</v>
      </c>
      <c r="E110" s="30">
        <v>150</v>
      </c>
      <c r="F110" s="30">
        <v>5</v>
      </c>
      <c r="G110" s="246">
        <f>55126.764/1000</f>
        <v>55.126764000000001</v>
      </c>
      <c r="H110" s="45">
        <v>55126.763999999988</v>
      </c>
      <c r="I110" s="45">
        <v>0</v>
      </c>
      <c r="J110" s="397">
        <v>-189.45747999999998</v>
      </c>
      <c r="K110" s="495">
        <f t="shared" si="11"/>
        <v>-134.33071599999997</v>
      </c>
      <c r="L110" s="578"/>
      <c r="M110" s="45">
        <f t="shared" si="9"/>
        <v>0</v>
      </c>
      <c r="N110" s="46">
        <f t="shared" si="8"/>
        <v>-134.33071599999997</v>
      </c>
      <c r="O110" s="46">
        <f t="shared" si="13"/>
        <v>0</v>
      </c>
      <c r="P110" s="234"/>
      <c r="Q110" s="46"/>
      <c r="R110" s="450"/>
      <c r="S110" s="257"/>
      <c r="T110" s="46"/>
      <c r="U110" s="46"/>
      <c r="V110" s="46"/>
      <c r="W110" s="46"/>
      <c r="X110" s="196"/>
      <c r="Y110" s="46"/>
      <c r="Z110" s="46"/>
      <c r="AA110" s="46"/>
      <c r="AB110" s="46"/>
      <c r="AC110" s="46"/>
      <c r="AD110" s="46"/>
      <c r="AE110" s="46"/>
      <c r="AF110" s="196"/>
      <c r="AG110" s="46"/>
      <c r="AH110" s="46"/>
      <c r="AI110" s="46"/>
      <c r="AJ110" s="46"/>
      <c r="AK110" s="46"/>
      <c r="AL110" s="46"/>
      <c r="AM110" s="46"/>
      <c r="AN110" s="196"/>
      <c r="AO110" s="438"/>
      <c r="AP110" s="46"/>
      <c r="AQ110" s="368"/>
      <c r="AR110" s="257"/>
      <c r="AS110" s="196"/>
      <c r="AT110" s="46"/>
      <c r="AU110" s="46"/>
      <c r="AV110" s="196"/>
      <c r="AW110" s="257"/>
      <c r="AX110" s="196"/>
      <c r="AY110" s="191"/>
      <c r="AZ110" s="257"/>
      <c r="BA110" s="196"/>
      <c r="BB110" s="46"/>
      <c r="BC110" s="257"/>
      <c r="BD110" s="196"/>
      <c r="BE110" s="191"/>
      <c r="BF110" s="46"/>
      <c r="BG110" s="196"/>
      <c r="BH110" s="46"/>
      <c r="BI110" s="257"/>
      <c r="BJ110" s="196"/>
      <c r="BK110" s="191"/>
      <c r="BL110" s="257"/>
      <c r="BM110" s="196"/>
      <c r="BN110" s="46"/>
      <c r="BO110" s="257"/>
      <c r="BP110" s="196"/>
      <c r="BQ110" s="190"/>
      <c r="BR110" s="46"/>
      <c r="BS110" s="196"/>
      <c r="BT110" s="46"/>
      <c r="BU110" s="257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196"/>
      <c r="CI110" s="46"/>
      <c r="CJ110" s="46"/>
      <c r="CK110" s="46"/>
      <c r="CL110" s="46"/>
      <c r="CM110" s="46"/>
      <c r="CN110" s="196"/>
      <c r="CO110" s="191"/>
      <c r="CP110" s="257"/>
      <c r="CQ110" s="196"/>
      <c r="CR110" s="167"/>
      <c r="CS110" s="257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191"/>
      <c r="DN110" s="46"/>
      <c r="DO110" s="196"/>
      <c r="DP110" s="221"/>
      <c r="DQ110" s="257">
        <f t="shared" si="12"/>
        <v>0</v>
      </c>
      <c r="DR110" s="294"/>
      <c r="DS110" s="295"/>
      <c r="DT110" s="386">
        <f t="shared" si="10"/>
        <v>0</v>
      </c>
      <c r="DU110" s="41"/>
      <c r="DV110" s="41"/>
      <c r="DW110" s="256"/>
      <c r="DX110" s="41"/>
      <c r="DY110" s="41"/>
      <c r="DZ110" s="68"/>
      <c r="EA110" s="41"/>
      <c r="EB110" s="41"/>
      <c r="EC110" s="256"/>
      <c r="ED110" s="308"/>
      <c r="EE110" s="308"/>
      <c r="EF110" s="308"/>
      <c r="EG110" s="41"/>
      <c r="EH110" s="41"/>
      <c r="EI110" s="41"/>
      <c r="EJ110" s="69"/>
      <c r="EK110" s="308"/>
      <c r="EL110" s="308"/>
      <c r="EM110" s="308"/>
      <c r="EN110" s="308"/>
      <c r="EO110" s="41"/>
      <c r="EP110" s="41"/>
      <c r="EQ110" s="41"/>
      <c r="ER110" s="256"/>
      <c r="ES110" s="293"/>
      <c r="ET110" s="293"/>
      <c r="EU110" s="293"/>
      <c r="EV110" s="293"/>
      <c r="EW110" s="41"/>
      <c r="EX110" s="41"/>
      <c r="EY110" s="41"/>
      <c r="EZ110" s="256"/>
      <c r="FA110" s="308"/>
      <c r="FB110" s="308"/>
      <c r="FC110" s="308"/>
      <c r="FD110" s="308"/>
      <c r="FE110" s="46"/>
      <c r="FF110" s="41"/>
      <c r="FG110" s="41"/>
      <c r="FH110" s="256"/>
      <c r="FI110" s="41"/>
      <c r="FJ110" s="41"/>
      <c r="FK110" s="41"/>
      <c r="FL110" s="276"/>
    </row>
    <row r="111" spans="1:168">
      <c r="A111" s="45">
        <v>104</v>
      </c>
      <c r="B111" s="45" t="s">
        <v>210</v>
      </c>
      <c r="C111" s="45">
        <v>5</v>
      </c>
      <c r="D111" s="29" t="s">
        <v>98</v>
      </c>
      <c r="E111" s="30">
        <v>154</v>
      </c>
      <c r="F111" s="30">
        <v>5</v>
      </c>
      <c r="G111" s="246">
        <f>56432.376/1000</f>
        <v>56.432375999999998</v>
      </c>
      <c r="H111" s="45">
        <v>56432.376000000004</v>
      </c>
      <c r="I111" s="45">
        <v>0</v>
      </c>
      <c r="J111" s="397">
        <v>110.71929999999999</v>
      </c>
      <c r="K111" s="495">
        <f t="shared" si="11"/>
        <v>167.15167599999998</v>
      </c>
      <c r="L111" s="578"/>
      <c r="M111" s="45">
        <f t="shared" si="9"/>
        <v>0</v>
      </c>
      <c r="N111" s="46">
        <f t="shared" si="8"/>
        <v>167.15167599999998</v>
      </c>
      <c r="O111" s="46">
        <f t="shared" si="13"/>
        <v>155</v>
      </c>
      <c r="P111" s="234" t="s">
        <v>249</v>
      </c>
      <c r="Q111" s="46">
        <v>1</v>
      </c>
      <c r="R111" s="450">
        <v>1</v>
      </c>
      <c r="S111" s="257">
        <v>90000</v>
      </c>
      <c r="T111" s="46"/>
      <c r="U111" s="46"/>
      <c r="V111" s="46"/>
      <c r="W111" s="46"/>
      <c r="X111" s="196"/>
      <c r="Y111" s="46"/>
      <c r="Z111" s="46"/>
      <c r="AA111" s="46"/>
      <c r="AB111" s="46"/>
      <c r="AC111" s="46"/>
      <c r="AD111" s="46"/>
      <c r="AE111" s="46"/>
      <c r="AF111" s="196"/>
      <c r="AG111" s="46"/>
      <c r="AH111" s="46"/>
      <c r="AI111" s="46"/>
      <c r="AJ111" s="46"/>
      <c r="AK111" s="46"/>
      <c r="AL111" s="46"/>
      <c r="AM111" s="46"/>
      <c r="AN111" s="196" t="s">
        <v>249</v>
      </c>
      <c r="AO111" s="438" t="s">
        <v>335</v>
      </c>
      <c r="AP111" s="46">
        <v>50</v>
      </c>
      <c r="AQ111" s="368" t="s">
        <v>550</v>
      </c>
      <c r="AR111" s="257">
        <f>AP111*1300</f>
        <v>65000</v>
      </c>
      <c r="AS111" s="196"/>
      <c r="AT111" s="46"/>
      <c r="AU111" s="46"/>
      <c r="AV111" s="196"/>
      <c r="AW111" s="257"/>
      <c r="AX111" s="196"/>
      <c r="AY111" s="191"/>
      <c r="AZ111" s="257"/>
      <c r="BA111" s="196"/>
      <c r="BB111" s="46"/>
      <c r="BC111" s="257"/>
      <c r="BD111" s="196"/>
      <c r="BE111" s="191"/>
      <c r="BF111" s="46"/>
      <c r="BG111" s="196"/>
      <c r="BH111" s="46"/>
      <c r="BI111" s="257"/>
      <c r="BJ111" s="196"/>
      <c r="BK111" s="191"/>
      <c r="BL111" s="257"/>
      <c r="BM111" s="196"/>
      <c r="BN111" s="46"/>
      <c r="BO111" s="257"/>
      <c r="BP111" s="196"/>
      <c r="BQ111" s="190"/>
      <c r="BR111" s="46"/>
      <c r="BS111" s="196"/>
      <c r="BT111" s="46"/>
      <c r="BU111" s="257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196"/>
      <c r="CI111" s="46"/>
      <c r="CJ111" s="46"/>
      <c r="CK111" s="46"/>
      <c r="CL111" s="46"/>
      <c r="CM111" s="46"/>
      <c r="CN111" s="196"/>
      <c r="CO111" s="191"/>
      <c r="CP111" s="257"/>
      <c r="CQ111" s="196"/>
      <c r="CR111" s="167"/>
      <c r="CS111" s="257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191"/>
      <c r="DN111" s="46"/>
      <c r="DO111" s="196"/>
      <c r="DP111" s="221"/>
      <c r="DQ111" s="257">
        <f t="shared" si="12"/>
        <v>0</v>
      </c>
      <c r="DR111" s="294"/>
      <c r="DS111" s="295"/>
      <c r="DT111" s="386">
        <f t="shared" si="10"/>
        <v>0</v>
      </c>
      <c r="DU111" s="41"/>
      <c r="DV111" s="41"/>
      <c r="DW111" s="256"/>
      <c r="DX111" s="41"/>
      <c r="DY111" s="41"/>
      <c r="DZ111" s="68"/>
      <c r="EA111" s="41"/>
      <c r="EB111" s="41"/>
      <c r="EC111" s="256"/>
      <c r="ED111" s="308"/>
      <c r="EE111" s="308"/>
      <c r="EF111" s="308"/>
      <c r="EG111" s="41"/>
      <c r="EH111" s="41"/>
      <c r="EI111" s="41"/>
      <c r="EJ111" s="69"/>
      <c r="EK111" s="308"/>
      <c r="EL111" s="308"/>
      <c r="EM111" s="308"/>
      <c r="EN111" s="308"/>
      <c r="EO111" s="41"/>
      <c r="EP111" s="41"/>
      <c r="EQ111" s="41"/>
      <c r="ER111" s="256"/>
      <c r="ES111" s="293"/>
      <c r="ET111" s="293"/>
      <c r="EU111" s="293"/>
      <c r="EV111" s="293"/>
      <c r="EW111" s="41"/>
      <c r="EX111" s="41"/>
      <c r="EY111" s="41"/>
      <c r="EZ111" s="256"/>
      <c r="FA111" s="308"/>
      <c r="FB111" s="308"/>
      <c r="FC111" s="308"/>
      <c r="FD111" s="308"/>
      <c r="FE111" s="46"/>
      <c r="FF111" s="41"/>
      <c r="FG111" s="41"/>
      <c r="FH111" s="256"/>
      <c r="FI111" s="60"/>
      <c r="FJ111" s="41"/>
      <c r="FK111" s="41"/>
      <c r="FL111" s="276"/>
    </row>
    <row r="112" spans="1:168">
      <c r="A112" s="45">
        <v>105</v>
      </c>
      <c r="B112" s="45" t="s">
        <v>210</v>
      </c>
      <c r="C112" s="45">
        <v>5</v>
      </c>
      <c r="D112" s="29" t="s">
        <v>98</v>
      </c>
      <c r="E112" s="30">
        <v>158</v>
      </c>
      <c r="F112" s="30">
        <v>5</v>
      </c>
      <c r="G112" s="246">
        <f>55376.244/1000</f>
        <v>55.376244</v>
      </c>
      <c r="H112" s="45">
        <v>55376.243999999999</v>
      </c>
      <c r="I112" s="45">
        <v>0</v>
      </c>
      <c r="J112" s="397">
        <v>77.487229999999997</v>
      </c>
      <c r="K112" s="495">
        <f t="shared" si="11"/>
        <v>132.863474</v>
      </c>
      <c r="L112" s="578"/>
      <c r="M112" s="45">
        <f t="shared" si="9"/>
        <v>0</v>
      </c>
      <c r="N112" s="46">
        <f t="shared" si="8"/>
        <v>132.863474</v>
      </c>
      <c r="O112" s="46">
        <f t="shared" si="13"/>
        <v>123.8</v>
      </c>
      <c r="P112" s="234"/>
      <c r="Q112" s="46">
        <v>1</v>
      </c>
      <c r="R112" s="450">
        <v>1</v>
      </c>
      <c r="S112" s="257">
        <v>90000</v>
      </c>
      <c r="T112" s="46"/>
      <c r="U112" s="46"/>
      <c r="V112" s="46"/>
      <c r="W112" s="46"/>
      <c r="X112" s="196"/>
      <c r="Y112" s="46"/>
      <c r="Z112" s="46"/>
      <c r="AA112" s="46"/>
      <c r="AB112" s="46"/>
      <c r="AC112" s="46"/>
      <c r="AD112" s="46"/>
      <c r="AE112" s="46"/>
      <c r="AF112" s="196"/>
      <c r="AG112" s="46"/>
      <c r="AH112" s="46"/>
      <c r="AI112" s="46"/>
      <c r="AJ112" s="46"/>
      <c r="AK112" s="46"/>
      <c r="AL112" s="46"/>
      <c r="AM112" s="46"/>
      <c r="AN112" s="196" t="s">
        <v>249</v>
      </c>
      <c r="AO112" s="438" t="s">
        <v>335</v>
      </c>
      <c r="AP112" s="46">
        <v>26</v>
      </c>
      <c r="AQ112" s="368" t="s">
        <v>550</v>
      </c>
      <c r="AR112" s="257">
        <f>AP112*1300</f>
        <v>33800</v>
      </c>
      <c r="AS112" s="196"/>
      <c r="AT112" s="46"/>
      <c r="AU112" s="46"/>
      <c r="AV112" s="196"/>
      <c r="AW112" s="257"/>
      <c r="AX112" s="196"/>
      <c r="AY112" s="191"/>
      <c r="AZ112" s="257"/>
      <c r="BA112" s="196"/>
      <c r="BB112" s="46"/>
      <c r="BC112" s="257"/>
      <c r="BD112" s="196"/>
      <c r="BE112" s="191"/>
      <c r="BF112" s="46"/>
      <c r="BG112" s="196"/>
      <c r="BH112" s="46"/>
      <c r="BI112" s="257"/>
      <c r="BJ112" s="196"/>
      <c r="BK112" s="191"/>
      <c r="BL112" s="257"/>
      <c r="BM112" s="196"/>
      <c r="BN112" s="46"/>
      <c r="BO112" s="257"/>
      <c r="BP112" s="196"/>
      <c r="BQ112" s="190"/>
      <c r="BR112" s="46"/>
      <c r="BS112" s="196"/>
      <c r="BT112" s="46"/>
      <c r="BU112" s="257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196"/>
      <c r="CI112" s="46"/>
      <c r="CJ112" s="46"/>
      <c r="CK112" s="46"/>
      <c r="CL112" s="46"/>
      <c r="CM112" s="46"/>
      <c r="CN112" s="196"/>
      <c r="CO112" s="191"/>
      <c r="CP112" s="257"/>
      <c r="CQ112" s="196"/>
      <c r="CR112" s="167"/>
      <c r="CS112" s="257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191"/>
      <c r="DN112" s="46"/>
      <c r="DO112" s="196"/>
      <c r="DP112" s="221"/>
      <c r="DQ112" s="257">
        <f t="shared" si="12"/>
        <v>0</v>
      </c>
      <c r="DR112" s="294"/>
      <c r="DS112" s="295"/>
      <c r="DT112" s="386">
        <f t="shared" si="10"/>
        <v>0</v>
      </c>
      <c r="DU112" s="41"/>
      <c r="DV112" s="41"/>
      <c r="DW112" s="256"/>
      <c r="DX112" s="41"/>
      <c r="DY112" s="41"/>
      <c r="DZ112" s="68"/>
      <c r="EA112" s="41"/>
      <c r="EB112" s="41"/>
      <c r="EC112" s="256"/>
      <c r="ED112" s="308"/>
      <c r="EE112" s="308"/>
      <c r="EF112" s="308"/>
      <c r="EG112" s="41"/>
      <c r="EH112" s="41"/>
      <c r="EI112" s="41"/>
      <c r="EJ112" s="69"/>
      <c r="EK112" s="308"/>
      <c r="EL112" s="308"/>
      <c r="EM112" s="308"/>
      <c r="EN112" s="308"/>
      <c r="EO112" s="41"/>
      <c r="EP112" s="41"/>
      <c r="EQ112" s="41"/>
      <c r="ER112" s="256"/>
      <c r="ES112" s="293"/>
      <c r="ET112" s="293"/>
      <c r="EU112" s="293"/>
      <c r="EV112" s="293"/>
      <c r="EW112" s="41"/>
      <c r="EX112" s="41"/>
      <c r="EY112" s="41"/>
      <c r="EZ112" s="256"/>
      <c r="FA112" s="308"/>
      <c r="FB112" s="308"/>
      <c r="FC112" s="308"/>
      <c r="FD112" s="308"/>
      <c r="FE112" s="46"/>
      <c r="FF112" s="41"/>
      <c r="FG112" s="41"/>
      <c r="FH112" s="256"/>
      <c r="FI112" s="41"/>
      <c r="FJ112" s="41"/>
      <c r="FK112" s="41"/>
      <c r="FL112" s="276"/>
    </row>
    <row r="113" spans="1:168">
      <c r="A113" s="45">
        <v>106</v>
      </c>
      <c r="B113" s="45" t="s">
        <v>210</v>
      </c>
      <c r="C113" s="45">
        <v>5</v>
      </c>
      <c r="D113" s="29" t="s">
        <v>98</v>
      </c>
      <c r="E113" s="30">
        <v>165</v>
      </c>
      <c r="F113" s="30">
        <v>7</v>
      </c>
      <c r="G113" s="246">
        <f>82964.3598/1000</f>
        <v>82.964359800000011</v>
      </c>
      <c r="H113" s="45">
        <v>0</v>
      </c>
      <c r="I113" s="45">
        <v>82964.359800000006</v>
      </c>
      <c r="J113" s="397">
        <v>70.901966999999985</v>
      </c>
      <c r="K113" s="495">
        <f t="shared" si="11"/>
        <v>153.8663268</v>
      </c>
      <c r="L113" s="578"/>
      <c r="M113" s="45">
        <f t="shared" si="9"/>
        <v>0</v>
      </c>
      <c r="N113" s="46">
        <f t="shared" si="8"/>
        <v>153.8663268</v>
      </c>
      <c r="O113" s="46">
        <f t="shared" si="13"/>
        <v>140</v>
      </c>
      <c r="P113" s="234"/>
      <c r="Q113" s="46">
        <v>1</v>
      </c>
      <c r="R113" s="450">
        <v>2</v>
      </c>
      <c r="S113" s="257">
        <v>90000</v>
      </c>
      <c r="T113" s="46"/>
      <c r="U113" s="46"/>
      <c r="V113" s="46"/>
      <c r="W113" s="46"/>
      <c r="X113" s="196"/>
      <c r="Y113" s="46"/>
      <c r="Z113" s="46"/>
      <c r="AA113" s="46"/>
      <c r="AB113" s="46"/>
      <c r="AC113" s="46"/>
      <c r="AD113" s="46"/>
      <c r="AE113" s="46"/>
      <c r="AF113" s="196"/>
      <c r="AG113" s="46"/>
      <c r="AH113" s="46"/>
      <c r="AI113" s="46"/>
      <c r="AJ113" s="46"/>
      <c r="AK113" s="46"/>
      <c r="AL113" s="46"/>
      <c r="AM113" s="46"/>
      <c r="AN113" s="196"/>
      <c r="AO113" s="438"/>
      <c r="AP113" s="249"/>
      <c r="AQ113" s="368"/>
      <c r="AR113" s="257"/>
      <c r="AS113" s="196"/>
      <c r="AT113" s="46"/>
      <c r="AU113" s="46"/>
      <c r="AV113" s="196"/>
      <c r="AW113" s="257"/>
      <c r="AX113" s="196"/>
      <c r="AY113" s="191"/>
      <c r="AZ113" s="257"/>
      <c r="BA113" s="196"/>
      <c r="BB113" s="46"/>
      <c r="BC113" s="257"/>
      <c r="BD113" s="196"/>
      <c r="BE113" s="191"/>
      <c r="BF113" s="46"/>
      <c r="BG113" s="196"/>
      <c r="BH113" s="46"/>
      <c r="BI113" s="257"/>
      <c r="BJ113" s="196"/>
      <c r="BK113" s="191"/>
      <c r="BL113" s="257"/>
      <c r="BM113" s="196"/>
      <c r="BN113" s="46"/>
      <c r="BO113" s="257"/>
      <c r="BP113" s="196"/>
      <c r="BQ113" s="190"/>
      <c r="BR113" s="46"/>
      <c r="BS113" s="196"/>
      <c r="BT113" s="46"/>
      <c r="BU113" s="257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196"/>
      <c r="CI113" s="46"/>
      <c r="CJ113" s="46"/>
      <c r="CK113" s="46"/>
      <c r="CL113" s="46"/>
      <c r="CM113" s="46"/>
      <c r="CN113" s="196" t="s">
        <v>254</v>
      </c>
      <c r="CO113" s="191" t="s">
        <v>880</v>
      </c>
      <c r="CP113" s="257">
        <v>50000</v>
      </c>
      <c r="CQ113" s="196"/>
      <c r="CR113" s="167"/>
      <c r="CS113" s="257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191"/>
      <c r="DN113" s="46"/>
      <c r="DO113" s="196"/>
      <c r="DP113" s="221"/>
      <c r="DQ113" s="257">
        <f t="shared" si="12"/>
        <v>0</v>
      </c>
      <c r="DR113" s="294"/>
      <c r="DS113" s="295"/>
      <c r="DT113" s="386">
        <f t="shared" si="10"/>
        <v>0</v>
      </c>
      <c r="DU113" s="41"/>
      <c r="DV113" s="41"/>
      <c r="DW113" s="256"/>
      <c r="DX113" s="41"/>
      <c r="DY113" s="41"/>
      <c r="DZ113" s="68"/>
      <c r="EA113" s="41"/>
      <c r="EB113" s="41"/>
      <c r="EC113" s="256"/>
      <c r="ED113" s="308"/>
      <c r="EE113" s="308"/>
      <c r="EF113" s="308"/>
      <c r="EG113" s="41"/>
      <c r="EH113" s="41"/>
      <c r="EI113" s="41"/>
      <c r="EJ113" s="69"/>
      <c r="EK113" s="308"/>
      <c r="EL113" s="308"/>
      <c r="EM113" s="308"/>
      <c r="EN113" s="308"/>
      <c r="EO113" s="41"/>
      <c r="EP113" s="41"/>
      <c r="EQ113" s="41"/>
      <c r="ER113" s="256"/>
      <c r="ES113" s="293"/>
      <c r="ET113" s="293"/>
      <c r="EU113" s="293"/>
      <c r="EV113" s="293"/>
      <c r="EW113" s="41"/>
      <c r="EX113" s="41"/>
      <c r="EY113" s="41"/>
      <c r="EZ113" s="256"/>
      <c r="FA113" s="308"/>
      <c r="FB113" s="308"/>
      <c r="FC113" s="308"/>
      <c r="FD113" s="308"/>
      <c r="FE113" s="41"/>
      <c r="FF113" s="41"/>
      <c r="FG113" s="41"/>
      <c r="FH113" s="256"/>
      <c r="FI113" s="41"/>
      <c r="FJ113" s="41"/>
      <c r="FK113" s="41"/>
      <c r="FL113" s="276"/>
    </row>
    <row r="114" spans="1:168">
      <c r="A114" s="45">
        <v>107</v>
      </c>
      <c r="B114" s="45" t="s">
        <v>210</v>
      </c>
      <c r="C114" s="45">
        <v>5</v>
      </c>
      <c r="D114" s="29" t="s">
        <v>98</v>
      </c>
      <c r="E114" s="30">
        <v>167</v>
      </c>
      <c r="F114" s="30">
        <v>6</v>
      </c>
      <c r="G114" s="246">
        <f>42248.736/1000</f>
        <v>42.248735999999994</v>
      </c>
      <c r="H114" s="45">
        <v>11948.903999999999</v>
      </c>
      <c r="I114" s="45">
        <v>30299.831999999999</v>
      </c>
      <c r="J114" s="397">
        <v>15.686679999999996</v>
      </c>
      <c r="K114" s="495">
        <f t="shared" si="11"/>
        <v>57.935415999999989</v>
      </c>
      <c r="L114" s="578"/>
      <c r="M114" s="45">
        <f t="shared" si="9"/>
        <v>0</v>
      </c>
      <c r="N114" s="46">
        <f t="shared" si="8"/>
        <v>57.935415999999989</v>
      </c>
      <c r="O114" s="46">
        <f t="shared" si="13"/>
        <v>34</v>
      </c>
      <c r="P114" s="234"/>
      <c r="Q114" s="46"/>
      <c r="R114" s="450"/>
      <c r="S114" s="257"/>
      <c r="T114" s="46"/>
      <c r="U114" s="46"/>
      <c r="V114" s="46"/>
      <c r="W114" s="46"/>
      <c r="X114" s="196"/>
      <c r="Y114" s="46"/>
      <c r="Z114" s="46"/>
      <c r="AA114" s="46"/>
      <c r="AB114" s="46"/>
      <c r="AC114" s="46"/>
      <c r="AD114" s="46"/>
      <c r="AE114" s="46"/>
      <c r="AF114" s="196"/>
      <c r="AG114" s="46"/>
      <c r="AH114" s="46"/>
      <c r="AI114" s="46"/>
      <c r="AJ114" s="46"/>
      <c r="AK114" s="46"/>
      <c r="AL114" s="46"/>
      <c r="AM114" s="46"/>
      <c r="AN114" s="196" t="s">
        <v>249</v>
      </c>
      <c r="AO114" s="438" t="s">
        <v>324</v>
      </c>
      <c r="AP114" s="46">
        <v>20</v>
      </c>
      <c r="AQ114" s="368" t="s">
        <v>552</v>
      </c>
      <c r="AR114" s="257">
        <f>AP114*1300</f>
        <v>26000</v>
      </c>
      <c r="AS114" s="196"/>
      <c r="AT114" s="46"/>
      <c r="AU114" s="46"/>
      <c r="AV114" s="196"/>
      <c r="AW114" s="257"/>
      <c r="AX114" s="196"/>
      <c r="AY114" s="191"/>
      <c r="AZ114" s="257"/>
      <c r="BA114" s="196"/>
      <c r="BB114" s="46"/>
      <c r="BC114" s="257"/>
      <c r="BD114" s="196"/>
      <c r="BE114" s="191"/>
      <c r="BF114" s="46"/>
      <c r="BG114" s="196"/>
      <c r="BH114" s="46"/>
      <c r="BI114" s="257"/>
      <c r="BJ114" s="196"/>
      <c r="BK114" s="191"/>
      <c r="BL114" s="257"/>
      <c r="BM114" s="196"/>
      <c r="BN114" s="46"/>
      <c r="BO114" s="257"/>
      <c r="BP114" s="196"/>
      <c r="BQ114" s="190"/>
      <c r="BR114" s="46"/>
      <c r="BS114" s="196"/>
      <c r="BT114" s="46"/>
      <c r="BU114" s="257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196"/>
      <c r="CI114" s="46"/>
      <c r="CJ114" s="46"/>
      <c r="CK114" s="46"/>
      <c r="CL114" s="46"/>
      <c r="CM114" s="46"/>
      <c r="CN114" s="196"/>
      <c r="CO114" s="191"/>
      <c r="CP114" s="257"/>
      <c r="CQ114" s="196"/>
      <c r="CR114" s="167"/>
      <c r="CS114" s="257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191"/>
      <c r="DN114" s="46"/>
      <c r="DO114" s="218"/>
      <c r="DP114" s="221" t="s">
        <v>881</v>
      </c>
      <c r="DQ114" s="257">
        <f>DW114+EC114+EJ114+ER114+EZ114+FH114+8000</f>
        <v>8000</v>
      </c>
      <c r="DR114" s="296"/>
      <c r="DS114" s="295"/>
      <c r="DT114" s="386">
        <f t="shared" si="10"/>
        <v>0</v>
      </c>
      <c r="DU114" s="41"/>
      <c r="DV114" s="41"/>
      <c r="DW114" s="256"/>
      <c r="DX114" s="41"/>
      <c r="DY114" s="41"/>
      <c r="DZ114" s="68"/>
      <c r="EA114" s="41"/>
      <c r="EB114" s="41"/>
      <c r="EC114" s="256"/>
      <c r="ED114" s="308"/>
      <c r="EE114" s="308"/>
      <c r="EF114" s="308"/>
      <c r="EG114" s="41"/>
      <c r="EH114" s="41"/>
      <c r="EI114" s="41"/>
      <c r="EJ114" s="69"/>
      <c r="EK114" s="308"/>
      <c r="EL114" s="308"/>
      <c r="EM114" s="308"/>
      <c r="EN114" s="308"/>
      <c r="EO114" s="41"/>
      <c r="EP114" s="41"/>
      <c r="EQ114" s="41"/>
      <c r="ER114" s="256"/>
      <c r="ES114" s="293"/>
      <c r="ET114" s="293"/>
      <c r="EU114" s="293"/>
      <c r="EV114" s="293"/>
      <c r="EW114" s="41"/>
      <c r="EX114" s="41"/>
      <c r="EY114" s="41"/>
      <c r="EZ114" s="256"/>
      <c r="FA114" s="308"/>
      <c r="FB114" s="308"/>
      <c r="FC114" s="308"/>
      <c r="FD114" s="308"/>
      <c r="FE114" s="41"/>
      <c r="FF114" s="41"/>
      <c r="FG114" s="41"/>
      <c r="FH114" s="256"/>
      <c r="FI114" s="41"/>
      <c r="FJ114" s="41"/>
      <c r="FK114" s="41"/>
      <c r="FL114" s="276"/>
    </row>
    <row r="115" spans="1:168" ht="49.5">
      <c r="A115" s="45">
        <v>108</v>
      </c>
      <c r="B115" s="45" t="s">
        <v>210</v>
      </c>
      <c r="C115" s="45">
        <v>5</v>
      </c>
      <c r="D115" s="29" t="s">
        <v>98</v>
      </c>
      <c r="E115" s="30">
        <v>169</v>
      </c>
      <c r="F115" s="30">
        <v>6</v>
      </c>
      <c r="G115" s="246">
        <f>43422.312/1000</f>
        <v>43.422311999999998</v>
      </c>
      <c r="H115" s="45">
        <v>12280.817999999999</v>
      </c>
      <c r="I115" s="45">
        <v>31141.493999999999</v>
      </c>
      <c r="J115" s="397">
        <v>60.377889999999994</v>
      </c>
      <c r="K115" s="495">
        <f t="shared" si="11"/>
        <v>103.80020199999998</v>
      </c>
      <c r="L115" s="578"/>
      <c r="M115" s="45">
        <f t="shared" si="9"/>
        <v>0</v>
      </c>
      <c r="N115" s="46">
        <f t="shared" si="8"/>
        <v>103.80020199999998</v>
      </c>
      <c r="O115" s="46">
        <f t="shared" si="13"/>
        <v>75</v>
      </c>
      <c r="P115" s="234"/>
      <c r="Q115" s="46"/>
      <c r="R115" s="450"/>
      <c r="S115" s="257"/>
      <c r="T115" s="46"/>
      <c r="U115" s="46"/>
      <c r="V115" s="46"/>
      <c r="W115" s="46"/>
      <c r="X115" s="196"/>
      <c r="Y115" s="46"/>
      <c r="Z115" s="46"/>
      <c r="AA115" s="46"/>
      <c r="AB115" s="46"/>
      <c r="AC115" s="46"/>
      <c r="AD115" s="46"/>
      <c r="AE115" s="46"/>
      <c r="AF115" s="196"/>
      <c r="AG115" s="46"/>
      <c r="AH115" s="46"/>
      <c r="AI115" s="46"/>
      <c r="AJ115" s="46"/>
      <c r="AK115" s="46"/>
      <c r="AL115" s="46"/>
      <c r="AM115" s="46"/>
      <c r="AN115" s="196"/>
      <c r="AO115" s="438"/>
      <c r="AP115" s="46"/>
      <c r="AQ115" s="368"/>
      <c r="AR115" s="257"/>
      <c r="AS115" s="196"/>
      <c r="AT115" s="46"/>
      <c r="AU115" s="46"/>
      <c r="AV115" s="196"/>
      <c r="AW115" s="257"/>
      <c r="AX115" s="196"/>
      <c r="AY115" s="191"/>
      <c r="AZ115" s="257"/>
      <c r="BA115" s="196"/>
      <c r="BB115" s="46"/>
      <c r="BC115" s="257"/>
      <c r="BD115" s="196"/>
      <c r="BE115" s="191"/>
      <c r="BF115" s="46"/>
      <c r="BG115" s="196"/>
      <c r="BH115" s="46"/>
      <c r="BI115" s="257"/>
      <c r="BJ115" s="196"/>
      <c r="BK115" s="191"/>
      <c r="BL115" s="257"/>
      <c r="BM115" s="196"/>
      <c r="BN115" s="46"/>
      <c r="BO115" s="257"/>
      <c r="BP115" s="196"/>
      <c r="BQ115" s="190"/>
      <c r="BR115" s="46"/>
      <c r="BS115" s="196"/>
      <c r="BT115" s="46"/>
      <c r="BU115" s="257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196"/>
      <c r="CI115" s="46"/>
      <c r="CJ115" s="46"/>
      <c r="CK115" s="46"/>
      <c r="CL115" s="46"/>
      <c r="CM115" s="46"/>
      <c r="CN115" s="196"/>
      <c r="CO115" s="191"/>
      <c r="CP115" s="257"/>
      <c r="CQ115" s="196"/>
      <c r="CR115" s="167"/>
      <c r="CS115" s="257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191"/>
      <c r="DN115" s="46"/>
      <c r="DO115" s="196"/>
      <c r="DP115" s="221" t="s">
        <v>882</v>
      </c>
      <c r="DQ115" s="257">
        <f>DW115+EC115+EJ115+ER115+EZ115+FH115+5000+5000+60000</f>
        <v>75000</v>
      </c>
      <c r="DR115" s="294"/>
      <c r="DS115" s="295"/>
      <c r="DT115" s="386">
        <f t="shared" si="10"/>
        <v>0</v>
      </c>
      <c r="DU115" s="41"/>
      <c r="DV115" s="41"/>
      <c r="DW115" s="256"/>
      <c r="DX115" s="41"/>
      <c r="DY115" s="41"/>
      <c r="DZ115" s="68"/>
      <c r="EA115" s="41"/>
      <c r="EB115" s="41"/>
      <c r="EC115" s="256"/>
      <c r="ED115" s="308"/>
      <c r="EE115" s="308"/>
      <c r="EF115" s="308"/>
      <c r="EG115" s="41"/>
      <c r="EH115" s="41"/>
      <c r="EI115" s="41"/>
      <c r="EJ115" s="69"/>
      <c r="EK115" s="308"/>
      <c r="EL115" s="308"/>
      <c r="EM115" s="308"/>
      <c r="EN115" s="308"/>
      <c r="EO115" s="41">
        <v>10</v>
      </c>
      <c r="EP115" s="41">
        <v>1</v>
      </c>
      <c r="EQ115" s="41">
        <v>1</v>
      </c>
      <c r="ER115" s="256">
        <v>5000</v>
      </c>
      <c r="ES115" s="293"/>
      <c r="ET115" s="293"/>
      <c r="EU115" s="293"/>
      <c r="EV115" s="293"/>
      <c r="EW115" s="41"/>
      <c r="EX115" s="41"/>
      <c r="EY115" s="41"/>
      <c r="EZ115" s="256"/>
      <c r="FA115" s="308"/>
      <c r="FB115" s="308"/>
      <c r="FC115" s="308"/>
      <c r="FD115" s="308"/>
      <c r="FE115" s="41"/>
      <c r="FF115" s="41"/>
      <c r="FG115" s="41"/>
      <c r="FH115" s="256"/>
      <c r="FI115" s="41"/>
      <c r="FJ115" s="41"/>
      <c r="FK115" s="41"/>
      <c r="FL115" s="276"/>
    </row>
    <row r="116" spans="1:168">
      <c r="A116" s="45">
        <v>109</v>
      </c>
      <c r="B116" s="45" t="s">
        <v>210</v>
      </c>
      <c r="C116" s="45">
        <v>5</v>
      </c>
      <c r="D116" s="29" t="s">
        <v>497</v>
      </c>
      <c r="E116" s="177">
        <v>171</v>
      </c>
      <c r="F116" s="188">
        <v>6</v>
      </c>
      <c r="G116" s="246">
        <f>86835.8496/1000</f>
        <v>86.835849600000003</v>
      </c>
      <c r="H116" s="45">
        <v>24559.154399999999</v>
      </c>
      <c r="I116" s="45">
        <v>62276.695199999995</v>
      </c>
      <c r="J116" s="397">
        <v>101.16682</v>
      </c>
      <c r="K116" s="495">
        <f t="shared" si="11"/>
        <v>188.00266959999999</v>
      </c>
      <c r="L116" s="578"/>
      <c r="M116" s="45">
        <f t="shared" si="9"/>
        <v>0</v>
      </c>
      <c r="N116" s="46">
        <f>K116-M116</f>
        <v>188.00266959999999</v>
      </c>
      <c r="O116" s="46">
        <f t="shared" si="13"/>
        <v>166.8</v>
      </c>
      <c r="P116" s="234" t="s">
        <v>254</v>
      </c>
      <c r="Q116" s="46">
        <v>1</v>
      </c>
      <c r="R116" s="450">
        <v>1</v>
      </c>
      <c r="S116" s="257">
        <v>90000</v>
      </c>
      <c r="T116" s="46"/>
      <c r="U116" s="46"/>
      <c r="V116" s="46"/>
      <c r="W116" s="46"/>
      <c r="X116" s="196"/>
      <c r="Y116" s="46"/>
      <c r="Z116" s="46"/>
      <c r="AA116" s="46"/>
      <c r="AB116" s="46"/>
      <c r="AC116" s="46"/>
      <c r="AD116" s="46"/>
      <c r="AE116" s="46"/>
      <c r="AF116" s="196"/>
      <c r="AG116" s="46"/>
      <c r="AH116" s="46"/>
      <c r="AI116" s="46"/>
      <c r="AJ116" s="46"/>
      <c r="AK116" s="46"/>
      <c r="AL116" s="46"/>
      <c r="AM116" s="46"/>
      <c r="AN116" s="196"/>
      <c r="AO116" s="438"/>
      <c r="AP116" s="46"/>
      <c r="AQ116" s="368"/>
      <c r="AR116" s="257"/>
      <c r="AS116" s="196"/>
      <c r="AT116" s="46"/>
      <c r="AU116" s="46"/>
      <c r="AV116" s="196"/>
      <c r="AW116" s="257"/>
      <c r="AX116" s="196"/>
      <c r="AY116" s="191"/>
      <c r="AZ116" s="257"/>
      <c r="BA116" s="196"/>
      <c r="BB116" s="46"/>
      <c r="BC116" s="257"/>
      <c r="BD116" s="196"/>
      <c r="BE116" s="191"/>
      <c r="BF116" s="46"/>
      <c r="BG116" s="196"/>
      <c r="BH116" s="46"/>
      <c r="BI116" s="257"/>
      <c r="BJ116" s="196"/>
      <c r="BK116" s="191"/>
      <c r="BL116" s="257"/>
      <c r="BM116" s="196"/>
      <c r="BN116" s="46"/>
      <c r="BO116" s="257"/>
      <c r="BP116" s="196"/>
      <c r="BQ116" s="190"/>
      <c r="BR116" s="46"/>
      <c r="BS116" s="196"/>
      <c r="BT116" s="46"/>
      <c r="BU116" s="257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196"/>
      <c r="CI116" s="46"/>
      <c r="CJ116" s="46"/>
      <c r="CK116" s="46"/>
      <c r="CL116" s="46"/>
      <c r="CM116" s="46"/>
      <c r="CN116" s="196"/>
      <c r="CO116" s="191"/>
      <c r="CP116" s="257"/>
      <c r="CQ116" s="196"/>
      <c r="CR116" s="167"/>
      <c r="CS116" s="257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191"/>
      <c r="DN116" s="46"/>
      <c r="DO116" s="218"/>
      <c r="DP116" s="221" t="s">
        <v>851</v>
      </c>
      <c r="DQ116" s="257">
        <f t="shared" si="12"/>
        <v>76800</v>
      </c>
      <c r="DR116" s="294"/>
      <c r="DS116" s="295"/>
      <c r="DT116" s="386">
        <f t="shared" si="10"/>
        <v>0</v>
      </c>
      <c r="DU116" s="41"/>
      <c r="DV116" s="41"/>
      <c r="DW116" s="256"/>
      <c r="DX116" s="41"/>
      <c r="DY116" s="41"/>
      <c r="DZ116" s="68"/>
      <c r="EA116" s="41">
        <v>8</v>
      </c>
      <c r="EB116" s="41">
        <v>96</v>
      </c>
      <c r="EC116" s="256">
        <f>EB116*800</f>
        <v>76800</v>
      </c>
      <c r="ED116" s="308"/>
      <c r="EE116" s="308"/>
      <c r="EF116" s="308"/>
      <c r="EG116" s="41"/>
      <c r="EH116" s="41"/>
      <c r="EI116" s="41"/>
      <c r="EJ116" s="69"/>
      <c r="EK116" s="308"/>
      <c r="EL116" s="308"/>
      <c r="EM116" s="308"/>
      <c r="EN116" s="308"/>
      <c r="EO116" s="41"/>
      <c r="EP116" s="41"/>
      <c r="EQ116" s="41"/>
      <c r="ER116" s="256"/>
      <c r="ES116" s="293"/>
      <c r="ET116" s="293"/>
      <c r="EU116" s="293"/>
      <c r="EV116" s="293"/>
      <c r="EW116" s="41"/>
      <c r="EX116" s="41"/>
      <c r="EY116" s="41"/>
      <c r="EZ116" s="256"/>
      <c r="FA116" s="308"/>
      <c r="FB116" s="308"/>
      <c r="FC116" s="308"/>
      <c r="FD116" s="308"/>
      <c r="FE116" s="41"/>
      <c r="FF116" s="41"/>
      <c r="FG116" s="41"/>
      <c r="FH116" s="256"/>
      <c r="FI116" s="41"/>
      <c r="FJ116" s="41"/>
      <c r="FK116" s="41"/>
      <c r="FL116" s="276"/>
    </row>
    <row r="117" spans="1:168">
      <c r="A117" s="45">
        <v>110</v>
      </c>
      <c r="B117" s="45" t="s">
        <v>210</v>
      </c>
      <c r="C117" s="45">
        <v>5</v>
      </c>
      <c r="D117" s="29" t="s">
        <v>98</v>
      </c>
      <c r="E117" s="30">
        <v>173</v>
      </c>
      <c r="F117" s="30">
        <v>7</v>
      </c>
      <c r="G117" s="246">
        <f>63438.228/1000</f>
        <v>63.438228000000002</v>
      </c>
      <c r="H117" s="45">
        <v>0</v>
      </c>
      <c r="I117" s="45">
        <v>63438.228000000003</v>
      </c>
      <c r="J117" s="397">
        <v>-358.82089999999994</v>
      </c>
      <c r="K117" s="495">
        <f t="shared" si="11"/>
        <v>-295.38267199999996</v>
      </c>
      <c r="L117" s="578"/>
      <c r="M117" s="45">
        <f t="shared" si="9"/>
        <v>0</v>
      </c>
      <c r="N117" s="46">
        <f t="shared" si="8"/>
        <v>-295.38267199999996</v>
      </c>
      <c r="O117" s="46">
        <f t="shared" si="13"/>
        <v>0</v>
      </c>
      <c r="P117" s="234"/>
      <c r="Q117" s="46"/>
      <c r="R117" s="450"/>
      <c r="S117" s="257"/>
      <c r="T117" s="46"/>
      <c r="U117" s="46"/>
      <c r="V117" s="46"/>
      <c r="W117" s="46"/>
      <c r="X117" s="196"/>
      <c r="Y117" s="46"/>
      <c r="Z117" s="46"/>
      <c r="AA117" s="46"/>
      <c r="AB117" s="46"/>
      <c r="AC117" s="46"/>
      <c r="AD117" s="46"/>
      <c r="AE117" s="46"/>
      <c r="AF117" s="196"/>
      <c r="AG117" s="46"/>
      <c r="AH117" s="46"/>
      <c r="AI117" s="46"/>
      <c r="AJ117" s="46"/>
      <c r="AK117" s="46"/>
      <c r="AL117" s="46"/>
      <c r="AM117" s="46"/>
      <c r="AN117" s="196"/>
      <c r="AO117" s="438"/>
      <c r="AP117" s="162"/>
      <c r="AQ117" s="368"/>
      <c r="AR117" s="257"/>
      <c r="AS117" s="196"/>
      <c r="AT117" s="46"/>
      <c r="AU117" s="46"/>
      <c r="AV117" s="196"/>
      <c r="AW117" s="257"/>
      <c r="AX117" s="196"/>
      <c r="AY117" s="191"/>
      <c r="AZ117" s="257"/>
      <c r="BA117" s="196"/>
      <c r="BB117" s="46"/>
      <c r="BC117" s="257"/>
      <c r="BD117" s="196"/>
      <c r="BE117" s="191"/>
      <c r="BF117" s="46"/>
      <c r="BG117" s="196"/>
      <c r="BH117" s="46"/>
      <c r="BI117" s="257"/>
      <c r="BJ117" s="196"/>
      <c r="BK117" s="191"/>
      <c r="BL117" s="257"/>
      <c r="BM117" s="196"/>
      <c r="BN117" s="46"/>
      <c r="BO117" s="257"/>
      <c r="BP117" s="196"/>
      <c r="BQ117" s="190"/>
      <c r="BR117" s="46"/>
      <c r="BS117" s="196"/>
      <c r="BT117" s="46"/>
      <c r="BU117" s="257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196"/>
      <c r="CI117" s="46"/>
      <c r="CJ117" s="46"/>
      <c r="CK117" s="46"/>
      <c r="CL117" s="46"/>
      <c r="CM117" s="46"/>
      <c r="CN117" s="196"/>
      <c r="CO117" s="191"/>
      <c r="CP117" s="257"/>
      <c r="CQ117" s="196"/>
      <c r="CR117" s="167"/>
      <c r="CS117" s="257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191"/>
      <c r="DN117" s="46"/>
      <c r="DO117" s="196"/>
      <c r="DP117" s="221"/>
      <c r="DQ117" s="257">
        <f t="shared" si="12"/>
        <v>0</v>
      </c>
      <c r="DR117" s="294"/>
      <c r="DS117" s="295"/>
      <c r="DT117" s="386">
        <f t="shared" si="10"/>
        <v>0</v>
      </c>
      <c r="DU117" s="41"/>
      <c r="DV117" s="41"/>
      <c r="DW117" s="256"/>
      <c r="DX117" s="41"/>
      <c r="DY117" s="41"/>
      <c r="DZ117" s="68"/>
      <c r="EA117" s="41"/>
      <c r="EB117" s="41"/>
      <c r="EC117" s="256"/>
      <c r="ED117" s="308"/>
      <c r="EE117" s="308"/>
      <c r="EF117" s="308"/>
      <c r="EG117" s="41"/>
      <c r="EH117" s="41"/>
      <c r="EI117" s="41"/>
      <c r="EJ117" s="69"/>
      <c r="EK117" s="308"/>
      <c r="EL117" s="308"/>
      <c r="EM117" s="308"/>
      <c r="EN117" s="308"/>
      <c r="EO117" s="41"/>
      <c r="EP117" s="41"/>
      <c r="EQ117" s="41"/>
      <c r="ER117" s="256"/>
      <c r="ES117" s="293"/>
      <c r="ET117" s="293"/>
      <c r="EU117" s="293"/>
      <c r="EV117" s="293"/>
      <c r="EW117" s="41"/>
      <c r="EX117" s="41"/>
      <c r="EY117" s="41"/>
      <c r="EZ117" s="256"/>
      <c r="FA117" s="308"/>
      <c r="FB117" s="308"/>
      <c r="FC117" s="308"/>
      <c r="FD117" s="308"/>
      <c r="FE117" s="41"/>
      <c r="FF117" s="41"/>
      <c r="FG117" s="41"/>
      <c r="FH117" s="256"/>
      <c r="FI117" s="41"/>
      <c r="FJ117" s="41"/>
      <c r="FK117" s="41"/>
      <c r="FL117" s="276"/>
    </row>
    <row r="118" spans="1:168">
      <c r="A118" s="45">
        <v>111</v>
      </c>
      <c r="B118" s="45" t="s">
        <v>210</v>
      </c>
      <c r="C118" s="45">
        <v>5</v>
      </c>
      <c r="D118" s="29" t="s">
        <v>98</v>
      </c>
      <c r="E118" s="30">
        <v>179</v>
      </c>
      <c r="F118" s="30">
        <v>5</v>
      </c>
      <c r="G118" s="246">
        <f>74785.788/1000</f>
        <v>74.785787999999997</v>
      </c>
      <c r="H118" s="45">
        <v>74785.788</v>
      </c>
      <c r="I118" s="45">
        <v>0</v>
      </c>
      <c r="J118" s="397">
        <v>-45.591789999999982</v>
      </c>
      <c r="K118" s="495">
        <f t="shared" si="11"/>
        <v>29.193998000000015</v>
      </c>
      <c r="L118" s="578"/>
      <c r="M118" s="45">
        <f t="shared" si="9"/>
        <v>0</v>
      </c>
      <c r="N118" s="46">
        <f t="shared" si="8"/>
        <v>29.193998000000015</v>
      </c>
      <c r="O118" s="46">
        <f t="shared" si="13"/>
        <v>26</v>
      </c>
      <c r="P118" s="234"/>
      <c r="Q118" s="46"/>
      <c r="R118" s="450"/>
      <c r="S118" s="257"/>
      <c r="T118" s="46"/>
      <c r="U118" s="46"/>
      <c r="V118" s="46"/>
      <c r="W118" s="46"/>
      <c r="X118" s="196"/>
      <c r="Y118" s="46"/>
      <c r="Z118" s="46"/>
      <c r="AA118" s="46"/>
      <c r="AB118" s="46"/>
      <c r="AC118" s="46"/>
      <c r="AD118" s="46"/>
      <c r="AE118" s="46"/>
      <c r="AF118" s="196"/>
      <c r="AG118" s="46"/>
      <c r="AH118" s="46"/>
      <c r="AI118" s="46"/>
      <c r="AJ118" s="46"/>
      <c r="AK118" s="46"/>
      <c r="AL118" s="46"/>
      <c r="AM118" s="46"/>
      <c r="AN118" s="196" t="s">
        <v>248</v>
      </c>
      <c r="AO118" s="438" t="s">
        <v>324</v>
      </c>
      <c r="AP118" s="46">
        <v>20</v>
      </c>
      <c r="AQ118" s="368" t="s">
        <v>522</v>
      </c>
      <c r="AR118" s="257">
        <f>AP118*1300</f>
        <v>26000</v>
      </c>
      <c r="AS118" s="196"/>
      <c r="AT118" s="46"/>
      <c r="AU118" s="46"/>
      <c r="AV118" s="196"/>
      <c r="AW118" s="257"/>
      <c r="AX118" s="196"/>
      <c r="AY118" s="191"/>
      <c r="AZ118" s="257"/>
      <c r="BA118" s="196"/>
      <c r="BB118" s="46"/>
      <c r="BC118" s="257"/>
      <c r="BD118" s="196"/>
      <c r="BE118" s="191"/>
      <c r="BF118" s="46"/>
      <c r="BG118" s="196"/>
      <c r="BH118" s="46"/>
      <c r="BI118" s="257"/>
      <c r="BJ118" s="196"/>
      <c r="BK118" s="191"/>
      <c r="BL118" s="257"/>
      <c r="BM118" s="196"/>
      <c r="BN118" s="46"/>
      <c r="BO118" s="257"/>
      <c r="BP118" s="196"/>
      <c r="BQ118" s="190"/>
      <c r="BR118" s="46"/>
      <c r="BS118" s="196"/>
      <c r="BT118" s="46"/>
      <c r="BU118" s="257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196"/>
      <c r="CI118" s="46"/>
      <c r="CJ118" s="46"/>
      <c r="CK118" s="46"/>
      <c r="CL118" s="46"/>
      <c r="CM118" s="46"/>
      <c r="CN118" s="196"/>
      <c r="CO118" s="191"/>
      <c r="CP118" s="257"/>
      <c r="CQ118" s="196"/>
      <c r="CR118" s="167"/>
      <c r="CS118" s="257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191"/>
      <c r="DN118" s="46"/>
      <c r="DO118" s="196"/>
      <c r="DP118" s="221"/>
      <c r="DQ118" s="257">
        <f t="shared" si="12"/>
        <v>0</v>
      </c>
      <c r="DR118" s="294"/>
      <c r="DS118" s="295"/>
      <c r="DT118" s="386">
        <f t="shared" si="10"/>
        <v>0</v>
      </c>
      <c r="DU118" s="41"/>
      <c r="DV118" s="41"/>
      <c r="DW118" s="256"/>
      <c r="DX118" s="41"/>
      <c r="DY118" s="41"/>
      <c r="DZ118" s="68"/>
      <c r="EA118" s="41"/>
      <c r="EB118" s="41"/>
      <c r="EC118" s="256"/>
      <c r="ED118" s="308"/>
      <c r="EE118" s="308"/>
      <c r="EF118" s="308"/>
      <c r="EG118" s="41"/>
      <c r="EH118" s="41"/>
      <c r="EI118" s="41"/>
      <c r="EJ118" s="69"/>
      <c r="EK118" s="308"/>
      <c r="EL118" s="308"/>
      <c r="EM118" s="308"/>
      <c r="EN118" s="308"/>
      <c r="EO118" s="41"/>
      <c r="EP118" s="41"/>
      <c r="EQ118" s="41"/>
      <c r="ER118" s="256"/>
      <c r="ES118" s="293"/>
      <c r="ET118" s="293"/>
      <c r="EU118" s="293"/>
      <c r="EV118" s="293"/>
      <c r="EW118" s="41"/>
      <c r="EX118" s="41"/>
      <c r="EY118" s="41"/>
      <c r="EZ118" s="256"/>
      <c r="FA118" s="308"/>
      <c r="FB118" s="308"/>
      <c r="FC118" s="308"/>
      <c r="FD118" s="308"/>
      <c r="FE118" s="46"/>
      <c r="FF118" s="41"/>
      <c r="FG118" s="41"/>
      <c r="FH118" s="256"/>
      <c r="FI118" s="41"/>
      <c r="FJ118" s="41"/>
      <c r="FK118" s="41"/>
      <c r="FL118" s="276"/>
    </row>
    <row r="119" spans="1:168">
      <c r="A119" s="45">
        <v>112</v>
      </c>
      <c r="B119" s="45" t="s">
        <v>210</v>
      </c>
      <c r="C119" s="45">
        <v>5</v>
      </c>
      <c r="D119" s="29" t="s">
        <v>98</v>
      </c>
      <c r="E119" s="30" t="s">
        <v>107</v>
      </c>
      <c r="F119" s="30">
        <v>5</v>
      </c>
      <c r="G119" s="246">
        <f>79293.06/1000</f>
        <v>79.293059999999997</v>
      </c>
      <c r="H119" s="45">
        <v>79293.06</v>
      </c>
      <c r="I119" s="45">
        <v>0</v>
      </c>
      <c r="J119" s="397">
        <v>-85.630440000000007</v>
      </c>
      <c r="K119" s="495">
        <f t="shared" si="11"/>
        <v>-6.3373800000000102</v>
      </c>
      <c r="L119" s="578"/>
      <c r="M119" s="45">
        <f t="shared" si="9"/>
        <v>0</v>
      </c>
      <c r="N119" s="46">
        <f t="shared" si="8"/>
        <v>-6.3373800000000102</v>
      </c>
      <c r="O119" s="46">
        <f t="shared" si="13"/>
        <v>0</v>
      </c>
      <c r="P119" s="234"/>
      <c r="Q119" s="46"/>
      <c r="R119" s="450"/>
      <c r="S119" s="257"/>
      <c r="T119" s="46"/>
      <c r="U119" s="46"/>
      <c r="V119" s="46"/>
      <c r="W119" s="46"/>
      <c r="X119" s="196"/>
      <c r="Y119" s="46"/>
      <c r="Z119" s="46"/>
      <c r="AA119" s="46"/>
      <c r="AB119" s="46"/>
      <c r="AC119" s="46"/>
      <c r="AD119" s="46"/>
      <c r="AE119" s="46"/>
      <c r="AF119" s="196"/>
      <c r="AG119" s="46"/>
      <c r="AH119" s="46"/>
      <c r="AI119" s="46"/>
      <c r="AJ119" s="46"/>
      <c r="AK119" s="46"/>
      <c r="AL119" s="46"/>
      <c r="AM119" s="46"/>
      <c r="AN119" s="196"/>
      <c r="AO119" s="438"/>
      <c r="AP119" s="46"/>
      <c r="AQ119" s="368"/>
      <c r="AR119" s="257"/>
      <c r="AS119" s="196"/>
      <c r="AT119" s="46"/>
      <c r="AU119" s="46"/>
      <c r="AV119" s="196"/>
      <c r="AW119" s="257"/>
      <c r="AX119" s="196"/>
      <c r="AY119" s="191"/>
      <c r="AZ119" s="257"/>
      <c r="BA119" s="196"/>
      <c r="BB119" s="46"/>
      <c r="BC119" s="257"/>
      <c r="BD119" s="196"/>
      <c r="BE119" s="191"/>
      <c r="BF119" s="46"/>
      <c r="BG119" s="196"/>
      <c r="BH119" s="46"/>
      <c r="BI119" s="257"/>
      <c r="BJ119" s="196"/>
      <c r="BK119" s="191"/>
      <c r="BL119" s="257"/>
      <c r="BM119" s="196"/>
      <c r="BN119" s="46"/>
      <c r="BO119" s="257"/>
      <c r="BP119" s="196"/>
      <c r="BQ119" s="190"/>
      <c r="BR119" s="46"/>
      <c r="BS119" s="196"/>
      <c r="BT119" s="46"/>
      <c r="BU119" s="257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196"/>
      <c r="CI119" s="46"/>
      <c r="CJ119" s="46"/>
      <c r="CK119" s="46"/>
      <c r="CL119" s="46"/>
      <c r="CM119" s="46"/>
      <c r="CN119" s="196"/>
      <c r="CO119" s="191"/>
      <c r="CP119" s="257"/>
      <c r="CQ119" s="196"/>
      <c r="CR119" s="167"/>
      <c r="CS119" s="257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191"/>
      <c r="DN119" s="46"/>
      <c r="DO119" s="196"/>
      <c r="DP119" s="221"/>
      <c r="DQ119" s="257">
        <f t="shared" si="12"/>
        <v>0</v>
      </c>
      <c r="DR119" s="294"/>
      <c r="DS119" s="295"/>
      <c r="DT119" s="386">
        <f t="shared" si="10"/>
        <v>0</v>
      </c>
      <c r="DU119" s="41"/>
      <c r="DV119" s="41"/>
      <c r="DW119" s="256"/>
      <c r="DX119" s="41"/>
      <c r="DY119" s="41"/>
      <c r="DZ119" s="68"/>
      <c r="EA119" s="41"/>
      <c r="EB119" s="41"/>
      <c r="EC119" s="256"/>
      <c r="ED119" s="308"/>
      <c r="EE119" s="308"/>
      <c r="EF119" s="308"/>
      <c r="EG119" s="41"/>
      <c r="EH119" s="41"/>
      <c r="EI119" s="41"/>
      <c r="EJ119" s="69"/>
      <c r="EK119" s="308"/>
      <c r="EL119" s="308"/>
      <c r="EM119" s="308"/>
      <c r="EN119" s="308"/>
      <c r="EO119" s="41"/>
      <c r="EP119" s="41"/>
      <c r="EQ119" s="41"/>
      <c r="ER119" s="256"/>
      <c r="ES119" s="293"/>
      <c r="ET119" s="293"/>
      <c r="EU119" s="293"/>
      <c r="EV119" s="293"/>
      <c r="EW119" s="41"/>
      <c r="EX119" s="41"/>
      <c r="EY119" s="41"/>
      <c r="EZ119" s="256"/>
      <c r="FA119" s="308"/>
      <c r="FB119" s="308"/>
      <c r="FC119" s="308"/>
      <c r="FD119" s="308"/>
      <c r="FE119" s="46"/>
      <c r="FF119" s="41"/>
      <c r="FG119" s="41"/>
      <c r="FH119" s="256"/>
      <c r="FI119" s="41"/>
      <c r="FJ119" s="41"/>
      <c r="FK119" s="41"/>
      <c r="FL119" s="276"/>
    </row>
    <row r="120" spans="1:168">
      <c r="A120" s="45">
        <v>113</v>
      </c>
      <c r="B120" s="45" t="s">
        <v>210</v>
      </c>
      <c r="C120" s="45">
        <v>5</v>
      </c>
      <c r="D120" s="29" t="s">
        <v>98</v>
      </c>
      <c r="E120" s="30">
        <v>181</v>
      </c>
      <c r="F120" s="30">
        <v>5</v>
      </c>
      <c r="G120" s="246">
        <f>79426.116/1000</f>
        <v>79.426115999999993</v>
      </c>
      <c r="H120" s="45">
        <v>79426.115999999995</v>
      </c>
      <c r="I120" s="45">
        <v>0</v>
      </c>
      <c r="J120" s="397">
        <v>128.59844999999999</v>
      </c>
      <c r="K120" s="495">
        <f t="shared" si="11"/>
        <v>208.02456599999999</v>
      </c>
      <c r="L120" s="578"/>
      <c r="M120" s="45">
        <f t="shared" si="9"/>
        <v>0</v>
      </c>
      <c r="N120" s="46">
        <f t="shared" si="8"/>
        <v>208.02456599999999</v>
      </c>
      <c r="O120" s="46">
        <f t="shared" si="13"/>
        <v>157.30000000000001</v>
      </c>
      <c r="P120" s="234"/>
      <c r="Q120" s="46"/>
      <c r="R120" s="450"/>
      <c r="S120" s="257"/>
      <c r="T120" s="46"/>
      <c r="U120" s="46"/>
      <c r="V120" s="46"/>
      <c r="W120" s="46"/>
      <c r="X120" s="196"/>
      <c r="Y120" s="46"/>
      <c r="Z120" s="46"/>
      <c r="AA120" s="46"/>
      <c r="AB120" s="46"/>
      <c r="AC120" s="46"/>
      <c r="AD120" s="46"/>
      <c r="AE120" s="46"/>
      <c r="AF120" s="196"/>
      <c r="AG120" s="46"/>
      <c r="AH120" s="46"/>
      <c r="AI120" s="46"/>
      <c r="AJ120" s="46"/>
      <c r="AK120" s="46"/>
      <c r="AL120" s="46"/>
      <c r="AM120" s="46"/>
      <c r="AN120" s="196"/>
      <c r="AO120" s="438"/>
      <c r="AP120" s="46"/>
      <c r="AQ120" s="368"/>
      <c r="AR120" s="257"/>
      <c r="AS120" s="196"/>
      <c r="AT120" s="46"/>
      <c r="AU120" s="46"/>
      <c r="AV120" s="196"/>
      <c r="AW120" s="257"/>
      <c r="AX120" s="196"/>
      <c r="AY120" s="191"/>
      <c r="AZ120" s="257"/>
      <c r="BA120" s="196"/>
      <c r="BB120" s="46"/>
      <c r="BC120" s="257"/>
      <c r="BD120" s="196"/>
      <c r="BE120" s="191"/>
      <c r="BF120" s="46"/>
      <c r="BG120" s="196"/>
      <c r="BH120" s="46"/>
      <c r="BI120" s="257"/>
      <c r="BJ120" s="196"/>
      <c r="BK120" s="190"/>
      <c r="BL120" s="257"/>
      <c r="BM120" s="196"/>
      <c r="BN120" s="46"/>
      <c r="BO120" s="257"/>
      <c r="BP120" s="196"/>
      <c r="BQ120" s="190"/>
      <c r="BR120" s="46"/>
      <c r="BS120" s="196"/>
      <c r="BT120" s="46"/>
      <c r="BU120" s="257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196" t="s">
        <v>228</v>
      </c>
      <c r="CI120" s="46">
        <v>7</v>
      </c>
      <c r="CJ120" s="46">
        <f>CI120*7500</f>
        <v>52500</v>
      </c>
      <c r="CK120" s="46"/>
      <c r="CL120" s="46"/>
      <c r="CM120" s="46"/>
      <c r="CN120" s="196"/>
      <c r="CO120" s="191"/>
      <c r="CP120" s="257"/>
      <c r="CQ120" s="196"/>
      <c r="CR120" s="167"/>
      <c r="CS120" s="257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191"/>
      <c r="DN120" s="46"/>
      <c r="DO120" s="196"/>
      <c r="DP120" s="221" t="s">
        <v>883</v>
      </c>
      <c r="DQ120" s="257">
        <f t="shared" si="12"/>
        <v>104800</v>
      </c>
      <c r="DR120" s="294"/>
      <c r="DS120" s="295"/>
      <c r="DT120" s="386">
        <f t="shared" si="10"/>
        <v>0</v>
      </c>
      <c r="DU120" s="41"/>
      <c r="DV120" s="41"/>
      <c r="DW120" s="256"/>
      <c r="DX120" s="41"/>
      <c r="DY120" s="41"/>
      <c r="DZ120" s="68"/>
      <c r="EA120" s="41">
        <v>8</v>
      </c>
      <c r="EB120" s="41">
        <v>131</v>
      </c>
      <c r="EC120" s="256">
        <f>EB120*800</f>
        <v>104800</v>
      </c>
      <c r="ED120" s="308"/>
      <c r="EE120" s="308"/>
      <c r="EF120" s="308"/>
      <c r="EG120" s="41"/>
      <c r="EH120" s="41"/>
      <c r="EI120" s="41"/>
      <c r="EJ120" s="69"/>
      <c r="EK120" s="308"/>
      <c r="EL120" s="308"/>
      <c r="EM120" s="308"/>
      <c r="EN120" s="308"/>
      <c r="EO120" s="41"/>
      <c r="EP120" s="41"/>
      <c r="EQ120" s="41"/>
      <c r="ER120" s="256"/>
      <c r="ES120" s="293"/>
      <c r="ET120" s="293"/>
      <c r="EU120" s="293"/>
      <c r="EV120" s="293"/>
      <c r="EW120" s="41"/>
      <c r="EX120" s="41"/>
      <c r="EY120" s="41"/>
      <c r="EZ120" s="256"/>
      <c r="FA120" s="308"/>
      <c r="FB120" s="308"/>
      <c r="FC120" s="308"/>
      <c r="FD120" s="308"/>
      <c r="FE120" s="46"/>
      <c r="FF120" s="41"/>
      <c r="FG120" s="41"/>
      <c r="FH120" s="256"/>
      <c r="FI120" s="60"/>
      <c r="FJ120" s="41"/>
      <c r="FK120" s="41"/>
      <c r="FL120" s="276"/>
    </row>
    <row r="121" spans="1:168">
      <c r="A121" s="45">
        <v>114</v>
      </c>
      <c r="B121" s="45" t="s">
        <v>210</v>
      </c>
      <c r="C121" s="45">
        <v>5</v>
      </c>
      <c r="D121" s="29" t="s">
        <v>98</v>
      </c>
      <c r="E121" s="30">
        <v>185</v>
      </c>
      <c r="F121" s="30">
        <v>5</v>
      </c>
      <c r="G121" s="246">
        <f>79409.484/1000</f>
        <v>79.409483999999992</v>
      </c>
      <c r="H121" s="45">
        <v>79409.483999999997</v>
      </c>
      <c r="I121" s="45">
        <v>0</v>
      </c>
      <c r="J121" s="397">
        <v>168.25609999999998</v>
      </c>
      <c r="K121" s="495">
        <f t="shared" si="11"/>
        <v>247.66558399999997</v>
      </c>
      <c r="L121" s="578"/>
      <c r="M121" s="45">
        <f t="shared" si="9"/>
        <v>0</v>
      </c>
      <c r="N121" s="46">
        <f t="shared" si="8"/>
        <v>247.66558399999997</v>
      </c>
      <c r="O121" s="46">
        <f t="shared" si="13"/>
        <v>205</v>
      </c>
      <c r="P121" s="234" t="s">
        <v>226</v>
      </c>
      <c r="Q121" s="46">
        <v>1</v>
      </c>
      <c r="R121" s="450">
        <v>2</v>
      </c>
      <c r="S121" s="257">
        <v>90000</v>
      </c>
      <c r="T121" s="46"/>
      <c r="U121" s="46"/>
      <c r="V121" s="46"/>
      <c r="W121" s="46"/>
      <c r="X121" s="196"/>
      <c r="Y121" s="46"/>
      <c r="Z121" s="46"/>
      <c r="AA121" s="46"/>
      <c r="AB121" s="46"/>
      <c r="AC121" s="46"/>
      <c r="AD121" s="46"/>
      <c r="AE121" s="46"/>
      <c r="AF121" s="196"/>
      <c r="AG121" s="46"/>
      <c r="AH121" s="46"/>
      <c r="AI121" s="46"/>
      <c r="AJ121" s="46"/>
      <c r="AK121" s="46"/>
      <c r="AL121" s="46"/>
      <c r="AM121" s="46"/>
      <c r="AN121" s="196" t="s">
        <v>228</v>
      </c>
      <c r="AO121" s="438" t="s">
        <v>335</v>
      </c>
      <c r="AP121" s="46">
        <v>50</v>
      </c>
      <c r="AQ121" s="368" t="s">
        <v>552</v>
      </c>
      <c r="AR121" s="257">
        <f>AP121*1300</f>
        <v>65000</v>
      </c>
      <c r="AS121" s="196"/>
      <c r="AT121" s="46"/>
      <c r="AU121" s="46"/>
      <c r="AV121" s="196"/>
      <c r="AW121" s="257"/>
      <c r="AX121" s="196"/>
      <c r="AY121" s="191"/>
      <c r="AZ121" s="257"/>
      <c r="BA121" s="196"/>
      <c r="BB121" s="46"/>
      <c r="BC121" s="257"/>
      <c r="BD121" s="196"/>
      <c r="BE121" s="191"/>
      <c r="BF121" s="46"/>
      <c r="BG121" s="196"/>
      <c r="BH121" s="46"/>
      <c r="BI121" s="257"/>
      <c r="BJ121" s="196"/>
      <c r="BK121" s="191"/>
      <c r="BL121" s="257"/>
      <c r="BM121" s="196"/>
      <c r="BN121" s="46"/>
      <c r="BO121" s="257"/>
      <c r="BP121" s="196"/>
      <c r="BQ121" s="190"/>
      <c r="BR121" s="46"/>
      <c r="BS121" s="196"/>
      <c r="BT121" s="46"/>
      <c r="BU121" s="257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196"/>
      <c r="CI121" s="46"/>
      <c r="CJ121" s="46"/>
      <c r="CK121" s="46"/>
      <c r="CL121" s="46"/>
      <c r="CM121" s="46"/>
      <c r="CN121" s="196" t="s">
        <v>254</v>
      </c>
      <c r="CO121" s="191" t="s">
        <v>884</v>
      </c>
      <c r="CP121" s="257">
        <v>50000</v>
      </c>
      <c r="CQ121" s="196"/>
      <c r="CR121" s="167"/>
      <c r="CS121" s="257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191"/>
      <c r="DN121" s="46"/>
      <c r="DO121" s="196"/>
      <c r="DP121" s="221"/>
      <c r="DQ121" s="257">
        <f t="shared" si="12"/>
        <v>0</v>
      </c>
      <c r="DR121" s="294"/>
      <c r="DS121" s="295"/>
      <c r="DT121" s="386">
        <f t="shared" si="10"/>
        <v>0</v>
      </c>
      <c r="DU121" s="41"/>
      <c r="DV121" s="41"/>
      <c r="DW121" s="256"/>
      <c r="DX121" s="41"/>
      <c r="DY121" s="41"/>
      <c r="DZ121" s="68"/>
      <c r="EA121" s="41"/>
      <c r="EB121" s="41"/>
      <c r="EC121" s="256"/>
      <c r="ED121" s="308"/>
      <c r="EE121" s="308"/>
      <c r="EF121" s="308"/>
      <c r="EG121" s="41"/>
      <c r="EH121" s="41"/>
      <c r="EI121" s="41"/>
      <c r="EJ121" s="69"/>
      <c r="EK121" s="308"/>
      <c r="EL121" s="308"/>
      <c r="EM121" s="308"/>
      <c r="EN121" s="308"/>
      <c r="EO121" s="41"/>
      <c r="EP121" s="41"/>
      <c r="EQ121" s="41"/>
      <c r="ER121" s="256"/>
      <c r="ES121" s="293"/>
      <c r="ET121" s="293"/>
      <c r="EU121" s="293"/>
      <c r="EV121" s="293"/>
      <c r="EW121" s="41"/>
      <c r="EX121" s="41"/>
      <c r="EY121" s="41"/>
      <c r="EZ121" s="256"/>
      <c r="FA121" s="308"/>
      <c r="FB121" s="308"/>
      <c r="FC121" s="308"/>
      <c r="FD121" s="308"/>
      <c r="FE121" s="46"/>
      <c r="FF121" s="41"/>
      <c r="FG121" s="41"/>
      <c r="FH121" s="256"/>
      <c r="FI121" s="41"/>
      <c r="FJ121" s="41"/>
      <c r="FK121" s="41"/>
      <c r="FL121" s="276"/>
    </row>
    <row r="122" spans="1:168" ht="30">
      <c r="A122" s="45">
        <v>115</v>
      </c>
      <c r="B122" s="45" t="s">
        <v>210</v>
      </c>
      <c r="C122" s="45">
        <v>5</v>
      </c>
      <c r="D122" s="29" t="s">
        <v>98</v>
      </c>
      <c r="E122" s="30" t="s">
        <v>108</v>
      </c>
      <c r="F122" s="30">
        <v>5</v>
      </c>
      <c r="G122" s="246">
        <f>75176.64/1000</f>
        <v>75.176640000000006</v>
      </c>
      <c r="H122" s="579">
        <v>75176.639999999985</v>
      </c>
      <c r="I122" s="579">
        <v>0</v>
      </c>
      <c r="J122" s="397">
        <v>105.19288</v>
      </c>
      <c r="K122" s="495">
        <f t="shared" si="11"/>
        <v>180.36952000000002</v>
      </c>
      <c r="L122" s="578"/>
      <c r="M122" s="45">
        <f t="shared" si="9"/>
        <v>0</v>
      </c>
      <c r="N122" s="46">
        <f t="shared" si="8"/>
        <v>180.36952000000002</v>
      </c>
      <c r="O122" s="46">
        <f t="shared" si="13"/>
        <v>125</v>
      </c>
      <c r="P122" s="234"/>
      <c r="Q122" s="46"/>
      <c r="R122" s="450"/>
      <c r="S122" s="257"/>
      <c r="T122" s="46"/>
      <c r="U122" s="46"/>
      <c r="V122" s="46"/>
      <c r="W122" s="46"/>
      <c r="X122" s="196"/>
      <c r="Y122" s="46"/>
      <c r="Z122" s="46"/>
      <c r="AA122" s="46"/>
      <c r="AB122" s="46"/>
      <c r="AC122" s="46"/>
      <c r="AD122" s="46"/>
      <c r="AE122" s="46"/>
      <c r="AF122" s="196"/>
      <c r="AG122" s="46"/>
      <c r="AH122" s="46"/>
      <c r="AI122" s="46"/>
      <c r="AJ122" s="46"/>
      <c r="AK122" s="46"/>
      <c r="AL122" s="46"/>
      <c r="AM122" s="46"/>
      <c r="AN122" s="196"/>
      <c r="AO122" s="438"/>
      <c r="AP122" s="46"/>
      <c r="AQ122" s="368"/>
      <c r="AR122" s="257"/>
      <c r="AS122" s="196"/>
      <c r="AT122" s="46"/>
      <c r="AU122" s="46"/>
      <c r="AV122" s="196"/>
      <c r="AW122" s="257"/>
      <c r="AX122" s="196"/>
      <c r="AY122" s="191"/>
      <c r="AZ122" s="257"/>
      <c r="BA122" s="196"/>
      <c r="BB122" s="46"/>
      <c r="BC122" s="257"/>
      <c r="BD122" s="196"/>
      <c r="BE122" s="191"/>
      <c r="BF122" s="46"/>
      <c r="BG122" s="196"/>
      <c r="BH122" s="46"/>
      <c r="BI122" s="257"/>
      <c r="BJ122" s="196"/>
      <c r="BK122" s="191"/>
      <c r="BL122" s="257"/>
      <c r="BM122" s="196"/>
      <c r="BN122" s="46"/>
      <c r="BO122" s="257"/>
      <c r="BP122" s="196"/>
      <c r="BQ122" s="190"/>
      <c r="BR122" s="46"/>
      <c r="BS122" s="196"/>
      <c r="BT122" s="46"/>
      <c r="BU122" s="257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196"/>
      <c r="CI122" s="46"/>
      <c r="CJ122" s="46"/>
      <c r="CK122" s="46"/>
      <c r="CL122" s="46"/>
      <c r="CM122" s="46"/>
      <c r="CN122" s="196" t="s">
        <v>254</v>
      </c>
      <c r="CO122" s="191" t="s">
        <v>886</v>
      </c>
      <c r="CP122" s="257">
        <v>10000</v>
      </c>
      <c r="CQ122" s="196"/>
      <c r="CR122" s="167"/>
      <c r="CS122" s="257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190"/>
      <c r="DN122" s="46"/>
      <c r="DO122" s="196"/>
      <c r="DP122" s="221" t="s">
        <v>885</v>
      </c>
      <c r="DQ122" s="257">
        <f>DW122+EC122+EJ122+ER122+EZ122+FH122+15000</f>
        <v>115000</v>
      </c>
      <c r="DR122" s="294"/>
      <c r="DS122" s="295"/>
      <c r="DT122" s="386">
        <f t="shared" si="10"/>
        <v>0</v>
      </c>
      <c r="DU122" s="41">
        <v>6</v>
      </c>
      <c r="DV122" s="41">
        <v>4</v>
      </c>
      <c r="DW122" s="256">
        <f>DV122*20000</f>
        <v>80000</v>
      </c>
      <c r="DX122" s="41"/>
      <c r="DY122" s="41"/>
      <c r="DZ122" s="68"/>
      <c r="EA122" s="41"/>
      <c r="EB122" s="41"/>
      <c r="EC122" s="256"/>
      <c r="ED122" s="308"/>
      <c r="EE122" s="308"/>
      <c r="EF122" s="308"/>
      <c r="EG122" s="41"/>
      <c r="EH122" s="41"/>
      <c r="EI122" s="41"/>
      <c r="EJ122" s="69"/>
      <c r="EK122" s="308"/>
      <c r="EL122" s="308"/>
      <c r="EM122" s="308"/>
      <c r="EN122" s="308"/>
      <c r="EO122" s="41">
        <v>3</v>
      </c>
      <c r="EP122" s="41">
        <v>1</v>
      </c>
      <c r="EQ122" s="41">
        <v>1</v>
      </c>
      <c r="ER122" s="256">
        <v>20000</v>
      </c>
      <c r="ES122" s="293"/>
      <c r="ET122" s="293"/>
      <c r="EU122" s="293"/>
      <c r="EV122" s="293"/>
      <c r="EW122" s="41"/>
      <c r="EX122" s="41"/>
      <c r="EY122" s="41"/>
      <c r="EZ122" s="256"/>
      <c r="FA122" s="308"/>
      <c r="FB122" s="308"/>
      <c r="FC122" s="308"/>
      <c r="FD122" s="308"/>
      <c r="FE122" s="46"/>
      <c r="FF122" s="41"/>
      <c r="FG122" s="41"/>
      <c r="FH122" s="256"/>
      <c r="FI122" s="41"/>
      <c r="FJ122" s="41"/>
      <c r="FK122" s="41"/>
      <c r="FL122" s="276"/>
    </row>
    <row r="123" spans="1:168" ht="39.75">
      <c r="A123" s="45">
        <v>116</v>
      </c>
      <c r="B123" s="45" t="s">
        <v>210</v>
      </c>
      <c r="C123" s="45">
        <v>5</v>
      </c>
      <c r="D123" s="29" t="s">
        <v>98</v>
      </c>
      <c r="E123" s="30">
        <v>189</v>
      </c>
      <c r="F123" s="30">
        <v>7</v>
      </c>
      <c r="G123" s="246">
        <f>98358.5358/1000</f>
        <v>98.358535799999999</v>
      </c>
      <c r="H123" s="579">
        <v>0</v>
      </c>
      <c r="I123" s="579">
        <v>98358.535799999998</v>
      </c>
      <c r="J123" s="397">
        <v>197.31686999999999</v>
      </c>
      <c r="K123" s="495">
        <f t="shared" si="11"/>
        <v>295.67540580000002</v>
      </c>
      <c r="L123" s="578"/>
      <c r="M123" s="45">
        <f t="shared" si="9"/>
        <v>0</v>
      </c>
      <c r="N123" s="46">
        <f t="shared" si="8"/>
        <v>295.67540580000002</v>
      </c>
      <c r="O123" s="46">
        <f t="shared" si="13"/>
        <v>241</v>
      </c>
      <c r="P123" s="234" t="s">
        <v>226</v>
      </c>
      <c r="Q123" s="46">
        <v>1</v>
      </c>
      <c r="R123" s="450" t="s">
        <v>887</v>
      </c>
      <c r="S123" s="257">
        <v>110000</v>
      </c>
      <c r="T123" s="46"/>
      <c r="U123" s="46"/>
      <c r="V123" s="46"/>
      <c r="W123" s="46"/>
      <c r="X123" s="196"/>
      <c r="Y123" s="46"/>
      <c r="Z123" s="46"/>
      <c r="AA123" s="46"/>
      <c r="AB123" s="46"/>
      <c r="AC123" s="46"/>
      <c r="AD123" s="46"/>
      <c r="AE123" s="46"/>
      <c r="AF123" s="196"/>
      <c r="AG123" s="46"/>
      <c r="AH123" s="46"/>
      <c r="AI123" s="46"/>
      <c r="AJ123" s="46"/>
      <c r="AK123" s="46"/>
      <c r="AL123" s="46"/>
      <c r="AM123" s="46"/>
      <c r="AN123" s="196"/>
      <c r="AO123" s="438"/>
      <c r="AP123" s="46"/>
      <c r="AQ123" s="368"/>
      <c r="AR123" s="257"/>
      <c r="AS123" s="196"/>
      <c r="AT123" s="46"/>
      <c r="AU123" s="46"/>
      <c r="AV123" s="196"/>
      <c r="AW123" s="257"/>
      <c r="AX123" s="196" t="s">
        <v>254</v>
      </c>
      <c r="AY123" s="190" t="s">
        <v>888</v>
      </c>
      <c r="AZ123" s="257">
        <f>3*2000</f>
        <v>6000</v>
      </c>
      <c r="BA123" s="196"/>
      <c r="BB123" s="46"/>
      <c r="BC123" s="257"/>
      <c r="BD123" s="196"/>
      <c r="BE123" s="191"/>
      <c r="BF123" s="46"/>
      <c r="BG123" s="196"/>
      <c r="BH123" s="46"/>
      <c r="BI123" s="257"/>
      <c r="BJ123" s="196"/>
      <c r="BK123" s="190"/>
      <c r="BL123" s="257"/>
      <c r="BM123" s="196"/>
      <c r="BN123" s="46"/>
      <c r="BO123" s="257"/>
      <c r="BP123" s="196"/>
      <c r="BQ123" s="190"/>
      <c r="BR123" s="46"/>
      <c r="BS123" s="196"/>
      <c r="BT123" s="46"/>
      <c r="BU123" s="257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196"/>
      <c r="CI123" s="46"/>
      <c r="CJ123" s="46"/>
      <c r="CK123" s="46"/>
      <c r="CL123" s="46"/>
      <c r="CM123" s="46"/>
      <c r="CN123" s="196"/>
      <c r="CO123" s="191"/>
      <c r="CP123" s="257"/>
      <c r="CQ123" s="196"/>
      <c r="CR123" s="167"/>
      <c r="CS123" s="257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190"/>
      <c r="DN123" s="46"/>
      <c r="DO123" s="218"/>
      <c r="DP123" s="221" t="s">
        <v>889</v>
      </c>
      <c r="DQ123" s="257">
        <f>DW123+EC123+EJ123+ER123+EZ123+FH123+15000+20*2500+60000</f>
        <v>125000</v>
      </c>
      <c r="DR123" s="294"/>
      <c r="DS123" s="295"/>
      <c r="DT123" s="386">
        <f t="shared" si="10"/>
        <v>0</v>
      </c>
      <c r="DU123" s="41"/>
      <c r="DV123" s="41"/>
      <c r="DW123" s="256"/>
      <c r="DX123" s="41"/>
      <c r="DY123" s="41"/>
      <c r="DZ123" s="68"/>
      <c r="EA123" s="41"/>
      <c r="EB123" s="72"/>
      <c r="EC123" s="256"/>
      <c r="ED123" s="308"/>
      <c r="EE123" s="308"/>
      <c r="EF123" s="308"/>
      <c r="EG123" s="41"/>
      <c r="EH123" s="41"/>
      <c r="EI123" s="41"/>
      <c r="EJ123" s="69"/>
      <c r="EK123" s="308"/>
      <c r="EL123" s="308"/>
      <c r="EM123" s="308"/>
      <c r="EN123" s="308"/>
      <c r="EO123" s="41"/>
      <c r="EP123" s="41"/>
      <c r="EQ123" s="41"/>
      <c r="ER123" s="256"/>
      <c r="ES123" s="293"/>
      <c r="ET123" s="293"/>
      <c r="EU123" s="293"/>
      <c r="EV123" s="293"/>
      <c r="EW123" s="41"/>
      <c r="EX123" s="41"/>
      <c r="EY123" s="41"/>
      <c r="EZ123" s="256"/>
      <c r="FA123" s="308"/>
      <c r="FB123" s="308"/>
      <c r="FC123" s="308"/>
      <c r="FD123" s="308"/>
      <c r="FE123" s="41"/>
      <c r="FF123" s="41"/>
      <c r="FG123" s="41"/>
      <c r="FH123" s="256"/>
      <c r="FI123" s="41"/>
      <c r="FJ123" s="41"/>
      <c r="FK123" s="41"/>
      <c r="FL123" s="276"/>
    </row>
    <row r="124" spans="1:168">
      <c r="A124" s="45">
        <v>117</v>
      </c>
      <c r="B124" s="45" t="s">
        <v>210</v>
      </c>
      <c r="C124" s="45">
        <v>5</v>
      </c>
      <c r="D124" s="29" t="s">
        <v>98</v>
      </c>
      <c r="E124" s="30">
        <v>191</v>
      </c>
      <c r="F124" s="30">
        <v>7</v>
      </c>
      <c r="G124" s="246">
        <f>53314.884/1000</f>
        <v>53.314883999999999</v>
      </c>
      <c r="H124" s="579">
        <v>0</v>
      </c>
      <c r="I124" s="579">
        <v>53314.883999999991</v>
      </c>
      <c r="J124" s="397">
        <v>-21.226039999999998</v>
      </c>
      <c r="K124" s="495">
        <f t="shared" si="11"/>
        <v>32.088844000000002</v>
      </c>
      <c r="L124" s="578"/>
      <c r="M124" s="45">
        <f t="shared" si="9"/>
        <v>0</v>
      </c>
      <c r="N124" s="46">
        <f t="shared" ref="N124:N188" si="14">K124-M124</f>
        <v>32.088844000000002</v>
      </c>
      <c r="O124" s="46">
        <f t="shared" si="13"/>
        <v>25</v>
      </c>
      <c r="P124" s="234"/>
      <c r="Q124" s="46"/>
      <c r="R124" s="450"/>
      <c r="S124" s="257"/>
      <c r="T124" s="46"/>
      <c r="U124" s="46"/>
      <c r="V124" s="46"/>
      <c r="W124" s="46"/>
      <c r="X124" s="196"/>
      <c r="Y124" s="46"/>
      <c r="Z124" s="46"/>
      <c r="AA124" s="46"/>
      <c r="AB124" s="46"/>
      <c r="AC124" s="46"/>
      <c r="AD124" s="46"/>
      <c r="AE124" s="46"/>
      <c r="AF124" s="196"/>
      <c r="AG124" s="46"/>
      <c r="AH124" s="46"/>
      <c r="AI124" s="46"/>
      <c r="AJ124" s="46"/>
      <c r="AK124" s="46"/>
      <c r="AL124" s="46"/>
      <c r="AM124" s="46"/>
      <c r="AN124" s="196"/>
      <c r="AO124" s="438"/>
      <c r="AP124" s="162"/>
      <c r="AQ124" s="368"/>
      <c r="AR124" s="257"/>
      <c r="AS124" s="196"/>
      <c r="AT124" s="46"/>
      <c r="AU124" s="46"/>
      <c r="AV124" s="196"/>
      <c r="AW124" s="257"/>
      <c r="AX124" s="196"/>
      <c r="AY124" s="191"/>
      <c r="AZ124" s="257"/>
      <c r="BA124" s="196"/>
      <c r="BB124" s="46"/>
      <c r="BC124" s="257"/>
      <c r="BD124" s="196"/>
      <c r="BE124" s="191"/>
      <c r="BF124" s="46"/>
      <c r="BG124" s="196"/>
      <c r="BH124" s="46"/>
      <c r="BI124" s="257"/>
      <c r="BJ124" s="196"/>
      <c r="BK124" s="190"/>
      <c r="BL124" s="257"/>
      <c r="BM124" s="196"/>
      <c r="BN124" s="46"/>
      <c r="BO124" s="257"/>
      <c r="BP124" s="196"/>
      <c r="BQ124" s="190"/>
      <c r="BR124" s="46"/>
      <c r="BS124" s="196"/>
      <c r="BT124" s="46"/>
      <c r="BU124" s="257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196"/>
      <c r="CI124" s="46"/>
      <c r="CJ124" s="46"/>
      <c r="CK124" s="46"/>
      <c r="CL124" s="46"/>
      <c r="CM124" s="46"/>
      <c r="CN124" s="196"/>
      <c r="CO124" s="191"/>
      <c r="CP124" s="257"/>
      <c r="CQ124" s="196"/>
      <c r="CR124" s="167"/>
      <c r="CS124" s="257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190"/>
      <c r="DN124" s="46"/>
      <c r="DO124" s="196"/>
      <c r="DP124" s="221" t="s">
        <v>571</v>
      </c>
      <c r="DQ124" s="257">
        <f>DW124+EC124+EJ124+ER124+EZ124+FH124+25000</f>
        <v>25000</v>
      </c>
      <c r="DR124" s="294"/>
      <c r="DS124" s="295"/>
      <c r="DT124" s="386">
        <f t="shared" si="10"/>
        <v>0</v>
      </c>
      <c r="DU124" s="41"/>
      <c r="DV124" s="41"/>
      <c r="DW124" s="256"/>
      <c r="DX124" s="41"/>
      <c r="DY124" s="41"/>
      <c r="DZ124" s="68"/>
      <c r="EA124" s="41"/>
      <c r="EB124" s="41"/>
      <c r="EC124" s="256"/>
      <c r="ED124" s="308"/>
      <c r="EE124" s="308"/>
      <c r="EF124" s="308"/>
      <c r="EG124" s="41"/>
      <c r="EH124" s="41"/>
      <c r="EI124" s="41"/>
      <c r="EJ124" s="69"/>
      <c r="EK124" s="308"/>
      <c r="EL124" s="308"/>
      <c r="EM124" s="308"/>
      <c r="EN124" s="308"/>
      <c r="EO124" s="41"/>
      <c r="EP124" s="41"/>
      <c r="EQ124" s="41"/>
      <c r="ER124" s="256"/>
      <c r="ES124" s="293"/>
      <c r="ET124" s="293"/>
      <c r="EU124" s="293"/>
      <c r="EV124" s="293"/>
      <c r="EW124" s="41"/>
      <c r="EX124" s="41"/>
      <c r="EY124" s="41"/>
      <c r="EZ124" s="256"/>
      <c r="FA124" s="308"/>
      <c r="FB124" s="308"/>
      <c r="FC124" s="308"/>
      <c r="FD124" s="308"/>
      <c r="FE124" s="41"/>
      <c r="FF124" s="41"/>
      <c r="FG124" s="41"/>
      <c r="FH124" s="256"/>
      <c r="FI124" s="41"/>
      <c r="FJ124" s="41"/>
      <c r="FK124" s="41"/>
      <c r="FL124" s="276"/>
    </row>
    <row r="125" spans="1:168">
      <c r="A125" s="45">
        <v>118</v>
      </c>
      <c r="B125" s="45" t="s">
        <v>210</v>
      </c>
      <c r="C125" s="45">
        <v>5</v>
      </c>
      <c r="D125" s="29" t="s">
        <v>98</v>
      </c>
      <c r="E125" s="30">
        <v>195</v>
      </c>
      <c r="F125" s="30">
        <v>6</v>
      </c>
      <c r="G125" s="246">
        <f>55816.152/1000</f>
        <v>55.816152000000002</v>
      </c>
      <c r="H125" s="579">
        <v>15786.078</v>
      </c>
      <c r="I125" s="579">
        <v>40030.074000000001</v>
      </c>
      <c r="J125" s="397">
        <v>81.873909999999995</v>
      </c>
      <c r="K125" s="495">
        <f t="shared" si="11"/>
        <v>137.69006200000001</v>
      </c>
      <c r="L125" s="578"/>
      <c r="M125" s="45">
        <f t="shared" si="9"/>
        <v>0</v>
      </c>
      <c r="N125" s="46">
        <f t="shared" si="14"/>
        <v>137.69006200000001</v>
      </c>
      <c r="O125" s="46">
        <f t="shared" si="13"/>
        <v>90</v>
      </c>
      <c r="P125" s="234"/>
      <c r="Q125" s="46">
        <v>1</v>
      </c>
      <c r="R125" s="450">
        <v>2</v>
      </c>
      <c r="S125" s="257">
        <v>90000</v>
      </c>
      <c r="T125" s="46"/>
      <c r="U125" s="46"/>
      <c r="V125" s="46"/>
      <c r="W125" s="46"/>
      <c r="X125" s="196"/>
      <c r="Y125" s="46"/>
      <c r="Z125" s="46"/>
      <c r="AA125" s="46"/>
      <c r="AB125" s="46"/>
      <c r="AC125" s="46"/>
      <c r="AD125" s="46"/>
      <c r="AE125" s="46"/>
      <c r="AF125" s="196"/>
      <c r="AG125" s="46"/>
      <c r="AH125" s="46"/>
      <c r="AI125" s="46"/>
      <c r="AJ125" s="46"/>
      <c r="AK125" s="46"/>
      <c r="AL125" s="46"/>
      <c r="AM125" s="46"/>
      <c r="AN125" s="196"/>
      <c r="AO125" s="438"/>
      <c r="AP125" s="162"/>
      <c r="AQ125" s="368"/>
      <c r="AR125" s="257"/>
      <c r="AS125" s="196"/>
      <c r="AT125" s="46"/>
      <c r="AU125" s="46"/>
      <c r="AV125" s="196"/>
      <c r="AW125" s="257"/>
      <c r="AX125" s="196"/>
      <c r="AY125" s="191"/>
      <c r="AZ125" s="257"/>
      <c r="BA125" s="196"/>
      <c r="BB125" s="46"/>
      <c r="BC125" s="257"/>
      <c r="BD125" s="196"/>
      <c r="BE125" s="191"/>
      <c r="BF125" s="46"/>
      <c r="BG125" s="196"/>
      <c r="BH125" s="46"/>
      <c r="BI125" s="257"/>
      <c r="BJ125" s="196"/>
      <c r="BK125" s="190"/>
      <c r="BL125" s="257"/>
      <c r="BM125" s="196"/>
      <c r="BN125" s="46"/>
      <c r="BO125" s="257"/>
      <c r="BP125" s="196"/>
      <c r="BQ125" s="190"/>
      <c r="BR125" s="46"/>
      <c r="BS125" s="196"/>
      <c r="BT125" s="46"/>
      <c r="BU125" s="257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196"/>
      <c r="CI125" s="46"/>
      <c r="CJ125" s="46"/>
      <c r="CK125" s="46"/>
      <c r="CL125" s="46"/>
      <c r="CM125" s="46"/>
      <c r="CN125" s="196"/>
      <c r="CO125" s="191"/>
      <c r="CP125" s="257"/>
      <c r="CQ125" s="196"/>
      <c r="CR125" s="167"/>
      <c r="CS125" s="257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190"/>
      <c r="DN125" s="46"/>
      <c r="DO125" s="218"/>
      <c r="DP125" s="221"/>
      <c r="DQ125" s="257">
        <f t="shared" si="12"/>
        <v>0</v>
      </c>
      <c r="DR125" s="296"/>
      <c r="DS125" s="295"/>
      <c r="DT125" s="386">
        <f t="shared" si="10"/>
        <v>0</v>
      </c>
      <c r="DU125" s="41"/>
      <c r="DV125" s="41"/>
      <c r="DW125" s="256"/>
      <c r="DX125" s="41"/>
      <c r="DY125" s="41"/>
      <c r="DZ125" s="68"/>
      <c r="EA125" s="41"/>
      <c r="EB125" s="41"/>
      <c r="EC125" s="256"/>
      <c r="ED125" s="308"/>
      <c r="EE125" s="308"/>
      <c r="EF125" s="308"/>
      <c r="EG125" s="41"/>
      <c r="EH125" s="41"/>
      <c r="EI125" s="41"/>
      <c r="EJ125" s="69"/>
      <c r="EK125" s="308"/>
      <c r="EL125" s="308"/>
      <c r="EM125" s="308"/>
      <c r="EN125" s="308"/>
      <c r="EO125" s="41"/>
      <c r="EP125" s="41"/>
      <c r="EQ125" s="41"/>
      <c r="ER125" s="256"/>
      <c r="ES125" s="293"/>
      <c r="ET125" s="293"/>
      <c r="EU125" s="293"/>
      <c r="EV125" s="293"/>
      <c r="EW125" s="41"/>
      <c r="EX125" s="41"/>
      <c r="EY125" s="41"/>
      <c r="EZ125" s="256"/>
      <c r="FA125" s="308"/>
      <c r="FB125" s="308"/>
      <c r="FC125" s="308"/>
      <c r="FD125" s="308"/>
      <c r="FE125" s="41"/>
      <c r="FF125" s="41"/>
      <c r="FG125" s="41"/>
      <c r="FH125" s="256"/>
      <c r="FI125" s="41"/>
      <c r="FJ125" s="41"/>
      <c r="FK125" s="41"/>
      <c r="FL125" s="276"/>
    </row>
    <row r="126" spans="1:168" ht="20.25">
      <c r="A126" s="45">
        <v>119</v>
      </c>
      <c r="B126" s="45" t="s">
        <v>210</v>
      </c>
      <c r="C126" s="45">
        <v>5</v>
      </c>
      <c r="D126" s="29" t="s">
        <v>109</v>
      </c>
      <c r="E126" s="30">
        <v>1</v>
      </c>
      <c r="F126" s="30">
        <v>5</v>
      </c>
      <c r="G126" s="246">
        <f>55152.5436/1000</f>
        <v>55.152543599999994</v>
      </c>
      <c r="H126" s="45">
        <v>55152.543599999997</v>
      </c>
      <c r="I126" s="45">
        <v>0</v>
      </c>
      <c r="J126" s="397">
        <v>16.534839999999996</v>
      </c>
      <c r="K126" s="495">
        <f t="shared" si="11"/>
        <v>71.68738359999999</v>
      </c>
      <c r="L126" s="578"/>
      <c r="M126" s="45">
        <f t="shared" si="9"/>
        <v>0</v>
      </c>
      <c r="N126" s="46">
        <f t="shared" si="14"/>
        <v>71.68738359999999</v>
      </c>
      <c r="O126" s="46">
        <f t="shared" si="13"/>
        <v>69</v>
      </c>
      <c r="P126" s="234"/>
      <c r="Q126" s="46"/>
      <c r="R126" s="450"/>
      <c r="S126" s="257"/>
      <c r="T126" s="46"/>
      <c r="U126" s="46"/>
      <c r="V126" s="46"/>
      <c r="W126" s="46"/>
      <c r="X126" s="196"/>
      <c r="Y126" s="46"/>
      <c r="Z126" s="46"/>
      <c r="AA126" s="46"/>
      <c r="AB126" s="46"/>
      <c r="AC126" s="46"/>
      <c r="AD126" s="46"/>
      <c r="AE126" s="46"/>
      <c r="AF126" s="196"/>
      <c r="AG126" s="46"/>
      <c r="AH126" s="46"/>
      <c r="AI126" s="46"/>
      <c r="AJ126" s="46"/>
      <c r="AK126" s="46"/>
      <c r="AL126" s="46"/>
      <c r="AM126" s="46"/>
      <c r="AN126" s="196" t="s">
        <v>248</v>
      </c>
      <c r="AO126" s="438" t="s">
        <v>335</v>
      </c>
      <c r="AP126" s="46">
        <v>30</v>
      </c>
      <c r="AQ126" s="368" t="s">
        <v>254</v>
      </c>
      <c r="AR126" s="257">
        <f>AP126*1300</f>
        <v>39000</v>
      </c>
      <c r="AS126" s="196"/>
      <c r="AT126" s="46"/>
      <c r="AU126" s="46"/>
      <c r="AV126" s="196"/>
      <c r="AW126" s="257"/>
      <c r="AX126" s="196"/>
      <c r="AY126" s="191"/>
      <c r="AZ126" s="257"/>
      <c r="BA126" s="196"/>
      <c r="BB126" s="46"/>
      <c r="BC126" s="257"/>
      <c r="BD126" s="196"/>
      <c r="BE126" s="191"/>
      <c r="BF126" s="46"/>
      <c r="BG126" s="196"/>
      <c r="BH126" s="46"/>
      <c r="BI126" s="257"/>
      <c r="BJ126" s="196"/>
      <c r="BK126" s="191"/>
      <c r="BL126" s="257"/>
      <c r="BM126" s="196"/>
      <c r="BN126" s="46"/>
      <c r="BO126" s="257"/>
      <c r="BP126" s="196"/>
      <c r="BQ126" s="190"/>
      <c r="BR126" s="46"/>
      <c r="BS126" s="196"/>
      <c r="BT126" s="46"/>
      <c r="BU126" s="257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196"/>
      <c r="CI126" s="46"/>
      <c r="CJ126" s="46"/>
      <c r="CK126" s="46"/>
      <c r="CL126" s="46"/>
      <c r="CM126" s="46"/>
      <c r="CN126" s="196"/>
      <c r="CO126" s="191"/>
      <c r="CP126" s="257"/>
      <c r="CQ126" s="196"/>
      <c r="CR126" s="167"/>
      <c r="CS126" s="257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190"/>
      <c r="DN126" s="46"/>
      <c r="DO126" s="196"/>
      <c r="DP126" s="221" t="s">
        <v>890</v>
      </c>
      <c r="DQ126" s="257">
        <f t="shared" si="12"/>
        <v>30000</v>
      </c>
      <c r="DR126" s="294"/>
      <c r="DS126" s="295"/>
      <c r="DT126" s="386">
        <f t="shared" si="10"/>
        <v>0</v>
      </c>
      <c r="DU126" s="41"/>
      <c r="DV126" s="41"/>
      <c r="DW126" s="256"/>
      <c r="DX126" s="41"/>
      <c r="DY126" s="41"/>
      <c r="DZ126" s="68"/>
      <c r="EA126" s="41"/>
      <c r="EB126" s="41"/>
      <c r="EC126" s="256"/>
      <c r="ED126" s="308"/>
      <c r="EE126" s="308"/>
      <c r="EF126" s="308"/>
      <c r="EG126" s="41"/>
      <c r="EH126" s="41"/>
      <c r="EI126" s="41"/>
      <c r="EJ126" s="69"/>
      <c r="EK126" s="308"/>
      <c r="EL126" s="308"/>
      <c r="EM126" s="308"/>
      <c r="EN126" s="308"/>
      <c r="EO126" s="41">
        <v>12</v>
      </c>
      <c r="EP126" s="41">
        <v>1</v>
      </c>
      <c r="EQ126" s="41">
        <v>1</v>
      </c>
      <c r="ER126" s="256">
        <v>20000</v>
      </c>
      <c r="ES126" s="293"/>
      <c r="ET126" s="293"/>
      <c r="EU126" s="293"/>
      <c r="EV126" s="293"/>
      <c r="EW126" s="41"/>
      <c r="EX126" s="41"/>
      <c r="EY126" s="41"/>
      <c r="EZ126" s="256"/>
      <c r="FA126" s="308"/>
      <c r="FB126" s="308"/>
      <c r="FC126" s="308"/>
      <c r="FD126" s="308"/>
      <c r="FE126" s="46">
        <v>9</v>
      </c>
      <c r="FF126" s="41">
        <v>1</v>
      </c>
      <c r="FG126" s="41">
        <v>1</v>
      </c>
      <c r="FH126" s="256">
        <v>10000</v>
      </c>
      <c r="FI126" s="41"/>
      <c r="FJ126" s="41"/>
      <c r="FK126" s="41"/>
      <c r="FL126" s="276"/>
    </row>
    <row r="127" spans="1:168">
      <c r="A127" s="45">
        <v>120</v>
      </c>
      <c r="B127" s="45" t="s">
        <v>210</v>
      </c>
      <c r="C127" s="45">
        <v>5</v>
      </c>
      <c r="D127" s="29" t="s">
        <v>109</v>
      </c>
      <c r="E127" s="30">
        <v>3</v>
      </c>
      <c r="F127" s="30">
        <v>5</v>
      </c>
      <c r="G127" s="246">
        <f>55068.552/1000</f>
        <v>55.068552000000004</v>
      </c>
      <c r="H127" s="45">
        <v>55068.552000000003</v>
      </c>
      <c r="I127" s="45">
        <v>0</v>
      </c>
      <c r="J127" s="397">
        <v>119.27849000000001</v>
      </c>
      <c r="K127" s="495">
        <f t="shared" si="11"/>
        <v>174.34704200000002</v>
      </c>
      <c r="L127" s="578"/>
      <c r="M127" s="45">
        <f t="shared" si="9"/>
        <v>0</v>
      </c>
      <c r="N127" s="46">
        <f t="shared" si="14"/>
        <v>174.34704200000002</v>
      </c>
      <c r="O127" s="46">
        <f t="shared" si="13"/>
        <v>142</v>
      </c>
      <c r="P127" s="234" t="s">
        <v>229</v>
      </c>
      <c r="Q127" s="46">
        <v>1</v>
      </c>
      <c r="R127" s="450">
        <v>1</v>
      </c>
      <c r="S127" s="257">
        <v>90000</v>
      </c>
      <c r="T127" s="46"/>
      <c r="U127" s="46"/>
      <c r="V127" s="46"/>
      <c r="W127" s="46"/>
      <c r="X127" s="196"/>
      <c r="Y127" s="46"/>
      <c r="Z127" s="46"/>
      <c r="AA127" s="46"/>
      <c r="AB127" s="46"/>
      <c r="AC127" s="46"/>
      <c r="AD127" s="46"/>
      <c r="AE127" s="46"/>
      <c r="AF127" s="196"/>
      <c r="AG127" s="46"/>
      <c r="AH127" s="46"/>
      <c r="AI127" s="46"/>
      <c r="AJ127" s="46"/>
      <c r="AK127" s="46"/>
      <c r="AL127" s="46"/>
      <c r="AM127" s="46"/>
      <c r="AN127" s="248" t="s">
        <v>227</v>
      </c>
      <c r="AO127" s="440" t="s">
        <v>335</v>
      </c>
      <c r="AP127" s="162">
        <v>40</v>
      </c>
      <c r="AQ127" s="442" t="s">
        <v>322</v>
      </c>
      <c r="AR127" s="534">
        <f>AP127*1300</f>
        <v>52000</v>
      </c>
      <c r="AS127" s="196"/>
      <c r="AT127" s="46"/>
      <c r="AU127" s="46"/>
      <c r="AV127" s="196"/>
      <c r="AW127" s="257"/>
      <c r="AX127" s="196"/>
      <c r="AY127" s="191"/>
      <c r="AZ127" s="257"/>
      <c r="BA127" s="196"/>
      <c r="BB127" s="46"/>
      <c r="BC127" s="257"/>
      <c r="BD127" s="196"/>
      <c r="BE127" s="191"/>
      <c r="BF127" s="46"/>
      <c r="BG127" s="196"/>
      <c r="BH127" s="46"/>
      <c r="BI127" s="257"/>
      <c r="BJ127" s="196"/>
      <c r="BK127" s="191"/>
      <c r="BL127" s="257"/>
      <c r="BM127" s="196"/>
      <c r="BN127" s="46"/>
      <c r="BO127" s="257"/>
      <c r="BP127" s="196"/>
      <c r="BQ127" s="190"/>
      <c r="BR127" s="46"/>
      <c r="BS127" s="196"/>
      <c r="BT127" s="46"/>
      <c r="BU127" s="257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196"/>
      <c r="CI127" s="46"/>
      <c r="CJ127" s="46"/>
      <c r="CK127" s="46"/>
      <c r="CL127" s="46"/>
      <c r="CM127" s="46"/>
      <c r="CN127" s="196"/>
      <c r="CO127" s="191"/>
      <c r="CP127" s="257"/>
      <c r="CQ127" s="196"/>
      <c r="CR127" s="167"/>
      <c r="CS127" s="257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191"/>
      <c r="DN127" s="46"/>
      <c r="DO127" s="196"/>
      <c r="DP127" s="221"/>
      <c r="DQ127" s="257">
        <f t="shared" si="12"/>
        <v>0</v>
      </c>
      <c r="DR127" s="294"/>
      <c r="DS127" s="295"/>
      <c r="DT127" s="386">
        <f t="shared" si="10"/>
        <v>0</v>
      </c>
      <c r="DU127" s="41"/>
      <c r="DV127" s="41"/>
      <c r="DW127" s="256"/>
      <c r="DX127" s="41"/>
      <c r="DY127" s="41"/>
      <c r="DZ127" s="68"/>
      <c r="EA127" s="41"/>
      <c r="EB127" s="41"/>
      <c r="EC127" s="256"/>
      <c r="ED127" s="308"/>
      <c r="EE127" s="308"/>
      <c r="EF127" s="308"/>
      <c r="EG127" s="41"/>
      <c r="EH127" s="41"/>
      <c r="EI127" s="41"/>
      <c r="EJ127" s="69"/>
      <c r="EK127" s="308"/>
      <c r="EL127" s="308"/>
      <c r="EM127" s="308"/>
      <c r="EN127" s="308"/>
      <c r="EO127" s="41"/>
      <c r="EP127" s="41"/>
      <c r="EQ127" s="41"/>
      <c r="ER127" s="256"/>
      <c r="ES127" s="293"/>
      <c r="ET127" s="293"/>
      <c r="EU127" s="293"/>
      <c r="EV127" s="293"/>
      <c r="EW127" s="41"/>
      <c r="EX127" s="41"/>
      <c r="EY127" s="41"/>
      <c r="EZ127" s="256"/>
      <c r="FA127" s="308"/>
      <c r="FB127" s="308"/>
      <c r="FC127" s="308"/>
      <c r="FD127" s="308"/>
      <c r="FE127" s="46"/>
      <c r="FF127" s="41"/>
      <c r="FG127" s="41"/>
      <c r="FH127" s="256"/>
      <c r="FI127" s="41"/>
      <c r="FJ127" s="41"/>
      <c r="FK127" s="41"/>
      <c r="FL127" s="276"/>
    </row>
    <row r="128" spans="1:168">
      <c r="A128" s="45">
        <v>121</v>
      </c>
      <c r="B128" s="45" t="s">
        <v>210</v>
      </c>
      <c r="C128" s="45">
        <v>5</v>
      </c>
      <c r="D128" s="29" t="s">
        <v>549</v>
      </c>
      <c r="E128" s="175">
        <v>4</v>
      </c>
      <c r="F128" s="188">
        <v>7</v>
      </c>
      <c r="G128" s="246">
        <v>0</v>
      </c>
      <c r="H128" s="45">
        <v>0</v>
      </c>
      <c r="I128" s="45">
        <v>0</v>
      </c>
      <c r="J128" s="492">
        <v>10.0136</v>
      </c>
      <c r="K128" s="495">
        <f t="shared" si="11"/>
        <v>10.0136</v>
      </c>
      <c r="L128" s="578"/>
      <c r="M128" s="45">
        <f t="shared" si="9"/>
        <v>0</v>
      </c>
      <c r="N128" s="46">
        <f t="shared" si="14"/>
        <v>10.0136</v>
      </c>
      <c r="O128" s="46">
        <f t="shared" si="13"/>
        <v>0</v>
      </c>
      <c r="P128" s="234"/>
      <c r="Q128" s="46"/>
      <c r="R128" s="450"/>
      <c r="S128" s="257"/>
      <c r="T128" s="46"/>
      <c r="U128" s="46"/>
      <c r="V128" s="46"/>
      <c r="W128" s="46"/>
      <c r="X128" s="196"/>
      <c r="Y128" s="46"/>
      <c r="Z128" s="46"/>
      <c r="AA128" s="46"/>
      <c r="AB128" s="46"/>
      <c r="AC128" s="46"/>
      <c r="AD128" s="46"/>
      <c r="AE128" s="46"/>
      <c r="AF128" s="196"/>
      <c r="AG128" s="46"/>
      <c r="AH128" s="46"/>
      <c r="AI128" s="46"/>
      <c r="AJ128" s="46"/>
      <c r="AK128" s="46"/>
      <c r="AL128" s="46"/>
      <c r="AM128" s="46"/>
      <c r="AN128" s="196"/>
      <c r="AO128" s="438"/>
      <c r="AP128" s="46"/>
      <c r="AQ128" s="368"/>
      <c r="AR128" s="257"/>
      <c r="AS128" s="196"/>
      <c r="AT128" s="46"/>
      <c r="AU128" s="46"/>
      <c r="AV128" s="196"/>
      <c r="AW128" s="257"/>
      <c r="AX128" s="196"/>
      <c r="AY128" s="191"/>
      <c r="AZ128" s="257"/>
      <c r="BA128" s="196"/>
      <c r="BB128" s="46"/>
      <c r="BC128" s="257"/>
      <c r="BD128" s="196"/>
      <c r="BE128" s="191"/>
      <c r="BF128" s="46"/>
      <c r="BG128" s="196"/>
      <c r="BH128" s="46"/>
      <c r="BI128" s="257"/>
      <c r="BJ128" s="196"/>
      <c r="BK128" s="191"/>
      <c r="BL128" s="257"/>
      <c r="BM128" s="196"/>
      <c r="BN128" s="46"/>
      <c r="BO128" s="257"/>
      <c r="BP128" s="196"/>
      <c r="BQ128" s="190"/>
      <c r="BR128" s="46"/>
      <c r="BS128" s="196"/>
      <c r="BT128" s="46"/>
      <c r="BU128" s="257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196"/>
      <c r="CI128" s="46"/>
      <c r="CJ128" s="46"/>
      <c r="CK128" s="46"/>
      <c r="CL128" s="46"/>
      <c r="CM128" s="46"/>
      <c r="CN128" s="196"/>
      <c r="CO128" s="191"/>
      <c r="CP128" s="257"/>
      <c r="CQ128" s="196"/>
      <c r="CR128" s="167"/>
      <c r="CS128" s="257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191"/>
      <c r="DN128" s="46"/>
      <c r="DO128" s="196"/>
      <c r="DP128" s="221"/>
      <c r="DQ128" s="257">
        <f t="shared" si="12"/>
        <v>0</v>
      </c>
      <c r="DR128" s="294"/>
      <c r="DS128" s="295"/>
      <c r="DT128" s="386">
        <f t="shared" si="10"/>
        <v>0</v>
      </c>
      <c r="DU128" s="41"/>
      <c r="DV128" s="41"/>
      <c r="DW128" s="256"/>
      <c r="DX128" s="41"/>
      <c r="DY128" s="41"/>
      <c r="DZ128" s="68"/>
      <c r="EA128" s="41"/>
      <c r="EB128" s="41"/>
      <c r="EC128" s="256"/>
      <c r="ED128" s="308"/>
      <c r="EE128" s="308"/>
      <c r="EF128" s="308"/>
      <c r="EG128" s="41"/>
      <c r="EH128" s="41"/>
      <c r="EI128" s="41"/>
      <c r="EJ128" s="69"/>
      <c r="EK128" s="308"/>
      <c r="EL128" s="308"/>
      <c r="EM128" s="308"/>
      <c r="EN128" s="308"/>
      <c r="EO128" s="41"/>
      <c r="EP128" s="41"/>
      <c r="EQ128" s="41"/>
      <c r="ER128" s="256"/>
      <c r="ES128" s="293"/>
      <c r="ET128" s="293"/>
      <c r="EU128" s="293"/>
      <c r="EV128" s="293"/>
      <c r="EW128" s="41"/>
      <c r="EX128" s="41"/>
      <c r="EY128" s="41"/>
      <c r="EZ128" s="256"/>
      <c r="FA128" s="308"/>
      <c r="FB128" s="308"/>
      <c r="FC128" s="308"/>
      <c r="FD128" s="308"/>
      <c r="FE128" s="41"/>
      <c r="FF128" s="41"/>
      <c r="FG128" s="41"/>
      <c r="FH128" s="256"/>
      <c r="FI128" s="41"/>
      <c r="FJ128" s="41"/>
      <c r="FK128" s="41"/>
      <c r="FL128" s="276"/>
    </row>
    <row r="129" spans="1:168">
      <c r="A129" s="45">
        <v>122</v>
      </c>
      <c r="B129" s="45" t="s">
        <v>210</v>
      </c>
      <c r="C129" s="45">
        <v>5</v>
      </c>
      <c r="D129" s="29" t="s">
        <v>109</v>
      </c>
      <c r="E129" s="30">
        <v>5</v>
      </c>
      <c r="F129" s="30">
        <v>5</v>
      </c>
      <c r="G129" s="246">
        <f>55068.552/1000</f>
        <v>55.068552000000004</v>
      </c>
      <c r="H129" s="45">
        <v>55068.552000000003</v>
      </c>
      <c r="I129" s="45">
        <v>0</v>
      </c>
      <c r="J129" s="397">
        <v>36.855970000000042</v>
      </c>
      <c r="K129" s="495">
        <f t="shared" si="11"/>
        <v>91.924522000000053</v>
      </c>
      <c r="L129" s="578"/>
      <c r="M129" s="45">
        <f t="shared" si="9"/>
        <v>0</v>
      </c>
      <c r="N129" s="46">
        <f t="shared" si="14"/>
        <v>91.924522000000053</v>
      </c>
      <c r="O129" s="46">
        <f t="shared" si="13"/>
        <v>90</v>
      </c>
      <c r="P129" s="234"/>
      <c r="Q129" s="46"/>
      <c r="R129" s="450"/>
      <c r="S129" s="257"/>
      <c r="T129" s="46"/>
      <c r="U129" s="46"/>
      <c r="V129" s="46"/>
      <c r="W129" s="46"/>
      <c r="X129" s="196"/>
      <c r="Y129" s="46"/>
      <c r="Z129" s="46"/>
      <c r="AA129" s="46"/>
      <c r="AB129" s="46"/>
      <c r="AC129" s="46"/>
      <c r="AD129" s="46"/>
      <c r="AE129" s="46"/>
      <c r="AF129" s="196"/>
      <c r="AG129" s="46"/>
      <c r="AH129" s="46"/>
      <c r="AI129" s="46"/>
      <c r="AJ129" s="46"/>
      <c r="AK129" s="46"/>
      <c r="AL129" s="46"/>
      <c r="AM129" s="46"/>
      <c r="AN129" s="196"/>
      <c r="AO129" s="438"/>
      <c r="AP129" s="45"/>
      <c r="AQ129" s="368"/>
      <c r="AR129" s="257"/>
      <c r="AS129" s="196"/>
      <c r="AT129" s="46"/>
      <c r="AU129" s="46"/>
      <c r="AV129" s="196"/>
      <c r="AW129" s="257"/>
      <c r="AX129" s="196"/>
      <c r="AY129" s="191"/>
      <c r="AZ129" s="257"/>
      <c r="BA129" s="196"/>
      <c r="BB129" s="46"/>
      <c r="BC129" s="257"/>
      <c r="BD129" s="196"/>
      <c r="BE129" s="191"/>
      <c r="BF129" s="46"/>
      <c r="BG129" s="196"/>
      <c r="BH129" s="46"/>
      <c r="BI129" s="257"/>
      <c r="BJ129" s="196"/>
      <c r="BK129" s="191"/>
      <c r="BL129" s="257"/>
      <c r="BM129" s="196"/>
      <c r="BN129" s="46"/>
      <c r="BO129" s="257"/>
      <c r="BP129" s="196"/>
      <c r="BQ129" s="190"/>
      <c r="BR129" s="46"/>
      <c r="BS129" s="196"/>
      <c r="BT129" s="46"/>
      <c r="BU129" s="257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196"/>
      <c r="CI129" s="46"/>
      <c r="CJ129" s="46"/>
      <c r="CK129" s="46"/>
      <c r="CL129" s="46"/>
      <c r="CM129" s="46"/>
      <c r="CN129" s="196"/>
      <c r="CO129" s="191"/>
      <c r="CP129" s="257"/>
      <c r="CQ129" s="196"/>
      <c r="CR129" s="167"/>
      <c r="CS129" s="257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191"/>
      <c r="DN129" s="46"/>
      <c r="DO129" s="196"/>
      <c r="DP129" s="221" t="s">
        <v>531</v>
      </c>
      <c r="DQ129" s="257">
        <f>DW129+EC129+EJ129+ER129+EZ129+FH129+90000</f>
        <v>90000</v>
      </c>
      <c r="DR129" s="294"/>
      <c r="DS129" s="295"/>
      <c r="DT129" s="386">
        <f t="shared" si="10"/>
        <v>0</v>
      </c>
      <c r="DU129" s="41"/>
      <c r="DV129" s="41"/>
      <c r="DW129" s="256"/>
      <c r="DX129" s="41"/>
      <c r="DY129" s="41"/>
      <c r="DZ129" s="68"/>
      <c r="EA129" s="41"/>
      <c r="EB129" s="41"/>
      <c r="EC129" s="256"/>
      <c r="ED129" s="308"/>
      <c r="EE129" s="308"/>
      <c r="EF129" s="308"/>
      <c r="EG129" s="41"/>
      <c r="EH129" s="41"/>
      <c r="EI129" s="41"/>
      <c r="EJ129" s="69"/>
      <c r="EK129" s="308"/>
      <c r="EL129" s="308"/>
      <c r="EM129" s="308"/>
      <c r="EN129" s="308"/>
      <c r="EO129" s="41"/>
      <c r="EP129" s="41"/>
      <c r="EQ129" s="41"/>
      <c r="ER129" s="256"/>
      <c r="ES129" s="293"/>
      <c r="ET129" s="293"/>
      <c r="EU129" s="293"/>
      <c r="EV129" s="293"/>
      <c r="EW129" s="41"/>
      <c r="EX129" s="41"/>
      <c r="EY129" s="41"/>
      <c r="EZ129" s="256"/>
      <c r="FA129" s="308"/>
      <c r="FB129" s="308"/>
      <c r="FC129" s="308"/>
      <c r="FD129" s="308"/>
      <c r="FE129" s="46"/>
      <c r="FF129" s="41"/>
      <c r="FG129" s="41"/>
      <c r="FH129" s="256"/>
      <c r="FI129" s="41"/>
      <c r="FJ129" s="41"/>
      <c r="FK129" s="41"/>
      <c r="FL129" s="276"/>
    </row>
    <row r="130" spans="1:168">
      <c r="A130" s="45">
        <v>123</v>
      </c>
      <c r="B130" s="45" t="s">
        <v>210</v>
      </c>
      <c r="C130" s="45">
        <v>5</v>
      </c>
      <c r="D130" s="29" t="s">
        <v>549</v>
      </c>
      <c r="E130" s="30">
        <v>18</v>
      </c>
      <c r="F130" s="30">
        <v>7</v>
      </c>
      <c r="G130" s="246">
        <f>9956.016/1000</f>
        <v>9.956016</v>
      </c>
      <c r="H130" s="45">
        <v>0</v>
      </c>
      <c r="I130" s="45">
        <v>9956.0159999999996</v>
      </c>
      <c r="J130" s="397">
        <v>28.12715</v>
      </c>
      <c r="K130" s="495">
        <f t="shared" si="11"/>
        <v>38.083165999999999</v>
      </c>
      <c r="L130" s="578"/>
      <c r="M130" s="45">
        <f t="shared" si="9"/>
        <v>0</v>
      </c>
      <c r="N130" s="46">
        <f t="shared" si="14"/>
        <v>38.083165999999999</v>
      </c>
      <c r="O130" s="46">
        <f t="shared" si="13"/>
        <v>0</v>
      </c>
      <c r="P130" s="234"/>
      <c r="Q130" s="46"/>
      <c r="R130" s="450"/>
      <c r="S130" s="257"/>
      <c r="T130" s="46"/>
      <c r="U130" s="46"/>
      <c r="V130" s="46"/>
      <c r="W130" s="46"/>
      <c r="X130" s="196"/>
      <c r="Y130" s="46"/>
      <c r="Z130" s="46"/>
      <c r="AA130" s="46"/>
      <c r="AB130" s="46"/>
      <c r="AC130" s="46"/>
      <c r="AD130" s="46"/>
      <c r="AE130" s="46"/>
      <c r="AF130" s="196"/>
      <c r="AG130" s="46"/>
      <c r="AH130" s="46"/>
      <c r="AI130" s="46"/>
      <c r="AJ130" s="46"/>
      <c r="AK130" s="46"/>
      <c r="AL130" s="46"/>
      <c r="AM130" s="46"/>
      <c r="AN130" s="196"/>
      <c r="AO130" s="438"/>
      <c r="AP130" s="46"/>
      <c r="AQ130" s="368"/>
      <c r="AR130" s="257"/>
      <c r="AS130" s="196"/>
      <c r="AT130" s="46"/>
      <c r="AU130" s="46"/>
      <c r="AV130" s="196"/>
      <c r="AW130" s="257"/>
      <c r="AX130" s="196"/>
      <c r="AY130" s="191"/>
      <c r="AZ130" s="257"/>
      <c r="BA130" s="196"/>
      <c r="BB130" s="46"/>
      <c r="BC130" s="257"/>
      <c r="BD130" s="196"/>
      <c r="BE130" s="191"/>
      <c r="BF130" s="46"/>
      <c r="BG130" s="196"/>
      <c r="BH130" s="46"/>
      <c r="BI130" s="257"/>
      <c r="BJ130" s="196"/>
      <c r="BK130" s="191"/>
      <c r="BL130" s="257"/>
      <c r="BM130" s="196"/>
      <c r="BN130" s="46"/>
      <c r="BO130" s="257"/>
      <c r="BP130" s="196"/>
      <c r="BQ130" s="190"/>
      <c r="BR130" s="46"/>
      <c r="BS130" s="196"/>
      <c r="BT130" s="46"/>
      <c r="BU130" s="257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196"/>
      <c r="CI130" s="46"/>
      <c r="CJ130" s="46"/>
      <c r="CK130" s="46"/>
      <c r="CL130" s="46"/>
      <c r="CM130" s="46"/>
      <c r="CN130" s="196"/>
      <c r="CO130" s="191"/>
      <c r="CP130" s="257"/>
      <c r="CQ130" s="196"/>
      <c r="CR130" s="167"/>
      <c r="CS130" s="257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191"/>
      <c r="DN130" s="46"/>
      <c r="DO130" s="196"/>
      <c r="DP130" s="221"/>
      <c r="DQ130" s="257">
        <f t="shared" si="12"/>
        <v>0</v>
      </c>
      <c r="DR130" s="294"/>
      <c r="DS130" s="295"/>
      <c r="DT130" s="386">
        <f t="shared" si="10"/>
        <v>0</v>
      </c>
      <c r="DU130" s="41"/>
      <c r="DV130" s="41"/>
      <c r="DW130" s="256"/>
      <c r="DX130" s="41"/>
      <c r="DY130" s="41"/>
      <c r="DZ130" s="68"/>
      <c r="EA130" s="41"/>
      <c r="EB130" s="41"/>
      <c r="EC130" s="256"/>
      <c r="ED130" s="308"/>
      <c r="EE130" s="308"/>
      <c r="EF130" s="308"/>
      <c r="EG130" s="41"/>
      <c r="EH130" s="41"/>
      <c r="EI130" s="41"/>
      <c r="EJ130" s="69"/>
      <c r="EK130" s="308"/>
      <c r="EL130" s="308"/>
      <c r="EM130" s="308"/>
      <c r="EN130" s="308"/>
      <c r="EO130" s="41"/>
      <c r="EP130" s="41"/>
      <c r="EQ130" s="41"/>
      <c r="ER130" s="256"/>
      <c r="ES130" s="293"/>
      <c r="ET130" s="293"/>
      <c r="EU130" s="293"/>
      <c r="EV130" s="293"/>
      <c r="EW130" s="41"/>
      <c r="EX130" s="41"/>
      <c r="EY130" s="41"/>
      <c r="EZ130" s="256"/>
      <c r="FA130" s="308"/>
      <c r="FB130" s="308"/>
      <c r="FC130" s="308"/>
      <c r="FD130" s="308"/>
      <c r="FE130" s="41"/>
      <c r="FF130" s="41"/>
      <c r="FG130" s="41"/>
      <c r="FH130" s="256"/>
      <c r="FI130" s="41"/>
      <c r="FJ130" s="41"/>
      <c r="FK130" s="41"/>
      <c r="FL130" s="276"/>
    </row>
    <row r="131" spans="1:168">
      <c r="A131" s="45">
        <v>124</v>
      </c>
      <c r="B131" s="45" t="s">
        <v>210</v>
      </c>
      <c r="C131" s="45">
        <v>5</v>
      </c>
      <c r="D131" s="29" t="s">
        <v>561</v>
      </c>
      <c r="E131" s="30" t="s">
        <v>110</v>
      </c>
      <c r="F131" s="30">
        <v>7</v>
      </c>
      <c r="G131" s="246">
        <f>11441.052/1000</f>
        <v>11.441051999999999</v>
      </c>
      <c r="H131" s="45">
        <v>0</v>
      </c>
      <c r="I131" s="45">
        <v>11441.052</v>
      </c>
      <c r="J131" s="397">
        <v>12.765799999999999</v>
      </c>
      <c r="K131" s="495">
        <f t="shared" si="11"/>
        <v>24.206851999999998</v>
      </c>
      <c r="L131" s="578"/>
      <c r="M131" s="45">
        <f t="shared" si="9"/>
        <v>0</v>
      </c>
      <c r="N131" s="46">
        <f t="shared" si="14"/>
        <v>24.206851999999998</v>
      </c>
      <c r="O131" s="46">
        <f t="shared" si="13"/>
        <v>24</v>
      </c>
      <c r="P131" s="234"/>
      <c r="Q131" s="46"/>
      <c r="R131" s="450"/>
      <c r="S131" s="257"/>
      <c r="T131" s="46"/>
      <c r="U131" s="46"/>
      <c r="V131" s="46"/>
      <c r="W131" s="46"/>
      <c r="X131" s="196"/>
      <c r="Y131" s="46"/>
      <c r="Z131" s="46"/>
      <c r="AA131" s="46"/>
      <c r="AB131" s="46"/>
      <c r="AC131" s="46"/>
      <c r="AD131" s="46"/>
      <c r="AE131" s="46"/>
      <c r="AF131" s="196"/>
      <c r="AG131" s="46"/>
      <c r="AH131" s="46"/>
      <c r="AI131" s="46"/>
      <c r="AJ131" s="46"/>
      <c r="AK131" s="46"/>
      <c r="AL131" s="46"/>
      <c r="AM131" s="46"/>
      <c r="AN131" s="196"/>
      <c r="AO131" s="438"/>
      <c r="AP131" s="46"/>
      <c r="AQ131" s="368"/>
      <c r="AR131" s="257"/>
      <c r="AS131" s="196"/>
      <c r="AT131" s="46"/>
      <c r="AU131" s="46"/>
      <c r="AV131" s="196"/>
      <c r="AW131" s="257"/>
      <c r="AX131" s="196"/>
      <c r="AY131" s="191"/>
      <c r="AZ131" s="257"/>
      <c r="BA131" s="196"/>
      <c r="BB131" s="46"/>
      <c r="BC131" s="257"/>
      <c r="BD131" s="196"/>
      <c r="BE131" s="191"/>
      <c r="BF131" s="46"/>
      <c r="BG131" s="196"/>
      <c r="BH131" s="46"/>
      <c r="BI131" s="257"/>
      <c r="BJ131" s="196"/>
      <c r="BK131" s="191"/>
      <c r="BL131" s="257"/>
      <c r="BM131" s="196"/>
      <c r="BN131" s="46"/>
      <c r="BO131" s="257"/>
      <c r="BP131" s="196"/>
      <c r="BQ131" s="190"/>
      <c r="BR131" s="46"/>
      <c r="BS131" s="196"/>
      <c r="BT131" s="46"/>
      <c r="BU131" s="257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196"/>
      <c r="CI131" s="46"/>
      <c r="CJ131" s="46"/>
      <c r="CK131" s="46"/>
      <c r="CL131" s="46"/>
      <c r="CM131" s="46"/>
      <c r="CN131" s="196"/>
      <c r="CO131" s="191"/>
      <c r="CP131" s="257"/>
      <c r="CQ131" s="196"/>
      <c r="CR131" s="167"/>
      <c r="CS131" s="257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191"/>
      <c r="DN131" s="46"/>
      <c r="DO131" s="196"/>
      <c r="DP131" s="221" t="s">
        <v>571</v>
      </c>
      <c r="DQ131" s="257">
        <f>DW131+EC131+EJ131+ER131+EZ131+FH131+24000</f>
        <v>24000</v>
      </c>
      <c r="DR131" s="294"/>
      <c r="DS131" s="295"/>
      <c r="DT131" s="386">
        <f t="shared" si="10"/>
        <v>0</v>
      </c>
      <c r="DU131" s="41"/>
      <c r="DV131" s="41"/>
      <c r="DW131" s="256"/>
      <c r="DX131" s="41"/>
      <c r="DY131" s="41"/>
      <c r="DZ131" s="68"/>
      <c r="EA131" s="41"/>
      <c r="EB131" s="41"/>
      <c r="EC131" s="256"/>
      <c r="ED131" s="308"/>
      <c r="EE131" s="308"/>
      <c r="EF131" s="308"/>
      <c r="EG131" s="41"/>
      <c r="EH131" s="41"/>
      <c r="EI131" s="41"/>
      <c r="EJ131" s="69"/>
      <c r="EK131" s="308"/>
      <c r="EL131" s="308"/>
      <c r="EM131" s="308"/>
      <c r="EN131" s="308"/>
      <c r="EO131" s="41"/>
      <c r="EP131" s="41"/>
      <c r="EQ131" s="41"/>
      <c r="ER131" s="256"/>
      <c r="ES131" s="293"/>
      <c r="ET131" s="293"/>
      <c r="EU131" s="293"/>
      <c r="EV131" s="293"/>
      <c r="EW131" s="41"/>
      <c r="EX131" s="41"/>
      <c r="EY131" s="41"/>
      <c r="EZ131" s="256"/>
      <c r="FA131" s="308"/>
      <c r="FB131" s="308"/>
      <c r="FC131" s="308"/>
      <c r="FD131" s="308"/>
      <c r="FE131" s="41"/>
      <c r="FF131" s="41"/>
      <c r="FG131" s="41"/>
      <c r="FH131" s="256"/>
      <c r="FI131" s="41"/>
      <c r="FJ131" s="41"/>
      <c r="FK131" s="41"/>
      <c r="FL131" s="276"/>
    </row>
    <row r="132" spans="1:168">
      <c r="A132" s="45">
        <v>125</v>
      </c>
      <c r="B132" s="45"/>
      <c r="C132" s="45">
        <v>4</v>
      </c>
      <c r="D132" s="29" t="s">
        <v>1001</v>
      </c>
      <c r="E132" s="30">
        <v>2</v>
      </c>
      <c r="F132" s="30">
        <v>5</v>
      </c>
      <c r="G132" s="246">
        <f>921595.752/1000</f>
        <v>921.59575199999995</v>
      </c>
      <c r="H132" s="45">
        <v>921595.75200000009</v>
      </c>
      <c r="I132" s="45">
        <v>0</v>
      </c>
      <c r="J132" s="397">
        <v>330.67090999999999</v>
      </c>
      <c r="K132" s="495">
        <f t="shared" si="11"/>
        <v>1252.266662</v>
      </c>
      <c r="L132" s="578"/>
      <c r="M132" s="45">
        <f t="shared" si="9"/>
        <v>25.13833</v>
      </c>
      <c r="N132" s="46">
        <f t="shared" si="14"/>
        <v>1227.128332</v>
      </c>
      <c r="O132" s="46">
        <f t="shared" si="13"/>
        <v>0</v>
      </c>
      <c r="P132" s="234" t="s">
        <v>582</v>
      </c>
      <c r="Q132" s="46"/>
      <c r="R132" s="450"/>
      <c r="S132" s="257"/>
      <c r="T132" s="46"/>
      <c r="U132" s="46"/>
      <c r="V132" s="46"/>
      <c r="W132" s="46"/>
      <c r="X132" s="196"/>
      <c r="Y132" s="46"/>
      <c r="Z132" s="46"/>
      <c r="AA132" s="46"/>
      <c r="AB132" s="46"/>
      <c r="AC132" s="46"/>
      <c r="AD132" s="46"/>
      <c r="AE132" s="46"/>
      <c r="AF132" s="196"/>
      <c r="AG132" s="46"/>
      <c r="AH132" s="46"/>
      <c r="AI132" s="46"/>
      <c r="AJ132" s="46"/>
      <c r="AK132" s="46"/>
      <c r="AL132" s="46"/>
      <c r="AM132" s="46"/>
      <c r="AN132" s="196"/>
      <c r="AO132" s="438"/>
      <c r="AP132" s="46"/>
      <c r="AQ132" s="368"/>
      <c r="AR132" s="257"/>
      <c r="AS132" s="196"/>
      <c r="AT132" s="46"/>
      <c r="AU132" s="46"/>
      <c r="AV132" s="196"/>
      <c r="AW132" s="257"/>
      <c r="AX132" s="196"/>
      <c r="AY132" s="191"/>
      <c r="AZ132" s="257"/>
      <c r="BA132" s="196" t="s">
        <v>523</v>
      </c>
      <c r="BB132" s="46">
        <f>3.5+9</f>
        <v>12.5</v>
      </c>
      <c r="BC132" s="257">
        <f>3852.64+17840.96</f>
        <v>21693.599999999999</v>
      </c>
      <c r="BD132" s="196"/>
      <c r="BE132" s="191"/>
      <c r="BF132" s="46"/>
      <c r="BG132" s="196"/>
      <c r="BH132" s="46"/>
      <c r="BI132" s="257"/>
      <c r="BJ132" s="196"/>
      <c r="BK132" s="191"/>
      <c r="BL132" s="257"/>
      <c r="BM132" s="196"/>
      <c r="BN132" s="46"/>
      <c r="BO132" s="257"/>
      <c r="BP132" s="196"/>
      <c r="BQ132" s="190"/>
      <c r="BR132" s="46"/>
      <c r="BS132" s="196"/>
      <c r="BT132" s="46"/>
      <c r="BU132" s="257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196"/>
      <c r="CI132" s="46"/>
      <c r="CJ132" s="46"/>
      <c r="CK132" s="46"/>
      <c r="CL132" s="46"/>
      <c r="CM132" s="46"/>
      <c r="CN132" s="196"/>
      <c r="CO132" s="190"/>
      <c r="CP132" s="257"/>
      <c r="CQ132" s="196"/>
      <c r="CR132" s="167"/>
      <c r="CS132" s="257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191"/>
      <c r="DN132" s="46"/>
      <c r="DO132" s="196"/>
      <c r="DP132" s="221"/>
      <c r="DQ132" s="257">
        <f t="shared" si="12"/>
        <v>0</v>
      </c>
      <c r="DR132" s="294"/>
      <c r="DS132" s="295"/>
      <c r="DT132" s="386">
        <f t="shared" si="10"/>
        <v>3444.73</v>
      </c>
      <c r="DU132" s="41"/>
      <c r="DV132" s="41"/>
      <c r="DW132" s="256"/>
      <c r="DX132" s="41"/>
      <c r="DY132" s="41"/>
      <c r="DZ132" s="68"/>
      <c r="EA132" s="41"/>
      <c r="EB132" s="41"/>
      <c r="EC132" s="256"/>
      <c r="ED132" s="308"/>
      <c r="EE132" s="308"/>
      <c r="EF132" s="308"/>
      <c r="EG132" s="41"/>
      <c r="EH132" s="41"/>
      <c r="EI132" s="41"/>
      <c r="EJ132" s="69"/>
      <c r="EK132" s="308"/>
      <c r="EL132" s="308"/>
      <c r="EM132" s="308"/>
      <c r="EN132" s="308"/>
      <c r="EO132" s="41"/>
      <c r="EP132" s="41"/>
      <c r="EQ132" s="41"/>
      <c r="ER132" s="256"/>
      <c r="ES132" s="293"/>
      <c r="ET132" s="293"/>
      <c r="EU132" s="293"/>
      <c r="EV132" s="293"/>
      <c r="EW132" s="41"/>
      <c r="EX132" s="41"/>
      <c r="EY132" s="41"/>
      <c r="EZ132" s="256"/>
      <c r="FA132" s="308"/>
      <c r="FB132" s="308"/>
      <c r="FC132" s="308"/>
      <c r="FD132" s="308"/>
      <c r="FE132" s="41"/>
      <c r="FF132" s="41"/>
      <c r="FG132" s="41"/>
      <c r="FH132" s="256"/>
      <c r="FI132" s="41">
        <v>1</v>
      </c>
      <c r="FJ132" s="41">
        <v>1</v>
      </c>
      <c r="FK132" s="41">
        <v>1</v>
      </c>
      <c r="FL132" s="276">
        <f>3444.73</f>
        <v>3444.73</v>
      </c>
    </row>
    <row r="133" spans="1:168" s="28" customFormat="1" ht="23.25">
      <c r="A133" s="45">
        <v>126</v>
      </c>
      <c r="B133" s="45" t="s">
        <v>210</v>
      </c>
      <c r="C133" s="45">
        <v>4</v>
      </c>
      <c r="D133" s="29" t="s">
        <v>208</v>
      </c>
      <c r="E133" s="30">
        <v>10</v>
      </c>
      <c r="F133" s="30">
        <v>5</v>
      </c>
      <c r="G133" s="246">
        <f>281621.34/1000</f>
        <v>281.62134000000003</v>
      </c>
      <c r="H133" s="45">
        <v>281621.33999999997</v>
      </c>
      <c r="I133" s="45">
        <v>0</v>
      </c>
      <c r="J133" s="397">
        <v>-9.4308399999999892</v>
      </c>
      <c r="K133" s="495">
        <f t="shared" si="11"/>
        <v>272.19050000000004</v>
      </c>
      <c r="L133" s="578"/>
      <c r="M133" s="45">
        <f t="shared" si="9"/>
        <v>0</v>
      </c>
      <c r="N133" s="46">
        <f t="shared" si="14"/>
        <v>272.19050000000004</v>
      </c>
      <c r="O133" s="46">
        <f t="shared" si="13"/>
        <v>270</v>
      </c>
      <c r="P133" s="234" t="s">
        <v>250</v>
      </c>
      <c r="Q133" s="46">
        <v>3</v>
      </c>
      <c r="R133" s="450" t="s">
        <v>843</v>
      </c>
      <c r="S133" s="257">
        <f>3*90000</f>
        <v>270000</v>
      </c>
      <c r="T133" s="46"/>
      <c r="U133" s="46"/>
      <c r="V133" s="46"/>
      <c r="W133" s="46"/>
      <c r="X133" s="196"/>
      <c r="Y133" s="46"/>
      <c r="Z133" s="46"/>
      <c r="AA133" s="46"/>
      <c r="AB133" s="46"/>
      <c r="AC133" s="46"/>
      <c r="AD133" s="46"/>
      <c r="AE133" s="46"/>
      <c r="AF133" s="196"/>
      <c r="AG133" s="46"/>
      <c r="AH133" s="46"/>
      <c r="AI133" s="46"/>
      <c r="AJ133" s="46"/>
      <c r="AK133" s="46"/>
      <c r="AL133" s="46"/>
      <c r="AM133" s="46"/>
      <c r="AN133" s="196"/>
      <c r="AO133" s="438"/>
      <c r="AP133" s="46"/>
      <c r="AQ133" s="368"/>
      <c r="AR133" s="257"/>
      <c r="AS133" s="196"/>
      <c r="AT133" s="46"/>
      <c r="AU133" s="46"/>
      <c r="AV133" s="196"/>
      <c r="AW133" s="257"/>
      <c r="AX133" s="196"/>
      <c r="AY133" s="191"/>
      <c r="AZ133" s="257"/>
      <c r="BA133" s="196"/>
      <c r="BB133" s="46"/>
      <c r="BC133" s="257"/>
      <c r="BD133" s="196"/>
      <c r="BE133" s="191"/>
      <c r="BF133" s="46"/>
      <c r="BG133" s="196"/>
      <c r="BH133" s="46"/>
      <c r="BI133" s="257"/>
      <c r="BJ133" s="196"/>
      <c r="BK133" s="191"/>
      <c r="BL133" s="257"/>
      <c r="BM133" s="196"/>
      <c r="BN133" s="167"/>
      <c r="BO133" s="257"/>
      <c r="BP133" s="196"/>
      <c r="BQ133" s="190"/>
      <c r="BR133" s="46"/>
      <c r="BS133" s="196"/>
      <c r="BT133" s="46"/>
      <c r="BU133" s="257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196"/>
      <c r="CI133" s="46"/>
      <c r="CJ133" s="46"/>
      <c r="CK133" s="46"/>
      <c r="CL133" s="46"/>
      <c r="CM133" s="46"/>
      <c r="CN133" s="196"/>
      <c r="CO133" s="191"/>
      <c r="CP133" s="257"/>
      <c r="CQ133" s="196"/>
      <c r="CR133" s="167"/>
      <c r="CS133" s="257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191"/>
      <c r="DN133" s="46"/>
      <c r="DO133" s="196"/>
      <c r="DP133" s="221"/>
      <c r="DQ133" s="257">
        <f t="shared" si="12"/>
        <v>0</v>
      </c>
      <c r="DR133" s="296"/>
      <c r="DS133" s="295"/>
      <c r="DT133" s="386">
        <f t="shared" si="10"/>
        <v>0</v>
      </c>
      <c r="DU133" s="46"/>
      <c r="DV133" s="46"/>
      <c r="DW133" s="256"/>
      <c r="DX133" s="41"/>
      <c r="DY133" s="41"/>
      <c r="DZ133" s="68"/>
      <c r="EA133" s="46"/>
      <c r="EB133" s="46"/>
      <c r="EC133" s="256"/>
      <c r="ED133" s="308"/>
      <c r="EE133" s="308"/>
      <c r="EF133" s="308"/>
      <c r="EG133" s="46"/>
      <c r="EH133" s="46"/>
      <c r="EI133" s="46"/>
      <c r="EJ133" s="46"/>
      <c r="EK133" s="308"/>
      <c r="EL133" s="308"/>
      <c r="EM133" s="308"/>
      <c r="EN133" s="308"/>
      <c r="EO133" s="46"/>
      <c r="EP133" s="46"/>
      <c r="EQ133" s="46"/>
      <c r="ER133" s="257"/>
      <c r="ES133" s="293"/>
      <c r="ET133" s="293"/>
      <c r="EU133" s="293"/>
      <c r="EV133" s="293"/>
      <c r="EW133" s="46"/>
      <c r="EX133" s="46"/>
      <c r="EY133" s="46"/>
      <c r="EZ133" s="257"/>
      <c r="FA133" s="308"/>
      <c r="FB133" s="308"/>
      <c r="FC133" s="308"/>
      <c r="FD133" s="308"/>
      <c r="FE133" s="41"/>
      <c r="FF133" s="41"/>
      <c r="FG133" s="41"/>
      <c r="FH133" s="256"/>
      <c r="FI133" s="46"/>
      <c r="FJ133" s="46"/>
      <c r="FK133" s="46"/>
      <c r="FL133" s="257"/>
    </row>
    <row r="134" spans="1:168">
      <c r="A134" s="45">
        <v>127</v>
      </c>
      <c r="B134" s="45" t="s">
        <v>210</v>
      </c>
      <c r="C134" s="45">
        <v>5</v>
      </c>
      <c r="D134" s="29" t="s">
        <v>111</v>
      </c>
      <c r="E134" s="30" t="s">
        <v>112</v>
      </c>
      <c r="F134" s="30">
        <v>5</v>
      </c>
      <c r="G134" s="246">
        <f>180282.564/1000</f>
        <v>180.28256400000001</v>
      </c>
      <c r="H134" s="45">
        <v>180282.56400000001</v>
      </c>
      <c r="I134" s="45">
        <v>0</v>
      </c>
      <c r="J134" s="397">
        <v>93.492170000000016</v>
      </c>
      <c r="K134" s="495">
        <f t="shared" si="11"/>
        <v>273.77473400000002</v>
      </c>
      <c r="L134" s="578"/>
      <c r="M134" s="45">
        <f t="shared" si="9"/>
        <v>0</v>
      </c>
      <c r="N134" s="46">
        <f t="shared" si="14"/>
        <v>273.77473400000002</v>
      </c>
      <c r="O134" s="46">
        <f t="shared" si="13"/>
        <v>270</v>
      </c>
      <c r="P134" s="234"/>
      <c r="Q134" s="46"/>
      <c r="R134" s="450"/>
      <c r="S134" s="257"/>
      <c r="T134" s="46"/>
      <c r="U134" s="46"/>
      <c r="V134" s="167"/>
      <c r="W134" s="46"/>
      <c r="X134" s="196"/>
      <c r="Y134" s="46"/>
      <c r="Z134" s="46"/>
      <c r="AA134" s="46"/>
      <c r="AB134" s="46"/>
      <c r="AC134" s="46"/>
      <c r="AD134" s="46"/>
      <c r="AE134" s="46"/>
      <c r="AF134" s="196"/>
      <c r="AG134" s="46"/>
      <c r="AH134" s="46"/>
      <c r="AI134" s="46"/>
      <c r="AJ134" s="46"/>
      <c r="AK134" s="46"/>
      <c r="AL134" s="46"/>
      <c r="AM134" s="46"/>
      <c r="AN134" s="382"/>
      <c r="AO134" s="438"/>
      <c r="AP134" s="46"/>
      <c r="AQ134" s="368"/>
      <c r="AR134" s="257"/>
      <c r="AS134" s="196"/>
      <c r="AT134" s="46"/>
      <c r="AU134" s="167"/>
      <c r="AV134" s="196"/>
      <c r="AW134" s="257"/>
      <c r="AX134" s="196"/>
      <c r="AY134" s="191"/>
      <c r="AZ134" s="257"/>
      <c r="BA134" s="196"/>
      <c r="BB134" s="46"/>
      <c r="BC134" s="257"/>
      <c r="BD134" s="196"/>
      <c r="BE134" s="191"/>
      <c r="BF134" s="46"/>
      <c r="BG134" s="196"/>
      <c r="BH134" s="46"/>
      <c r="BI134" s="257"/>
      <c r="BJ134" s="196"/>
      <c r="BK134" s="191"/>
      <c r="BL134" s="257"/>
      <c r="BM134" s="196"/>
      <c r="BN134" s="167"/>
      <c r="BO134" s="257"/>
      <c r="BP134" s="196"/>
      <c r="BQ134" s="190"/>
      <c r="BR134" s="46"/>
      <c r="BS134" s="196"/>
      <c r="BT134" s="46"/>
      <c r="BU134" s="257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196"/>
      <c r="CI134" s="46"/>
      <c r="CJ134" s="46"/>
      <c r="CK134" s="46"/>
      <c r="CL134" s="46"/>
      <c r="CM134" s="46"/>
      <c r="CN134" s="196"/>
      <c r="CO134" s="191"/>
      <c r="CP134" s="257"/>
      <c r="CQ134" s="196"/>
      <c r="CR134" s="167"/>
      <c r="CS134" s="257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191"/>
      <c r="DN134" s="46"/>
      <c r="DO134" s="196"/>
      <c r="DP134" s="221" t="s">
        <v>531</v>
      </c>
      <c r="DQ134" s="257">
        <f>DW134+EC134+EJ134+ER134+EZ134+FH134+270000</f>
        <v>270000</v>
      </c>
      <c r="DR134" s="294"/>
      <c r="DS134" s="295"/>
      <c r="DT134" s="386">
        <f t="shared" si="10"/>
        <v>0</v>
      </c>
      <c r="DU134" s="41"/>
      <c r="DV134" s="41"/>
      <c r="DW134" s="256"/>
      <c r="DX134" s="41"/>
      <c r="DY134" s="41"/>
      <c r="DZ134" s="68"/>
      <c r="EA134" s="41"/>
      <c r="EB134" s="41"/>
      <c r="EC134" s="256"/>
      <c r="ED134" s="308"/>
      <c r="EE134" s="308"/>
      <c r="EF134" s="308"/>
      <c r="EG134" s="41"/>
      <c r="EH134" s="41"/>
      <c r="EI134" s="41"/>
      <c r="EJ134" s="69"/>
      <c r="EK134" s="308"/>
      <c r="EL134" s="308"/>
      <c r="EM134" s="308"/>
      <c r="EN134" s="308"/>
      <c r="EO134" s="41"/>
      <c r="EP134" s="41"/>
      <c r="EQ134" s="41"/>
      <c r="ER134" s="256"/>
      <c r="ES134" s="293"/>
      <c r="ET134" s="293"/>
      <c r="EU134" s="293"/>
      <c r="EV134" s="293"/>
      <c r="EW134" s="41"/>
      <c r="EX134" s="41"/>
      <c r="EY134" s="41"/>
      <c r="EZ134" s="256"/>
      <c r="FA134" s="308"/>
      <c r="FB134" s="308"/>
      <c r="FC134" s="308"/>
      <c r="FD134" s="308"/>
      <c r="FE134" s="46"/>
      <c r="FF134" s="41"/>
      <c r="FG134" s="41"/>
      <c r="FH134" s="256"/>
      <c r="FI134" s="41"/>
      <c r="FJ134" s="41"/>
      <c r="FK134" s="41"/>
      <c r="FL134" s="276"/>
    </row>
    <row r="135" spans="1:168">
      <c r="A135" s="45">
        <v>128</v>
      </c>
      <c r="B135" s="45" t="s">
        <v>210</v>
      </c>
      <c r="C135" s="45">
        <v>5</v>
      </c>
      <c r="D135" s="29" t="s">
        <v>111</v>
      </c>
      <c r="E135" s="30" t="s">
        <v>113</v>
      </c>
      <c r="F135" s="30">
        <v>5</v>
      </c>
      <c r="G135" s="246">
        <f>42619.5/1000</f>
        <v>42.619500000000002</v>
      </c>
      <c r="H135" s="45">
        <v>42619.5</v>
      </c>
      <c r="I135" s="45">
        <v>0</v>
      </c>
      <c r="J135" s="397">
        <v>155.80266999999998</v>
      </c>
      <c r="K135" s="495">
        <f t="shared" si="11"/>
        <v>198.42216999999999</v>
      </c>
      <c r="L135" s="578"/>
      <c r="M135" s="45">
        <f t="shared" si="9"/>
        <v>0</v>
      </c>
      <c r="N135" s="46">
        <f t="shared" si="14"/>
        <v>198.42216999999999</v>
      </c>
      <c r="O135" s="46">
        <f t="shared" si="13"/>
        <v>156</v>
      </c>
      <c r="P135" s="234"/>
      <c r="Q135" s="46"/>
      <c r="R135" s="450"/>
      <c r="S135" s="257"/>
      <c r="T135" s="46"/>
      <c r="U135" s="46"/>
      <c r="V135" s="46"/>
      <c r="W135" s="46"/>
      <c r="X135" s="196"/>
      <c r="Y135" s="46"/>
      <c r="Z135" s="46"/>
      <c r="AA135" s="46"/>
      <c r="AB135" s="46"/>
      <c r="AC135" s="46"/>
      <c r="AD135" s="46"/>
      <c r="AE135" s="46"/>
      <c r="AF135" s="196"/>
      <c r="AG135" s="46"/>
      <c r="AH135" s="46"/>
      <c r="AI135" s="46"/>
      <c r="AJ135" s="46"/>
      <c r="AK135" s="46"/>
      <c r="AL135" s="46"/>
      <c r="AM135" s="46"/>
      <c r="AN135" s="196" t="s">
        <v>228</v>
      </c>
      <c r="AO135" s="438" t="s">
        <v>324</v>
      </c>
      <c r="AP135" s="46">
        <v>120</v>
      </c>
      <c r="AQ135" s="368" t="s">
        <v>552</v>
      </c>
      <c r="AR135" s="257">
        <f>AP135*1300</f>
        <v>156000</v>
      </c>
      <c r="AS135" s="196"/>
      <c r="AT135" s="46"/>
      <c r="AU135" s="46"/>
      <c r="AV135" s="196"/>
      <c r="AW135" s="257"/>
      <c r="AX135" s="196"/>
      <c r="AY135" s="191"/>
      <c r="AZ135" s="257"/>
      <c r="BA135" s="196"/>
      <c r="BB135" s="46"/>
      <c r="BC135" s="257"/>
      <c r="BD135" s="196"/>
      <c r="BE135" s="191"/>
      <c r="BF135" s="46"/>
      <c r="BG135" s="196"/>
      <c r="BH135" s="46"/>
      <c r="BI135" s="257"/>
      <c r="BJ135" s="196"/>
      <c r="BK135" s="191"/>
      <c r="BL135" s="257"/>
      <c r="BM135" s="196"/>
      <c r="BN135" s="167"/>
      <c r="BO135" s="257"/>
      <c r="BP135" s="196"/>
      <c r="BQ135" s="190"/>
      <c r="BR135" s="46"/>
      <c r="BS135" s="196"/>
      <c r="BT135" s="46"/>
      <c r="BU135" s="257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196"/>
      <c r="CI135" s="46"/>
      <c r="CJ135" s="46"/>
      <c r="CK135" s="46"/>
      <c r="CL135" s="46"/>
      <c r="CM135" s="46"/>
      <c r="CN135" s="196"/>
      <c r="CO135" s="191"/>
      <c r="CP135" s="257"/>
      <c r="CQ135" s="196"/>
      <c r="CR135" s="167"/>
      <c r="CS135" s="257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191"/>
      <c r="DN135" s="46"/>
      <c r="DO135" s="196"/>
      <c r="DP135" s="221"/>
      <c r="DQ135" s="257">
        <f t="shared" si="12"/>
        <v>0</v>
      </c>
      <c r="DR135" s="294"/>
      <c r="DS135" s="295"/>
      <c r="DT135" s="386">
        <f t="shared" si="10"/>
        <v>0</v>
      </c>
      <c r="DU135" s="41"/>
      <c r="DV135" s="41"/>
      <c r="DW135" s="256"/>
      <c r="DX135" s="41"/>
      <c r="DY135" s="41"/>
      <c r="DZ135" s="68"/>
      <c r="EA135" s="41"/>
      <c r="EB135" s="41"/>
      <c r="EC135" s="256"/>
      <c r="ED135" s="308"/>
      <c r="EE135" s="308"/>
      <c r="EF135" s="308"/>
      <c r="EG135" s="41"/>
      <c r="EH135" s="41"/>
      <c r="EI135" s="41"/>
      <c r="EJ135" s="69"/>
      <c r="EK135" s="308"/>
      <c r="EL135" s="308"/>
      <c r="EM135" s="308"/>
      <c r="EN135" s="308"/>
      <c r="EO135" s="41"/>
      <c r="EP135" s="41"/>
      <c r="EQ135" s="41"/>
      <c r="ER135" s="256"/>
      <c r="ES135" s="293"/>
      <c r="ET135" s="293"/>
      <c r="EU135" s="293"/>
      <c r="EV135" s="293"/>
      <c r="EW135" s="41"/>
      <c r="EX135" s="41"/>
      <c r="EY135" s="41"/>
      <c r="EZ135" s="256"/>
      <c r="FA135" s="308"/>
      <c r="FB135" s="308"/>
      <c r="FC135" s="308"/>
      <c r="FD135" s="308"/>
      <c r="FE135" s="46"/>
      <c r="FF135" s="41"/>
      <c r="FG135" s="41"/>
      <c r="FH135" s="256"/>
      <c r="FI135" s="41"/>
      <c r="FJ135" s="41"/>
      <c r="FK135" s="41"/>
      <c r="FL135" s="276"/>
    </row>
    <row r="136" spans="1:168" ht="20.25">
      <c r="A136" s="45">
        <v>129</v>
      </c>
      <c r="B136" s="45" t="s">
        <v>210</v>
      </c>
      <c r="C136" s="45">
        <v>5</v>
      </c>
      <c r="D136" s="29" t="s">
        <v>111</v>
      </c>
      <c r="E136" s="30">
        <v>51</v>
      </c>
      <c r="F136" s="30">
        <v>5</v>
      </c>
      <c r="G136" s="246">
        <f>42187.068/1000</f>
        <v>42.187067999999996</v>
      </c>
      <c r="H136" s="45">
        <v>42187.067999999999</v>
      </c>
      <c r="I136" s="45">
        <v>0</v>
      </c>
      <c r="J136" s="397">
        <v>18.968270000000008</v>
      </c>
      <c r="K136" s="495">
        <f t="shared" ref="K136:K197" si="15">G136+J136</f>
        <v>61.155338</v>
      </c>
      <c r="L136" s="578"/>
      <c r="M136" s="45">
        <f t="shared" si="9"/>
        <v>0</v>
      </c>
      <c r="N136" s="46">
        <f t="shared" si="14"/>
        <v>61.155338</v>
      </c>
      <c r="O136" s="46">
        <f t="shared" si="13"/>
        <v>61</v>
      </c>
      <c r="P136" s="234"/>
      <c r="Q136" s="46"/>
      <c r="R136" s="450"/>
      <c r="S136" s="257"/>
      <c r="T136" s="46"/>
      <c r="U136" s="46"/>
      <c r="V136" s="46"/>
      <c r="W136" s="46"/>
      <c r="X136" s="196"/>
      <c r="Y136" s="46"/>
      <c r="Z136" s="46"/>
      <c r="AA136" s="46"/>
      <c r="AB136" s="46"/>
      <c r="AC136" s="46"/>
      <c r="AD136" s="46"/>
      <c r="AE136" s="46"/>
      <c r="AF136" s="196"/>
      <c r="AG136" s="46"/>
      <c r="AH136" s="46"/>
      <c r="AI136" s="46"/>
      <c r="AJ136" s="46"/>
      <c r="AK136" s="46"/>
      <c r="AL136" s="46"/>
      <c r="AM136" s="46"/>
      <c r="AN136" s="196" t="s">
        <v>249</v>
      </c>
      <c r="AO136" s="438" t="s">
        <v>335</v>
      </c>
      <c r="AP136" s="46">
        <v>20</v>
      </c>
      <c r="AQ136" s="368" t="s">
        <v>550</v>
      </c>
      <c r="AR136" s="257">
        <f>AP136*1300</f>
        <v>26000</v>
      </c>
      <c r="AS136" s="196"/>
      <c r="AT136" s="46"/>
      <c r="AU136" s="46"/>
      <c r="AV136" s="196"/>
      <c r="AW136" s="257"/>
      <c r="AX136" s="196"/>
      <c r="AY136" s="191"/>
      <c r="AZ136" s="257"/>
      <c r="BA136" s="196"/>
      <c r="BB136" s="46"/>
      <c r="BC136" s="257"/>
      <c r="BD136" s="196"/>
      <c r="BE136" s="191"/>
      <c r="BF136" s="46"/>
      <c r="BG136" s="196"/>
      <c r="BH136" s="46"/>
      <c r="BI136" s="257"/>
      <c r="BJ136" s="196"/>
      <c r="BK136" s="191"/>
      <c r="BL136" s="257"/>
      <c r="BM136" s="196"/>
      <c r="BN136" s="167"/>
      <c r="BO136" s="257"/>
      <c r="BP136" s="196"/>
      <c r="BQ136" s="190"/>
      <c r="BR136" s="46"/>
      <c r="BS136" s="196"/>
      <c r="BT136" s="46"/>
      <c r="BU136" s="257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196"/>
      <c r="CI136" s="46"/>
      <c r="CJ136" s="46"/>
      <c r="CK136" s="46"/>
      <c r="CL136" s="46"/>
      <c r="CM136" s="46"/>
      <c r="CN136" s="196"/>
      <c r="CO136" s="191"/>
      <c r="CP136" s="257"/>
      <c r="CQ136" s="196"/>
      <c r="CR136" s="167"/>
      <c r="CS136" s="257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191"/>
      <c r="DN136" s="46"/>
      <c r="DO136" s="218"/>
      <c r="DP136" s="221" t="s">
        <v>891</v>
      </c>
      <c r="DQ136" s="257">
        <f t="shared" si="12"/>
        <v>35000</v>
      </c>
      <c r="DR136" s="294"/>
      <c r="DS136" s="295"/>
      <c r="DT136" s="386">
        <f t="shared" si="10"/>
        <v>0</v>
      </c>
      <c r="DU136" s="41"/>
      <c r="DV136" s="41"/>
      <c r="DW136" s="256"/>
      <c r="DX136" s="41"/>
      <c r="DY136" s="41"/>
      <c r="DZ136" s="68"/>
      <c r="EA136" s="41"/>
      <c r="EB136" s="41"/>
      <c r="EC136" s="256"/>
      <c r="ED136" s="308"/>
      <c r="EE136" s="308"/>
      <c r="EF136" s="308"/>
      <c r="EG136" s="41"/>
      <c r="EH136" s="41"/>
      <c r="EI136" s="41"/>
      <c r="EJ136" s="69"/>
      <c r="EK136" s="308"/>
      <c r="EL136" s="308"/>
      <c r="EM136" s="308"/>
      <c r="EN136" s="308"/>
      <c r="EO136" s="41">
        <v>12</v>
      </c>
      <c r="EP136" s="41">
        <v>1</v>
      </c>
      <c r="EQ136" s="41">
        <v>1</v>
      </c>
      <c r="ER136" s="256">
        <v>20000</v>
      </c>
      <c r="ES136" s="293"/>
      <c r="ET136" s="293"/>
      <c r="EU136" s="293"/>
      <c r="EV136" s="293"/>
      <c r="EW136" s="41"/>
      <c r="EX136" s="41"/>
      <c r="EY136" s="41"/>
      <c r="EZ136" s="256"/>
      <c r="FA136" s="308"/>
      <c r="FB136" s="308"/>
      <c r="FC136" s="308"/>
      <c r="FD136" s="308"/>
      <c r="FE136" s="46">
        <v>9</v>
      </c>
      <c r="FF136" s="41">
        <v>1</v>
      </c>
      <c r="FG136" s="41">
        <v>1</v>
      </c>
      <c r="FH136" s="256">
        <v>15000</v>
      </c>
      <c r="FI136" s="41"/>
      <c r="FJ136" s="41"/>
      <c r="FK136" s="41"/>
      <c r="FL136" s="276"/>
    </row>
    <row r="137" spans="1:168">
      <c r="A137" s="45">
        <v>130</v>
      </c>
      <c r="B137" s="45" t="s">
        <v>210</v>
      </c>
      <c r="C137" s="45">
        <v>5</v>
      </c>
      <c r="D137" s="29" t="s">
        <v>111</v>
      </c>
      <c r="E137" s="30">
        <v>53</v>
      </c>
      <c r="F137" s="30">
        <v>5</v>
      </c>
      <c r="G137" s="246">
        <f>62884.7604/1000</f>
        <v>62.884760399999998</v>
      </c>
      <c r="H137" s="45">
        <v>62884.760399999992</v>
      </c>
      <c r="I137" s="45">
        <v>0</v>
      </c>
      <c r="J137" s="397">
        <v>124.10339999999999</v>
      </c>
      <c r="K137" s="495">
        <f t="shared" si="15"/>
        <v>186.9881604</v>
      </c>
      <c r="L137" s="578"/>
      <c r="M137" s="45">
        <f t="shared" ref="M137:M200" si="16">(W137+AE137+AM137+AW137+BC137+BI137+BO137+BU137+CA137+CG137+CM137+CS137+CY137+DE137+DK137+DT137)/1000</f>
        <v>0</v>
      </c>
      <c r="N137" s="46">
        <f t="shared" si="14"/>
        <v>186.9881604</v>
      </c>
      <c r="O137" s="46">
        <f t="shared" si="13"/>
        <v>168</v>
      </c>
      <c r="P137" s="234" t="s">
        <v>229</v>
      </c>
      <c r="Q137" s="46">
        <v>1</v>
      </c>
      <c r="R137" s="450">
        <v>2</v>
      </c>
      <c r="S137" s="257">
        <v>90000</v>
      </c>
      <c r="T137" s="46"/>
      <c r="U137" s="46"/>
      <c r="V137" s="46"/>
      <c r="W137" s="46"/>
      <c r="X137" s="196"/>
      <c r="Y137" s="46"/>
      <c r="Z137" s="46"/>
      <c r="AA137" s="46"/>
      <c r="AB137" s="46"/>
      <c r="AC137" s="46"/>
      <c r="AD137" s="46"/>
      <c r="AE137" s="46"/>
      <c r="AF137" s="196"/>
      <c r="AG137" s="46"/>
      <c r="AH137" s="46"/>
      <c r="AI137" s="46"/>
      <c r="AJ137" s="46"/>
      <c r="AK137" s="46"/>
      <c r="AL137" s="46"/>
      <c r="AM137" s="46"/>
      <c r="AN137" s="196" t="s">
        <v>247</v>
      </c>
      <c r="AO137" s="438" t="s">
        <v>324</v>
      </c>
      <c r="AP137" s="46">
        <v>60</v>
      </c>
      <c r="AQ137" s="368" t="s">
        <v>522</v>
      </c>
      <c r="AR137" s="257">
        <f>AP137*1300</f>
        <v>78000</v>
      </c>
      <c r="AS137" s="196"/>
      <c r="AT137" s="46"/>
      <c r="AU137" s="46"/>
      <c r="AV137" s="196"/>
      <c r="AW137" s="257"/>
      <c r="AX137" s="196"/>
      <c r="AY137" s="191"/>
      <c r="AZ137" s="257"/>
      <c r="BA137" s="196"/>
      <c r="BB137" s="46"/>
      <c r="BC137" s="257"/>
      <c r="BD137" s="196"/>
      <c r="BE137" s="191"/>
      <c r="BF137" s="46"/>
      <c r="BG137" s="196"/>
      <c r="BH137" s="46"/>
      <c r="BI137" s="257"/>
      <c r="BJ137" s="196"/>
      <c r="BK137" s="191"/>
      <c r="BL137" s="257"/>
      <c r="BM137" s="196"/>
      <c r="BN137" s="167"/>
      <c r="BO137" s="257"/>
      <c r="BP137" s="196"/>
      <c r="BQ137" s="190"/>
      <c r="BR137" s="46"/>
      <c r="BS137" s="196"/>
      <c r="BT137" s="46"/>
      <c r="BU137" s="257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196"/>
      <c r="CI137" s="46"/>
      <c r="CJ137" s="46"/>
      <c r="CK137" s="46"/>
      <c r="CL137" s="46"/>
      <c r="CM137" s="46"/>
      <c r="CN137" s="196"/>
      <c r="CO137" s="191"/>
      <c r="CP137" s="257"/>
      <c r="CQ137" s="196"/>
      <c r="CR137" s="167"/>
      <c r="CS137" s="257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191"/>
      <c r="DN137" s="46"/>
      <c r="DO137" s="196"/>
      <c r="DP137" s="221"/>
      <c r="DQ137" s="257">
        <f t="shared" ref="DQ137:DQ200" si="17">DW137+EC137+EJ137+ER137+EZ137+FH137</f>
        <v>0</v>
      </c>
      <c r="DR137" s="294"/>
      <c r="DS137" s="295"/>
      <c r="DT137" s="386">
        <f t="shared" ref="DT137:DT200" si="18">DZ137+EF137+EN137+EV137+FD137+FL137</f>
        <v>0</v>
      </c>
      <c r="DU137" s="41"/>
      <c r="DV137" s="41"/>
      <c r="DW137" s="256"/>
      <c r="DX137" s="41"/>
      <c r="DY137" s="41"/>
      <c r="DZ137" s="68"/>
      <c r="EA137" s="41"/>
      <c r="EB137" s="41"/>
      <c r="EC137" s="256"/>
      <c r="ED137" s="308"/>
      <c r="EE137" s="308"/>
      <c r="EF137" s="308"/>
      <c r="EG137" s="41"/>
      <c r="EH137" s="41"/>
      <c r="EI137" s="41"/>
      <c r="EJ137" s="69"/>
      <c r="EK137" s="308"/>
      <c r="EL137" s="308"/>
      <c r="EM137" s="308"/>
      <c r="EN137" s="308"/>
      <c r="EO137" s="41"/>
      <c r="EP137" s="41"/>
      <c r="EQ137" s="41"/>
      <c r="ER137" s="256"/>
      <c r="ES137" s="293"/>
      <c r="ET137" s="293"/>
      <c r="EU137" s="293"/>
      <c r="EV137" s="293"/>
      <c r="EW137" s="41"/>
      <c r="EX137" s="41"/>
      <c r="EY137" s="41"/>
      <c r="EZ137" s="256"/>
      <c r="FA137" s="308"/>
      <c r="FB137" s="308"/>
      <c r="FC137" s="308"/>
      <c r="FD137" s="308"/>
      <c r="FE137" s="46"/>
      <c r="FF137" s="41"/>
      <c r="FG137" s="41"/>
      <c r="FH137" s="256"/>
      <c r="FI137" s="41"/>
      <c r="FJ137" s="41"/>
      <c r="FK137" s="41"/>
      <c r="FL137" s="276"/>
    </row>
    <row r="138" spans="1:168">
      <c r="A138" s="45">
        <v>131</v>
      </c>
      <c r="B138" s="45" t="s">
        <v>210</v>
      </c>
      <c r="C138" s="45">
        <v>5</v>
      </c>
      <c r="D138" s="29" t="s">
        <v>111</v>
      </c>
      <c r="E138" s="30">
        <v>55</v>
      </c>
      <c r="F138" s="30">
        <v>7</v>
      </c>
      <c r="G138" s="246">
        <f>78989.274/1000</f>
        <v>78.989274000000009</v>
      </c>
      <c r="H138" s="45">
        <v>0</v>
      </c>
      <c r="I138" s="45">
        <v>78989.27399999999</v>
      </c>
      <c r="J138" s="397">
        <v>-217.88160999999997</v>
      </c>
      <c r="K138" s="495">
        <f t="shared" si="15"/>
        <v>-138.89233599999994</v>
      </c>
      <c r="L138" s="578"/>
      <c r="M138" s="45">
        <f t="shared" si="16"/>
        <v>0</v>
      </c>
      <c r="N138" s="46">
        <f t="shared" si="14"/>
        <v>-138.89233599999994</v>
      </c>
      <c r="O138" s="46">
        <f t="shared" si="13"/>
        <v>0</v>
      </c>
      <c r="P138" s="234"/>
      <c r="Q138" s="46"/>
      <c r="R138" s="450"/>
      <c r="S138" s="257"/>
      <c r="T138" s="46"/>
      <c r="U138" s="46"/>
      <c r="V138" s="46"/>
      <c r="W138" s="46"/>
      <c r="X138" s="196"/>
      <c r="Y138" s="46"/>
      <c r="Z138" s="46"/>
      <c r="AA138" s="46"/>
      <c r="AB138" s="46"/>
      <c r="AC138" s="46"/>
      <c r="AD138" s="46"/>
      <c r="AE138" s="46"/>
      <c r="AF138" s="196"/>
      <c r="AG138" s="46"/>
      <c r="AH138" s="46"/>
      <c r="AI138" s="46"/>
      <c r="AJ138" s="46"/>
      <c r="AK138" s="46"/>
      <c r="AL138" s="46"/>
      <c r="AM138" s="46"/>
      <c r="AN138" s="196"/>
      <c r="AO138" s="438"/>
      <c r="AP138" s="46"/>
      <c r="AQ138" s="368"/>
      <c r="AR138" s="257"/>
      <c r="AS138" s="196"/>
      <c r="AT138" s="46"/>
      <c r="AU138" s="46"/>
      <c r="AV138" s="196"/>
      <c r="AW138" s="257"/>
      <c r="AX138" s="196"/>
      <c r="AY138" s="191"/>
      <c r="AZ138" s="257"/>
      <c r="BA138" s="196"/>
      <c r="BB138" s="46"/>
      <c r="BC138" s="257"/>
      <c r="BD138" s="196"/>
      <c r="BE138" s="191"/>
      <c r="BF138" s="46"/>
      <c r="BG138" s="196"/>
      <c r="BH138" s="46"/>
      <c r="BI138" s="257"/>
      <c r="BJ138" s="196"/>
      <c r="BK138" s="191"/>
      <c r="BL138" s="257"/>
      <c r="BM138" s="196"/>
      <c r="BN138" s="167"/>
      <c r="BO138" s="257"/>
      <c r="BP138" s="196"/>
      <c r="BQ138" s="190"/>
      <c r="BR138" s="46"/>
      <c r="BS138" s="196"/>
      <c r="BT138" s="46"/>
      <c r="BU138" s="257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196"/>
      <c r="CI138" s="46"/>
      <c r="CJ138" s="46"/>
      <c r="CK138" s="46"/>
      <c r="CL138" s="46"/>
      <c r="CM138" s="46"/>
      <c r="CN138" s="196"/>
      <c r="CO138" s="191"/>
      <c r="CP138" s="257"/>
      <c r="CQ138" s="196"/>
      <c r="CR138" s="167"/>
      <c r="CS138" s="257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191"/>
      <c r="DN138" s="46"/>
      <c r="DO138" s="196"/>
      <c r="DP138" s="221"/>
      <c r="DQ138" s="257">
        <f t="shared" si="17"/>
        <v>0</v>
      </c>
      <c r="DR138" s="296"/>
      <c r="DS138" s="295"/>
      <c r="DT138" s="386">
        <f t="shared" si="18"/>
        <v>0</v>
      </c>
      <c r="DU138" s="41"/>
      <c r="DV138" s="41"/>
      <c r="DW138" s="256"/>
      <c r="DX138" s="41"/>
      <c r="DY138" s="41"/>
      <c r="DZ138" s="68"/>
      <c r="EA138" s="41"/>
      <c r="EB138" s="41"/>
      <c r="EC138" s="256"/>
      <c r="ED138" s="308"/>
      <c r="EE138" s="308"/>
      <c r="EF138" s="308"/>
      <c r="EG138" s="41"/>
      <c r="EH138" s="41"/>
      <c r="EI138" s="41"/>
      <c r="EJ138" s="69"/>
      <c r="EK138" s="308"/>
      <c r="EL138" s="308"/>
      <c r="EM138" s="308"/>
      <c r="EN138" s="308"/>
      <c r="EO138" s="41"/>
      <c r="EP138" s="41"/>
      <c r="EQ138" s="41"/>
      <c r="ER138" s="256"/>
      <c r="ES138" s="293"/>
      <c r="ET138" s="293"/>
      <c r="EU138" s="293"/>
      <c r="EV138" s="293"/>
      <c r="EW138" s="41"/>
      <c r="EX138" s="41"/>
      <c r="EY138" s="41"/>
      <c r="EZ138" s="256"/>
      <c r="FA138" s="308"/>
      <c r="FB138" s="308"/>
      <c r="FC138" s="308"/>
      <c r="FD138" s="308"/>
      <c r="FE138" s="41"/>
      <c r="FF138" s="41"/>
      <c r="FG138" s="41"/>
      <c r="FH138" s="256"/>
      <c r="FI138" s="41"/>
      <c r="FJ138" s="41"/>
      <c r="FK138" s="41"/>
      <c r="FL138" s="276"/>
    </row>
    <row r="139" spans="1:168" ht="20.25">
      <c r="A139" s="45">
        <v>132</v>
      </c>
      <c r="B139" s="45" t="s">
        <v>210</v>
      </c>
      <c r="C139" s="45">
        <v>5</v>
      </c>
      <c r="D139" s="29" t="s">
        <v>111</v>
      </c>
      <c r="E139" s="30">
        <v>57</v>
      </c>
      <c r="F139" s="30">
        <v>5</v>
      </c>
      <c r="G139" s="246">
        <f>42552.972/1000</f>
        <v>42.552972000000004</v>
      </c>
      <c r="H139" s="45">
        <v>42552.972000000002</v>
      </c>
      <c r="I139" s="45">
        <v>0</v>
      </c>
      <c r="J139" s="397">
        <v>60.357770000000002</v>
      </c>
      <c r="K139" s="495">
        <f t="shared" si="15"/>
        <v>102.910742</v>
      </c>
      <c r="L139" s="578"/>
      <c r="M139" s="45">
        <f t="shared" si="16"/>
        <v>0</v>
      </c>
      <c r="N139" s="46">
        <f t="shared" si="14"/>
        <v>102.910742</v>
      </c>
      <c r="O139" s="46">
        <f t="shared" si="13"/>
        <v>25</v>
      </c>
      <c r="P139" s="234"/>
      <c r="Q139" s="46"/>
      <c r="R139" s="450"/>
      <c r="S139" s="257"/>
      <c r="T139" s="46"/>
      <c r="U139" s="46"/>
      <c r="V139" s="46"/>
      <c r="W139" s="46"/>
      <c r="X139" s="196"/>
      <c r="Y139" s="46"/>
      <c r="Z139" s="46"/>
      <c r="AA139" s="46"/>
      <c r="AB139" s="46"/>
      <c r="AC139" s="46"/>
      <c r="AD139" s="46"/>
      <c r="AE139" s="46"/>
      <c r="AF139" s="196"/>
      <c r="AG139" s="46"/>
      <c r="AH139" s="46"/>
      <c r="AI139" s="46"/>
      <c r="AJ139" s="46"/>
      <c r="AK139" s="46"/>
      <c r="AL139" s="46"/>
      <c r="AM139" s="46"/>
      <c r="AN139" s="196"/>
      <c r="AO139" s="438"/>
      <c r="AP139" s="46"/>
      <c r="AQ139" s="368"/>
      <c r="AR139" s="257"/>
      <c r="AS139" s="196"/>
      <c r="AT139" s="46"/>
      <c r="AU139" s="46"/>
      <c r="AV139" s="196"/>
      <c r="AW139" s="257"/>
      <c r="AX139" s="196"/>
      <c r="AY139" s="191"/>
      <c r="AZ139" s="257"/>
      <c r="BA139" s="196"/>
      <c r="BB139" s="46"/>
      <c r="BC139" s="257"/>
      <c r="BD139" s="196"/>
      <c r="BE139" s="191"/>
      <c r="BF139" s="46"/>
      <c r="BG139" s="196"/>
      <c r="BH139" s="46"/>
      <c r="BI139" s="257"/>
      <c r="BJ139" s="196"/>
      <c r="BK139" s="191"/>
      <c r="BL139" s="257"/>
      <c r="BM139" s="196"/>
      <c r="BN139" s="167"/>
      <c r="BO139" s="257"/>
      <c r="BP139" s="196"/>
      <c r="BQ139" s="190"/>
      <c r="BR139" s="46"/>
      <c r="BS139" s="196"/>
      <c r="BT139" s="46"/>
      <c r="BU139" s="257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196"/>
      <c r="CI139" s="46"/>
      <c r="CJ139" s="46"/>
      <c r="CK139" s="46"/>
      <c r="CL139" s="46"/>
      <c r="CM139" s="46"/>
      <c r="CN139" s="196"/>
      <c r="CO139" s="191"/>
      <c r="CP139" s="257"/>
      <c r="CQ139" s="196"/>
      <c r="CR139" s="167"/>
      <c r="CS139" s="257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191"/>
      <c r="DN139" s="46"/>
      <c r="DO139" s="196"/>
      <c r="DP139" s="221" t="s">
        <v>892</v>
      </c>
      <c r="DQ139" s="257">
        <f>DW139+EC139+EJ139+ER139+EZ139+FH139+15000+10000</f>
        <v>25000</v>
      </c>
      <c r="DR139" s="294"/>
      <c r="DS139" s="295"/>
      <c r="DT139" s="386">
        <f t="shared" si="18"/>
        <v>0</v>
      </c>
      <c r="DU139" s="41"/>
      <c r="DV139" s="41"/>
      <c r="DW139" s="256"/>
      <c r="DX139" s="41"/>
      <c r="DY139" s="41"/>
      <c r="DZ139" s="68"/>
      <c r="EA139" s="41"/>
      <c r="EB139" s="41"/>
      <c r="EC139" s="256"/>
      <c r="ED139" s="308"/>
      <c r="EE139" s="308"/>
      <c r="EF139" s="308"/>
      <c r="EG139" s="41"/>
      <c r="EH139" s="41"/>
      <c r="EI139" s="41"/>
      <c r="EJ139" s="69"/>
      <c r="EK139" s="308"/>
      <c r="EL139" s="308"/>
      <c r="EM139" s="308"/>
      <c r="EN139" s="308"/>
      <c r="EO139" s="41"/>
      <c r="EP139" s="41"/>
      <c r="EQ139" s="41"/>
      <c r="ER139" s="256"/>
      <c r="ES139" s="293"/>
      <c r="ET139" s="293"/>
      <c r="EU139" s="293"/>
      <c r="EV139" s="293"/>
      <c r="EW139" s="41"/>
      <c r="EX139" s="41"/>
      <c r="EY139" s="41"/>
      <c r="EZ139" s="256"/>
      <c r="FA139" s="308"/>
      <c r="FB139" s="308"/>
      <c r="FC139" s="308"/>
      <c r="FD139" s="308"/>
      <c r="FE139" s="46"/>
      <c r="FF139" s="41"/>
      <c r="FG139" s="41"/>
      <c r="FH139" s="256"/>
      <c r="FI139" s="41"/>
      <c r="FJ139" s="41"/>
      <c r="FK139" s="41"/>
      <c r="FL139" s="276"/>
    </row>
    <row r="140" spans="1:168">
      <c r="A140" s="45">
        <v>133</v>
      </c>
      <c r="B140" s="45" t="s">
        <v>210</v>
      </c>
      <c r="C140" s="45">
        <v>5</v>
      </c>
      <c r="D140" s="29" t="s">
        <v>111</v>
      </c>
      <c r="E140" s="30">
        <v>59</v>
      </c>
      <c r="F140" s="30">
        <v>5</v>
      </c>
      <c r="G140" s="246">
        <f>42511.392/1000</f>
        <v>42.511392000000001</v>
      </c>
      <c r="H140" s="45">
        <v>42511.392</v>
      </c>
      <c r="I140" s="45">
        <v>0</v>
      </c>
      <c r="J140" s="397">
        <v>-20.276979999999988</v>
      </c>
      <c r="K140" s="495">
        <f t="shared" si="15"/>
        <v>22.234412000000013</v>
      </c>
      <c r="L140" s="578"/>
      <c r="M140" s="45">
        <f t="shared" si="16"/>
        <v>0</v>
      </c>
      <c r="N140" s="46">
        <f t="shared" si="14"/>
        <v>22.234412000000013</v>
      </c>
      <c r="O140" s="46">
        <f t="shared" si="13"/>
        <v>20</v>
      </c>
      <c r="P140" s="234"/>
      <c r="Q140" s="46"/>
      <c r="R140" s="450"/>
      <c r="S140" s="257"/>
      <c r="T140" s="46"/>
      <c r="U140" s="46"/>
      <c r="V140" s="46"/>
      <c r="W140" s="46"/>
      <c r="X140" s="196"/>
      <c r="Y140" s="46"/>
      <c r="Z140" s="46"/>
      <c r="AA140" s="46"/>
      <c r="AB140" s="46"/>
      <c r="AC140" s="46"/>
      <c r="AD140" s="46"/>
      <c r="AE140" s="46"/>
      <c r="AF140" s="196"/>
      <c r="AG140" s="46"/>
      <c r="AH140" s="46"/>
      <c r="AI140" s="46"/>
      <c r="AJ140" s="46"/>
      <c r="AK140" s="46"/>
      <c r="AL140" s="46"/>
      <c r="AM140" s="46"/>
      <c r="AN140" s="196"/>
      <c r="AO140" s="438"/>
      <c r="AP140" s="46"/>
      <c r="AQ140" s="368"/>
      <c r="AR140" s="257"/>
      <c r="AS140" s="196"/>
      <c r="AT140" s="46"/>
      <c r="AU140" s="46"/>
      <c r="AV140" s="196"/>
      <c r="AW140" s="257"/>
      <c r="AX140" s="196"/>
      <c r="AY140" s="191"/>
      <c r="AZ140" s="257"/>
      <c r="BA140" s="196"/>
      <c r="BB140" s="46"/>
      <c r="BC140" s="257"/>
      <c r="BD140" s="196"/>
      <c r="BE140" s="191"/>
      <c r="BF140" s="46"/>
      <c r="BG140" s="196"/>
      <c r="BH140" s="46"/>
      <c r="BI140" s="257"/>
      <c r="BJ140" s="196"/>
      <c r="BK140" s="191"/>
      <c r="BL140" s="257"/>
      <c r="BM140" s="196"/>
      <c r="BN140" s="167"/>
      <c r="BO140" s="257"/>
      <c r="BP140" s="196"/>
      <c r="BQ140" s="190"/>
      <c r="BR140" s="46"/>
      <c r="BS140" s="196"/>
      <c r="BT140" s="46"/>
      <c r="BU140" s="257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196"/>
      <c r="CI140" s="46"/>
      <c r="CJ140" s="46"/>
      <c r="CK140" s="46"/>
      <c r="CL140" s="46"/>
      <c r="CM140" s="46"/>
      <c r="CN140" s="196"/>
      <c r="CO140" s="191"/>
      <c r="CP140" s="257"/>
      <c r="CQ140" s="196"/>
      <c r="CR140" s="167"/>
      <c r="CS140" s="257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191"/>
      <c r="DN140" s="46"/>
      <c r="DO140" s="196"/>
      <c r="DP140" s="221" t="s">
        <v>893</v>
      </c>
      <c r="DQ140" s="257">
        <f t="shared" si="17"/>
        <v>20000</v>
      </c>
      <c r="DR140" s="294"/>
      <c r="DS140" s="295"/>
      <c r="DT140" s="386">
        <f t="shared" si="18"/>
        <v>0</v>
      </c>
      <c r="DU140" s="41"/>
      <c r="DV140" s="41"/>
      <c r="DW140" s="256"/>
      <c r="DX140" s="41"/>
      <c r="DY140" s="41"/>
      <c r="DZ140" s="68"/>
      <c r="EA140" s="41"/>
      <c r="EB140" s="41"/>
      <c r="EC140" s="256"/>
      <c r="ED140" s="308"/>
      <c r="EE140" s="308"/>
      <c r="EF140" s="308"/>
      <c r="EG140" s="41"/>
      <c r="EH140" s="41"/>
      <c r="EI140" s="41"/>
      <c r="EJ140" s="69"/>
      <c r="EK140" s="308"/>
      <c r="EL140" s="308"/>
      <c r="EM140" s="308"/>
      <c r="EN140" s="308"/>
      <c r="EO140" s="41"/>
      <c r="EP140" s="41"/>
      <c r="EQ140" s="41"/>
      <c r="ER140" s="256"/>
      <c r="ES140" s="293"/>
      <c r="ET140" s="293"/>
      <c r="EU140" s="293"/>
      <c r="EV140" s="293"/>
      <c r="EW140" s="41">
        <v>10</v>
      </c>
      <c r="EX140" s="41">
        <v>1</v>
      </c>
      <c r="EY140" s="41">
        <v>12</v>
      </c>
      <c r="EZ140" s="256">
        <v>20000</v>
      </c>
      <c r="FA140" s="308"/>
      <c r="FB140" s="308"/>
      <c r="FC140" s="308"/>
      <c r="FD140" s="308"/>
      <c r="FE140" s="46"/>
      <c r="FF140" s="41"/>
      <c r="FG140" s="41"/>
      <c r="FH140" s="256"/>
      <c r="FI140" s="41"/>
      <c r="FJ140" s="41"/>
      <c r="FK140" s="41"/>
      <c r="FL140" s="276"/>
    </row>
    <row r="141" spans="1:168">
      <c r="A141" s="45">
        <v>134</v>
      </c>
      <c r="B141" s="45" t="s">
        <v>210</v>
      </c>
      <c r="C141" s="45">
        <v>4</v>
      </c>
      <c r="D141" s="29" t="s">
        <v>111</v>
      </c>
      <c r="E141" s="30">
        <v>111</v>
      </c>
      <c r="F141" s="30">
        <v>7</v>
      </c>
      <c r="G141" s="246">
        <f>4747.932/1000</f>
        <v>4.7479319999999996</v>
      </c>
      <c r="H141" s="45">
        <v>0</v>
      </c>
      <c r="I141" s="45">
        <v>4747.9319999999989</v>
      </c>
      <c r="J141" s="397">
        <v>22.87706</v>
      </c>
      <c r="K141" s="495">
        <f t="shared" si="15"/>
        <v>27.624991999999999</v>
      </c>
      <c r="L141" s="578"/>
      <c r="M141" s="45">
        <f t="shared" si="16"/>
        <v>0</v>
      </c>
      <c r="N141" s="46">
        <f t="shared" si="14"/>
        <v>27.624991999999999</v>
      </c>
      <c r="O141" s="46">
        <f t="shared" ref="O141:O202" si="19">(S141+AA141+AI141+AR141+AZ141+BF141+BL141+BR141+BX141+CD141+CJ141+CP141+CV141+DB141+DH141+DN141+DQ141)/1000</f>
        <v>27</v>
      </c>
      <c r="P141" s="234"/>
      <c r="Q141" s="46"/>
      <c r="R141" s="450"/>
      <c r="S141" s="257"/>
      <c r="T141" s="46"/>
      <c r="U141" s="46"/>
      <c r="V141" s="46"/>
      <c r="W141" s="46"/>
      <c r="X141" s="196"/>
      <c r="Y141" s="46"/>
      <c r="Z141" s="46"/>
      <c r="AA141" s="46"/>
      <c r="AB141" s="46"/>
      <c r="AC141" s="46"/>
      <c r="AD141" s="46"/>
      <c r="AE141" s="46"/>
      <c r="AF141" s="196"/>
      <c r="AG141" s="46"/>
      <c r="AH141" s="46"/>
      <c r="AI141" s="46"/>
      <c r="AJ141" s="46"/>
      <c r="AK141" s="46"/>
      <c r="AL141" s="46"/>
      <c r="AM141" s="46"/>
      <c r="AN141" s="196"/>
      <c r="AO141" s="438"/>
      <c r="AP141" s="46"/>
      <c r="AQ141" s="368"/>
      <c r="AR141" s="257"/>
      <c r="AS141" s="196"/>
      <c r="AT141" s="46"/>
      <c r="AU141" s="46"/>
      <c r="AV141" s="196"/>
      <c r="AW141" s="257"/>
      <c r="AX141" s="196"/>
      <c r="AY141" s="191"/>
      <c r="AZ141" s="257"/>
      <c r="BA141" s="196"/>
      <c r="BB141" s="46"/>
      <c r="BC141" s="257"/>
      <c r="BD141" s="196"/>
      <c r="BE141" s="191"/>
      <c r="BF141" s="46"/>
      <c r="BG141" s="196"/>
      <c r="BH141" s="46"/>
      <c r="BI141" s="257"/>
      <c r="BJ141" s="196"/>
      <c r="BK141" s="191"/>
      <c r="BL141" s="257"/>
      <c r="BM141" s="196"/>
      <c r="BN141" s="46"/>
      <c r="BO141" s="257"/>
      <c r="BP141" s="196"/>
      <c r="BQ141" s="190"/>
      <c r="BR141" s="46"/>
      <c r="BS141" s="196"/>
      <c r="BT141" s="46"/>
      <c r="BU141" s="257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196"/>
      <c r="CI141" s="46"/>
      <c r="CJ141" s="46"/>
      <c r="CK141" s="46"/>
      <c r="CL141" s="46"/>
      <c r="CM141" s="46"/>
      <c r="CN141" s="196"/>
      <c r="CO141" s="191"/>
      <c r="CP141" s="257"/>
      <c r="CQ141" s="196"/>
      <c r="CR141" s="167"/>
      <c r="CS141" s="257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191"/>
      <c r="DN141" s="46"/>
      <c r="DO141" s="196"/>
      <c r="DP141" s="221" t="s">
        <v>531</v>
      </c>
      <c r="DQ141" s="257">
        <f>DW141+EC141+EJ141+ER141+EZ141+FH141+27000</f>
        <v>27000</v>
      </c>
      <c r="DR141" s="294"/>
      <c r="DS141" s="295"/>
      <c r="DT141" s="386">
        <f t="shared" si="18"/>
        <v>0</v>
      </c>
      <c r="DU141" s="41"/>
      <c r="DV141" s="41"/>
      <c r="DW141" s="256"/>
      <c r="DX141" s="41"/>
      <c r="DY141" s="41"/>
      <c r="DZ141" s="68"/>
      <c r="EA141" s="41"/>
      <c r="EB141" s="41"/>
      <c r="EC141" s="256"/>
      <c r="ED141" s="308"/>
      <c r="EE141" s="308"/>
      <c r="EF141" s="308"/>
      <c r="EG141" s="41"/>
      <c r="EH141" s="41"/>
      <c r="EI141" s="41"/>
      <c r="EJ141" s="69"/>
      <c r="EK141" s="308"/>
      <c r="EL141" s="308"/>
      <c r="EM141" s="308"/>
      <c r="EN141" s="308"/>
      <c r="EO141" s="41"/>
      <c r="EP141" s="41"/>
      <c r="EQ141" s="41"/>
      <c r="ER141" s="256"/>
      <c r="ES141" s="293"/>
      <c r="ET141" s="293"/>
      <c r="EU141" s="293"/>
      <c r="EV141" s="293"/>
      <c r="EW141" s="41"/>
      <c r="EX141" s="41"/>
      <c r="EY141" s="41"/>
      <c r="EZ141" s="256"/>
      <c r="FA141" s="308"/>
      <c r="FB141" s="308"/>
      <c r="FC141" s="308"/>
      <c r="FD141" s="308"/>
      <c r="FE141" s="41"/>
      <c r="FF141" s="41"/>
      <c r="FG141" s="41"/>
      <c r="FH141" s="256"/>
      <c r="FI141" s="41"/>
      <c r="FJ141" s="41"/>
      <c r="FK141" s="41"/>
      <c r="FL141" s="276"/>
    </row>
    <row r="142" spans="1:168">
      <c r="A142" s="45">
        <v>135</v>
      </c>
      <c r="B142" s="45" t="s">
        <v>210</v>
      </c>
      <c r="C142" s="45">
        <v>4</v>
      </c>
      <c r="D142" s="29" t="s">
        <v>111</v>
      </c>
      <c r="E142" s="30">
        <v>125</v>
      </c>
      <c r="F142" s="30">
        <v>7</v>
      </c>
      <c r="G142" s="246">
        <v>0</v>
      </c>
      <c r="H142" s="45">
        <v>0</v>
      </c>
      <c r="I142" s="45">
        <v>0</v>
      </c>
      <c r="J142" s="397">
        <v>28.68272</v>
      </c>
      <c r="K142" s="495">
        <f t="shared" si="15"/>
        <v>28.68272</v>
      </c>
      <c r="L142" s="578"/>
      <c r="M142" s="45">
        <f t="shared" si="16"/>
        <v>0</v>
      </c>
      <c r="N142" s="46">
        <f t="shared" si="14"/>
        <v>28.68272</v>
      </c>
      <c r="O142" s="46">
        <f t="shared" si="19"/>
        <v>28</v>
      </c>
      <c r="P142" s="234"/>
      <c r="Q142" s="46"/>
      <c r="R142" s="450"/>
      <c r="S142" s="257"/>
      <c r="T142" s="46"/>
      <c r="U142" s="46"/>
      <c r="V142" s="46"/>
      <c r="W142" s="46"/>
      <c r="X142" s="196"/>
      <c r="Y142" s="46"/>
      <c r="Z142" s="46"/>
      <c r="AA142" s="46"/>
      <c r="AB142" s="46"/>
      <c r="AC142" s="46"/>
      <c r="AD142" s="46"/>
      <c r="AE142" s="46"/>
      <c r="AF142" s="196"/>
      <c r="AG142" s="46"/>
      <c r="AH142" s="46"/>
      <c r="AI142" s="46"/>
      <c r="AJ142" s="46"/>
      <c r="AK142" s="46"/>
      <c r="AL142" s="46"/>
      <c r="AM142" s="46"/>
      <c r="AN142" s="196"/>
      <c r="AO142" s="438"/>
      <c r="AP142" s="46"/>
      <c r="AQ142" s="368"/>
      <c r="AR142" s="257"/>
      <c r="AS142" s="196"/>
      <c r="AT142" s="46"/>
      <c r="AU142" s="46"/>
      <c r="AV142" s="196"/>
      <c r="AW142" s="257"/>
      <c r="AX142" s="196"/>
      <c r="AY142" s="191"/>
      <c r="AZ142" s="257"/>
      <c r="BA142" s="196"/>
      <c r="BB142" s="46"/>
      <c r="BC142" s="257"/>
      <c r="BD142" s="196"/>
      <c r="BE142" s="191"/>
      <c r="BF142" s="46"/>
      <c r="BG142" s="196"/>
      <c r="BH142" s="46"/>
      <c r="BI142" s="257"/>
      <c r="BJ142" s="196"/>
      <c r="BK142" s="191"/>
      <c r="BL142" s="257"/>
      <c r="BM142" s="196"/>
      <c r="BN142" s="46"/>
      <c r="BO142" s="257"/>
      <c r="BP142" s="196"/>
      <c r="BQ142" s="190"/>
      <c r="BR142" s="46"/>
      <c r="BS142" s="196"/>
      <c r="BT142" s="46"/>
      <c r="BU142" s="257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196"/>
      <c r="CI142" s="46"/>
      <c r="CJ142" s="46"/>
      <c r="CK142" s="46"/>
      <c r="CL142" s="46"/>
      <c r="CM142" s="46"/>
      <c r="CN142" s="196"/>
      <c r="CO142" s="191"/>
      <c r="CP142" s="257"/>
      <c r="CQ142" s="196"/>
      <c r="CR142" s="167"/>
      <c r="CS142" s="257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191"/>
      <c r="DN142" s="46"/>
      <c r="DO142" s="196"/>
      <c r="DP142" s="221" t="s">
        <v>531</v>
      </c>
      <c r="DQ142" s="257">
        <f>DW142+EC142+EJ142+ER142+EZ142+FH142+28000</f>
        <v>28000</v>
      </c>
      <c r="DR142" s="294"/>
      <c r="DS142" s="295"/>
      <c r="DT142" s="386">
        <f t="shared" si="18"/>
        <v>0</v>
      </c>
      <c r="DU142" s="41"/>
      <c r="DV142" s="41"/>
      <c r="DW142" s="256"/>
      <c r="DX142" s="41"/>
      <c r="DY142" s="41"/>
      <c r="DZ142" s="68"/>
      <c r="EA142" s="41"/>
      <c r="EB142" s="41"/>
      <c r="EC142" s="256"/>
      <c r="ED142" s="308"/>
      <c r="EE142" s="308"/>
      <c r="EF142" s="308"/>
      <c r="EG142" s="41"/>
      <c r="EH142" s="41"/>
      <c r="EI142" s="41"/>
      <c r="EJ142" s="69"/>
      <c r="EK142" s="308"/>
      <c r="EL142" s="308"/>
      <c r="EM142" s="308"/>
      <c r="EN142" s="308"/>
      <c r="EO142" s="41"/>
      <c r="EP142" s="41"/>
      <c r="EQ142" s="41"/>
      <c r="ER142" s="256"/>
      <c r="ES142" s="293"/>
      <c r="ET142" s="293"/>
      <c r="EU142" s="293"/>
      <c r="EV142" s="293"/>
      <c r="EW142" s="41"/>
      <c r="EX142" s="41"/>
      <c r="EY142" s="41"/>
      <c r="EZ142" s="256"/>
      <c r="FA142" s="308"/>
      <c r="FB142" s="308"/>
      <c r="FC142" s="308"/>
      <c r="FD142" s="308"/>
      <c r="FE142" s="41"/>
      <c r="FF142" s="41"/>
      <c r="FG142" s="41"/>
      <c r="FH142" s="256"/>
      <c r="FI142" s="41"/>
      <c r="FJ142" s="41"/>
      <c r="FK142" s="41"/>
      <c r="FL142" s="276"/>
    </row>
    <row r="143" spans="1:168">
      <c r="A143" s="45">
        <v>136</v>
      </c>
      <c r="B143" s="45" t="s">
        <v>210</v>
      </c>
      <c r="C143" s="45">
        <v>4</v>
      </c>
      <c r="D143" s="29" t="s">
        <v>111</v>
      </c>
      <c r="E143" s="30">
        <v>127</v>
      </c>
      <c r="F143" s="30">
        <v>7</v>
      </c>
      <c r="G143" s="246">
        <v>0</v>
      </c>
      <c r="H143" s="45">
        <v>0</v>
      </c>
      <c r="I143" s="45">
        <v>0</v>
      </c>
      <c r="J143" s="397">
        <v>35.929200000000002</v>
      </c>
      <c r="K143" s="495">
        <f t="shared" si="15"/>
        <v>35.929200000000002</v>
      </c>
      <c r="L143" s="578"/>
      <c r="M143" s="45">
        <f t="shared" si="16"/>
        <v>0</v>
      </c>
      <c r="N143" s="46">
        <f t="shared" si="14"/>
        <v>35.929200000000002</v>
      </c>
      <c r="O143" s="46">
        <f t="shared" si="19"/>
        <v>35</v>
      </c>
      <c r="P143" s="234"/>
      <c r="Q143" s="46"/>
      <c r="R143" s="450"/>
      <c r="S143" s="257"/>
      <c r="T143" s="46"/>
      <c r="U143" s="46"/>
      <c r="V143" s="46"/>
      <c r="W143" s="46"/>
      <c r="X143" s="196"/>
      <c r="Y143" s="46"/>
      <c r="Z143" s="46"/>
      <c r="AA143" s="46"/>
      <c r="AB143" s="46"/>
      <c r="AC143" s="46"/>
      <c r="AD143" s="46"/>
      <c r="AE143" s="46"/>
      <c r="AF143" s="196"/>
      <c r="AG143" s="46"/>
      <c r="AH143" s="46"/>
      <c r="AI143" s="46"/>
      <c r="AJ143" s="46"/>
      <c r="AK143" s="46"/>
      <c r="AL143" s="46"/>
      <c r="AM143" s="46"/>
      <c r="AN143" s="196"/>
      <c r="AO143" s="438"/>
      <c r="AP143" s="46"/>
      <c r="AQ143" s="368"/>
      <c r="AR143" s="257"/>
      <c r="AS143" s="196"/>
      <c r="AT143" s="46"/>
      <c r="AU143" s="46"/>
      <c r="AV143" s="196"/>
      <c r="AW143" s="257"/>
      <c r="AX143" s="196"/>
      <c r="AY143" s="191"/>
      <c r="AZ143" s="257"/>
      <c r="BA143" s="196"/>
      <c r="BB143" s="46"/>
      <c r="BC143" s="257"/>
      <c r="BD143" s="196"/>
      <c r="BE143" s="191"/>
      <c r="BF143" s="46"/>
      <c r="BG143" s="196"/>
      <c r="BH143" s="46"/>
      <c r="BI143" s="257"/>
      <c r="BJ143" s="196"/>
      <c r="BK143" s="191"/>
      <c r="BL143" s="257"/>
      <c r="BM143" s="196"/>
      <c r="BN143" s="46"/>
      <c r="BO143" s="257"/>
      <c r="BP143" s="196"/>
      <c r="BQ143" s="190"/>
      <c r="BR143" s="46"/>
      <c r="BS143" s="196"/>
      <c r="BT143" s="46"/>
      <c r="BU143" s="257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196"/>
      <c r="CI143" s="46"/>
      <c r="CJ143" s="46"/>
      <c r="CK143" s="46"/>
      <c r="CL143" s="46"/>
      <c r="CM143" s="46"/>
      <c r="CN143" s="196"/>
      <c r="CO143" s="191"/>
      <c r="CP143" s="257"/>
      <c r="CQ143" s="196"/>
      <c r="CR143" s="167"/>
      <c r="CS143" s="257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191"/>
      <c r="DN143" s="46"/>
      <c r="DO143" s="196"/>
      <c r="DP143" s="221" t="s">
        <v>531</v>
      </c>
      <c r="DQ143" s="257">
        <f>DW143+EC143+EJ143+ER143+EZ143+FH143+35000</f>
        <v>35000</v>
      </c>
      <c r="DR143" s="294"/>
      <c r="DS143" s="295"/>
      <c r="DT143" s="386">
        <f t="shared" si="18"/>
        <v>0</v>
      </c>
      <c r="DU143" s="41"/>
      <c r="DV143" s="41"/>
      <c r="DW143" s="256"/>
      <c r="DX143" s="41"/>
      <c r="DY143" s="41"/>
      <c r="DZ143" s="68"/>
      <c r="EA143" s="41"/>
      <c r="EB143" s="41"/>
      <c r="EC143" s="256"/>
      <c r="ED143" s="308"/>
      <c r="EE143" s="308"/>
      <c r="EF143" s="308"/>
      <c r="EG143" s="41"/>
      <c r="EH143" s="41"/>
      <c r="EI143" s="41"/>
      <c r="EJ143" s="69"/>
      <c r="EK143" s="308"/>
      <c r="EL143" s="308"/>
      <c r="EM143" s="308"/>
      <c r="EN143" s="308"/>
      <c r="EO143" s="41"/>
      <c r="EP143" s="41"/>
      <c r="EQ143" s="41"/>
      <c r="ER143" s="256"/>
      <c r="ES143" s="293"/>
      <c r="ET143" s="293"/>
      <c r="EU143" s="293"/>
      <c r="EV143" s="293"/>
      <c r="EW143" s="41"/>
      <c r="EX143" s="41"/>
      <c r="EY143" s="41"/>
      <c r="EZ143" s="256"/>
      <c r="FA143" s="308"/>
      <c r="FB143" s="308"/>
      <c r="FC143" s="308"/>
      <c r="FD143" s="308"/>
      <c r="FE143" s="41"/>
      <c r="FF143" s="41"/>
      <c r="FG143" s="41"/>
      <c r="FH143" s="256"/>
      <c r="FI143" s="41"/>
      <c r="FJ143" s="41"/>
      <c r="FK143" s="41"/>
      <c r="FL143" s="276"/>
    </row>
    <row r="144" spans="1:168">
      <c r="A144" s="45">
        <v>137</v>
      </c>
      <c r="B144" s="45" t="s">
        <v>210</v>
      </c>
      <c r="C144" s="45">
        <v>4</v>
      </c>
      <c r="D144" s="29" t="s">
        <v>111</v>
      </c>
      <c r="E144" s="30">
        <v>129</v>
      </c>
      <c r="F144" s="30">
        <v>7</v>
      </c>
      <c r="G144" s="246">
        <f>9840.978/1000</f>
        <v>9.8409779999999998</v>
      </c>
      <c r="H144" s="45">
        <v>0</v>
      </c>
      <c r="I144" s="45">
        <v>9840.9779999999992</v>
      </c>
      <c r="J144" s="397">
        <v>28.067070000000001</v>
      </c>
      <c r="K144" s="495">
        <f t="shared" si="15"/>
        <v>37.908048000000001</v>
      </c>
      <c r="L144" s="578"/>
      <c r="M144" s="45">
        <f t="shared" si="16"/>
        <v>0</v>
      </c>
      <c r="N144" s="46">
        <f t="shared" si="14"/>
        <v>37.908048000000001</v>
      </c>
      <c r="O144" s="46">
        <f t="shared" si="19"/>
        <v>37</v>
      </c>
      <c r="P144" s="234"/>
      <c r="Q144" s="46"/>
      <c r="R144" s="450"/>
      <c r="S144" s="257"/>
      <c r="T144" s="46"/>
      <c r="U144" s="46"/>
      <c r="V144" s="46"/>
      <c r="W144" s="46"/>
      <c r="X144" s="196"/>
      <c r="Y144" s="46"/>
      <c r="Z144" s="46"/>
      <c r="AA144" s="46"/>
      <c r="AB144" s="46"/>
      <c r="AC144" s="46"/>
      <c r="AD144" s="46"/>
      <c r="AE144" s="46"/>
      <c r="AF144" s="196"/>
      <c r="AG144" s="46"/>
      <c r="AH144" s="46"/>
      <c r="AI144" s="46"/>
      <c r="AJ144" s="46"/>
      <c r="AK144" s="46"/>
      <c r="AL144" s="46"/>
      <c r="AM144" s="46"/>
      <c r="AN144" s="196"/>
      <c r="AO144" s="438"/>
      <c r="AP144" s="46"/>
      <c r="AQ144" s="368"/>
      <c r="AR144" s="257"/>
      <c r="AS144" s="196"/>
      <c r="AT144" s="46"/>
      <c r="AU144" s="46"/>
      <c r="AV144" s="196"/>
      <c r="AW144" s="257"/>
      <c r="AX144" s="196"/>
      <c r="AY144" s="191"/>
      <c r="AZ144" s="257"/>
      <c r="BA144" s="196"/>
      <c r="BB144" s="46"/>
      <c r="BC144" s="257"/>
      <c r="BD144" s="196"/>
      <c r="BE144" s="191"/>
      <c r="BF144" s="46"/>
      <c r="BG144" s="196"/>
      <c r="BH144" s="46"/>
      <c r="BI144" s="257"/>
      <c r="BJ144" s="196"/>
      <c r="BK144" s="191"/>
      <c r="BL144" s="257"/>
      <c r="BM144" s="196"/>
      <c r="BN144" s="46"/>
      <c r="BO144" s="257"/>
      <c r="BP144" s="196"/>
      <c r="BQ144" s="190"/>
      <c r="BR144" s="46"/>
      <c r="BS144" s="196"/>
      <c r="BT144" s="46"/>
      <c r="BU144" s="257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196"/>
      <c r="CI144" s="46"/>
      <c r="CJ144" s="46"/>
      <c r="CK144" s="46"/>
      <c r="CL144" s="46"/>
      <c r="CM144" s="46"/>
      <c r="CN144" s="196"/>
      <c r="CO144" s="191"/>
      <c r="CP144" s="257"/>
      <c r="CQ144" s="196"/>
      <c r="CR144" s="167"/>
      <c r="CS144" s="257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191"/>
      <c r="DN144" s="46"/>
      <c r="DO144" s="196"/>
      <c r="DP144" s="221" t="s">
        <v>531</v>
      </c>
      <c r="DQ144" s="257">
        <f>DW144+EC144+EJ144+ER144+EZ144+FH144+37000</f>
        <v>37000</v>
      </c>
      <c r="DR144" s="294"/>
      <c r="DS144" s="295"/>
      <c r="DT144" s="386">
        <f t="shared" si="18"/>
        <v>0</v>
      </c>
      <c r="DU144" s="41"/>
      <c r="DV144" s="41"/>
      <c r="DW144" s="256"/>
      <c r="DX144" s="41"/>
      <c r="DY144" s="41"/>
      <c r="DZ144" s="68"/>
      <c r="EA144" s="41"/>
      <c r="EB144" s="41"/>
      <c r="EC144" s="256"/>
      <c r="ED144" s="308"/>
      <c r="EE144" s="308"/>
      <c r="EF144" s="308"/>
      <c r="EG144" s="41"/>
      <c r="EH144" s="41"/>
      <c r="EI144" s="41"/>
      <c r="EJ144" s="69"/>
      <c r="EK144" s="308"/>
      <c r="EL144" s="308"/>
      <c r="EM144" s="308"/>
      <c r="EN144" s="308"/>
      <c r="EO144" s="41"/>
      <c r="EP144" s="41"/>
      <c r="EQ144" s="41"/>
      <c r="ER144" s="256"/>
      <c r="ES144" s="293"/>
      <c r="ET144" s="293"/>
      <c r="EU144" s="293"/>
      <c r="EV144" s="293"/>
      <c r="EW144" s="41"/>
      <c r="EX144" s="41"/>
      <c r="EY144" s="41"/>
      <c r="EZ144" s="256"/>
      <c r="FA144" s="308"/>
      <c r="FB144" s="308"/>
      <c r="FC144" s="308"/>
      <c r="FD144" s="308"/>
      <c r="FE144" s="41"/>
      <c r="FF144" s="41"/>
      <c r="FG144" s="41"/>
      <c r="FH144" s="256"/>
      <c r="FI144" s="41"/>
      <c r="FJ144" s="41"/>
      <c r="FK144" s="41"/>
      <c r="FL144" s="276"/>
    </row>
    <row r="145" spans="1:168">
      <c r="A145" s="45">
        <v>138</v>
      </c>
      <c r="B145" s="45" t="s">
        <v>210</v>
      </c>
      <c r="C145" s="45">
        <v>4</v>
      </c>
      <c r="D145" s="29" t="s">
        <v>498</v>
      </c>
      <c r="E145" s="178">
        <v>32</v>
      </c>
      <c r="F145" s="188">
        <v>5</v>
      </c>
      <c r="G145" s="246">
        <f>34528.032/1000</f>
        <v>34.528031999999996</v>
      </c>
      <c r="H145" s="45">
        <v>34528.032000000007</v>
      </c>
      <c r="I145" s="45">
        <v>0</v>
      </c>
      <c r="J145" s="397">
        <v>84.738609999999994</v>
      </c>
      <c r="K145" s="495">
        <f t="shared" si="15"/>
        <v>119.26664199999999</v>
      </c>
      <c r="L145" s="578"/>
      <c r="M145" s="45">
        <f t="shared" si="16"/>
        <v>0</v>
      </c>
      <c r="N145" s="46">
        <f>K145-M145</f>
        <v>119.26664199999999</v>
      </c>
      <c r="O145" s="46">
        <f t="shared" si="19"/>
        <v>119</v>
      </c>
      <c r="P145" s="234"/>
      <c r="Q145" s="46"/>
      <c r="R145" s="450"/>
      <c r="S145" s="257"/>
      <c r="T145" s="46"/>
      <c r="U145" s="46"/>
      <c r="V145" s="46"/>
      <c r="W145" s="46"/>
      <c r="X145" s="196"/>
      <c r="Y145" s="46"/>
      <c r="Z145" s="46"/>
      <c r="AA145" s="46"/>
      <c r="AB145" s="46"/>
      <c r="AC145" s="46"/>
      <c r="AD145" s="46"/>
      <c r="AE145" s="46"/>
      <c r="AF145" s="196"/>
      <c r="AG145" s="46"/>
      <c r="AH145" s="46"/>
      <c r="AI145" s="46"/>
      <c r="AJ145" s="46"/>
      <c r="AK145" s="46"/>
      <c r="AL145" s="46"/>
      <c r="AM145" s="46"/>
      <c r="AN145" s="237"/>
      <c r="AO145" s="438"/>
      <c r="AP145" s="46"/>
      <c r="AQ145" s="368"/>
      <c r="AR145" s="257"/>
      <c r="AS145" s="196"/>
      <c r="AT145" s="46"/>
      <c r="AU145" s="46"/>
      <c r="AV145" s="196"/>
      <c r="AW145" s="257"/>
      <c r="AX145" s="196"/>
      <c r="AY145" s="191"/>
      <c r="AZ145" s="257"/>
      <c r="BA145" s="196"/>
      <c r="BB145" s="46"/>
      <c r="BC145" s="257"/>
      <c r="BD145" s="196"/>
      <c r="BE145" s="191"/>
      <c r="BF145" s="46"/>
      <c r="BG145" s="196"/>
      <c r="BH145" s="46"/>
      <c r="BI145" s="257"/>
      <c r="BJ145" s="196"/>
      <c r="BK145" s="191"/>
      <c r="BL145" s="257"/>
      <c r="BM145" s="196"/>
      <c r="BN145" s="46"/>
      <c r="BO145" s="257"/>
      <c r="BP145" s="196"/>
      <c r="BQ145" s="190"/>
      <c r="BR145" s="46"/>
      <c r="BS145" s="196"/>
      <c r="BT145" s="46"/>
      <c r="BU145" s="257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196"/>
      <c r="CI145" s="46"/>
      <c r="CJ145" s="46"/>
      <c r="CK145" s="46"/>
      <c r="CL145" s="46"/>
      <c r="CM145" s="46"/>
      <c r="CN145" s="196"/>
      <c r="CO145" s="191"/>
      <c r="CP145" s="257"/>
      <c r="CQ145" s="196"/>
      <c r="CR145" s="167"/>
      <c r="CS145" s="257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191"/>
      <c r="DN145" s="46"/>
      <c r="DO145" s="196"/>
      <c r="DP145" s="221" t="s">
        <v>531</v>
      </c>
      <c r="DQ145" s="257">
        <f>DW145+EC145+EJ145+ER145+EZ145+FH145+119000</f>
        <v>119000</v>
      </c>
      <c r="DR145" s="294"/>
      <c r="DS145" s="295"/>
      <c r="DT145" s="386">
        <f t="shared" si="18"/>
        <v>0</v>
      </c>
      <c r="DU145" s="41"/>
      <c r="DV145" s="41"/>
      <c r="DW145" s="256"/>
      <c r="DX145" s="41"/>
      <c r="DY145" s="41"/>
      <c r="DZ145" s="68"/>
      <c r="EA145" s="41"/>
      <c r="EB145" s="41"/>
      <c r="EC145" s="256"/>
      <c r="ED145" s="308"/>
      <c r="EE145" s="308"/>
      <c r="EF145" s="308"/>
      <c r="EG145" s="41"/>
      <c r="EH145" s="41"/>
      <c r="EI145" s="41"/>
      <c r="EJ145" s="69"/>
      <c r="EK145" s="308"/>
      <c r="EL145" s="308"/>
      <c r="EM145" s="308"/>
      <c r="EN145" s="308"/>
      <c r="EO145" s="41"/>
      <c r="EP145" s="41"/>
      <c r="EQ145" s="41"/>
      <c r="ER145" s="256"/>
      <c r="ES145" s="293"/>
      <c r="ET145" s="293"/>
      <c r="EU145" s="293"/>
      <c r="EV145" s="293"/>
      <c r="EW145" s="41"/>
      <c r="EX145" s="41"/>
      <c r="EY145" s="41"/>
      <c r="EZ145" s="256"/>
      <c r="FA145" s="308"/>
      <c r="FB145" s="308"/>
      <c r="FC145" s="308"/>
      <c r="FD145" s="308"/>
      <c r="FE145" s="46"/>
      <c r="FF145" s="41"/>
      <c r="FG145" s="41"/>
      <c r="FH145" s="256"/>
      <c r="FI145" s="41"/>
      <c r="FJ145" s="41"/>
      <c r="FK145" s="41"/>
      <c r="FL145" s="276"/>
    </row>
    <row r="146" spans="1:168">
      <c r="A146" s="45">
        <v>139</v>
      </c>
      <c r="B146" s="45" t="s">
        <v>210</v>
      </c>
      <c r="C146" s="45">
        <v>4</v>
      </c>
      <c r="D146" s="29" t="s">
        <v>114</v>
      </c>
      <c r="E146" s="30">
        <v>79</v>
      </c>
      <c r="F146" s="30">
        <v>7</v>
      </c>
      <c r="G146" s="246">
        <f>14567.994/1000</f>
        <v>14.567994000000001</v>
      </c>
      <c r="H146" s="45">
        <v>0</v>
      </c>
      <c r="I146" s="45">
        <v>14567.993999999999</v>
      </c>
      <c r="J146" s="397">
        <v>6.6805000000000003</v>
      </c>
      <c r="K146" s="495">
        <f t="shared" si="15"/>
        <v>21.248494000000001</v>
      </c>
      <c r="L146" s="578"/>
      <c r="M146" s="45">
        <f t="shared" si="16"/>
        <v>0</v>
      </c>
      <c r="N146" s="46">
        <f t="shared" si="14"/>
        <v>21.248494000000001</v>
      </c>
      <c r="O146" s="46">
        <f t="shared" si="19"/>
        <v>21</v>
      </c>
      <c r="P146" s="234"/>
      <c r="Q146" s="46"/>
      <c r="R146" s="450"/>
      <c r="S146" s="257"/>
      <c r="T146" s="46"/>
      <c r="U146" s="46"/>
      <c r="V146" s="46"/>
      <c r="W146" s="46"/>
      <c r="X146" s="196"/>
      <c r="Y146" s="46"/>
      <c r="Z146" s="46"/>
      <c r="AA146" s="46"/>
      <c r="AB146" s="46"/>
      <c r="AC146" s="46"/>
      <c r="AD146" s="46"/>
      <c r="AE146" s="46"/>
      <c r="AF146" s="196"/>
      <c r="AG146" s="46"/>
      <c r="AH146" s="46"/>
      <c r="AI146" s="46"/>
      <c r="AJ146" s="46"/>
      <c r="AK146" s="46"/>
      <c r="AL146" s="46"/>
      <c r="AM146" s="46"/>
      <c r="AN146" s="196"/>
      <c r="AO146" s="438"/>
      <c r="AP146" s="46"/>
      <c r="AQ146" s="368"/>
      <c r="AR146" s="257"/>
      <c r="AS146" s="196"/>
      <c r="AT146" s="46"/>
      <c r="AU146" s="46"/>
      <c r="AV146" s="196"/>
      <c r="AW146" s="257"/>
      <c r="AX146" s="196"/>
      <c r="AY146" s="191"/>
      <c r="AZ146" s="257"/>
      <c r="BA146" s="196"/>
      <c r="BB146" s="46"/>
      <c r="BC146" s="257"/>
      <c r="BD146" s="196"/>
      <c r="BE146" s="191"/>
      <c r="BF146" s="46"/>
      <c r="BG146" s="196"/>
      <c r="BH146" s="46"/>
      <c r="BI146" s="257"/>
      <c r="BJ146" s="196"/>
      <c r="BK146" s="191"/>
      <c r="BL146" s="257"/>
      <c r="BM146" s="196"/>
      <c r="BN146" s="46"/>
      <c r="BO146" s="257"/>
      <c r="BP146" s="196"/>
      <c r="BQ146" s="190"/>
      <c r="BR146" s="46"/>
      <c r="BS146" s="196"/>
      <c r="BT146" s="46"/>
      <c r="BU146" s="257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196"/>
      <c r="CI146" s="46"/>
      <c r="CJ146" s="46"/>
      <c r="CK146" s="46"/>
      <c r="CL146" s="46"/>
      <c r="CM146" s="46"/>
      <c r="CN146" s="196"/>
      <c r="CO146" s="191"/>
      <c r="CP146" s="257"/>
      <c r="CQ146" s="196"/>
      <c r="CR146" s="167"/>
      <c r="CS146" s="257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191"/>
      <c r="DN146" s="46"/>
      <c r="DO146" s="196"/>
      <c r="DP146" s="221" t="s">
        <v>531</v>
      </c>
      <c r="DQ146" s="257">
        <f>DW146+EC146+EJ146+ER146+EZ146+FH146+21000</f>
        <v>21000</v>
      </c>
      <c r="DR146" s="294"/>
      <c r="DS146" s="295"/>
      <c r="DT146" s="386">
        <f t="shared" si="18"/>
        <v>0</v>
      </c>
      <c r="DU146" s="41"/>
      <c r="DV146" s="41"/>
      <c r="DW146" s="256"/>
      <c r="DX146" s="41"/>
      <c r="DY146" s="41"/>
      <c r="DZ146" s="68"/>
      <c r="EA146" s="41"/>
      <c r="EB146" s="41"/>
      <c r="EC146" s="256"/>
      <c r="ED146" s="308"/>
      <c r="EE146" s="308"/>
      <c r="EF146" s="308"/>
      <c r="EG146" s="41"/>
      <c r="EH146" s="41"/>
      <c r="EI146" s="41"/>
      <c r="EJ146" s="69"/>
      <c r="EK146" s="308"/>
      <c r="EL146" s="308"/>
      <c r="EM146" s="308"/>
      <c r="EN146" s="308"/>
      <c r="EO146" s="41"/>
      <c r="EP146" s="41"/>
      <c r="EQ146" s="41"/>
      <c r="ER146" s="256"/>
      <c r="ES146" s="293"/>
      <c r="ET146" s="293"/>
      <c r="EU146" s="293"/>
      <c r="EV146" s="293"/>
      <c r="EW146" s="41"/>
      <c r="EX146" s="41"/>
      <c r="EY146" s="41"/>
      <c r="EZ146" s="256"/>
      <c r="FA146" s="308"/>
      <c r="FB146" s="308"/>
      <c r="FC146" s="308"/>
      <c r="FD146" s="308"/>
      <c r="FE146" s="41"/>
      <c r="FF146" s="41"/>
      <c r="FG146" s="41"/>
      <c r="FH146" s="256"/>
      <c r="FI146" s="41"/>
      <c r="FJ146" s="41"/>
      <c r="FK146" s="41"/>
      <c r="FL146" s="276"/>
    </row>
    <row r="147" spans="1:168">
      <c r="A147" s="45">
        <v>140</v>
      </c>
      <c r="B147" s="45" t="s">
        <v>210</v>
      </c>
      <c r="C147" s="45">
        <v>4</v>
      </c>
      <c r="D147" s="29" t="s">
        <v>894</v>
      </c>
      <c r="E147" s="175">
        <v>280</v>
      </c>
      <c r="F147" s="188">
        <v>7</v>
      </c>
      <c r="G147" s="246">
        <f>12089.448/1000</f>
        <v>12.089448000000001</v>
      </c>
      <c r="H147" s="45">
        <v>0</v>
      </c>
      <c r="I147" s="45">
        <v>12089.448</v>
      </c>
      <c r="J147" s="397">
        <v>45.000770000000003</v>
      </c>
      <c r="K147" s="495">
        <f t="shared" si="15"/>
        <v>57.090218000000007</v>
      </c>
      <c r="L147" s="578"/>
      <c r="M147" s="45">
        <f t="shared" si="16"/>
        <v>0</v>
      </c>
      <c r="N147" s="46">
        <f>K147-M147</f>
        <v>57.090218000000007</v>
      </c>
      <c r="O147" s="46">
        <f t="shared" si="19"/>
        <v>57</v>
      </c>
      <c r="P147" s="234"/>
      <c r="Q147" s="46"/>
      <c r="R147" s="450"/>
      <c r="S147" s="257"/>
      <c r="T147" s="46"/>
      <c r="U147" s="46"/>
      <c r="V147" s="46"/>
      <c r="W147" s="46"/>
      <c r="X147" s="196"/>
      <c r="Y147" s="46"/>
      <c r="Z147" s="46"/>
      <c r="AA147" s="46"/>
      <c r="AB147" s="46"/>
      <c r="AC147" s="46"/>
      <c r="AD147" s="46"/>
      <c r="AE147" s="46"/>
      <c r="AF147" s="196"/>
      <c r="AG147" s="46"/>
      <c r="AH147" s="46"/>
      <c r="AI147" s="46"/>
      <c r="AJ147" s="46"/>
      <c r="AK147" s="46"/>
      <c r="AL147" s="46"/>
      <c r="AM147" s="46"/>
      <c r="AN147" s="196"/>
      <c r="AO147" s="438"/>
      <c r="AP147" s="46"/>
      <c r="AQ147" s="368"/>
      <c r="AR147" s="257"/>
      <c r="AS147" s="196"/>
      <c r="AT147" s="46"/>
      <c r="AU147" s="46"/>
      <c r="AV147" s="196"/>
      <c r="AW147" s="257"/>
      <c r="AX147" s="196"/>
      <c r="AY147" s="191"/>
      <c r="AZ147" s="257"/>
      <c r="BA147" s="196"/>
      <c r="BB147" s="46"/>
      <c r="BC147" s="257"/>
      <c r="BD147" s="196"/>
      <c r="BE147" s="191"/>
      <c r="BF147" s="46"/>
      <c r="BG147" s="196"/>
      <c r="BH147" s="46"/>
      <c r="BI147" s="257"/>
      <c r="BJ147" s="196"/>
      <c r="BK147" s="191"/>
      <c r="BL147" s="257"/>
      <c r="BM147" s="196"/>
      <c r="BN147" s="46"/>
      <c r="BO147" s="257"/>
      <c r="BP147" s="196"/>
      <c r="BQ147" s="190"/>
      <c r="BR147" s="46"/>
      <c r="BS147" s="196"/>
      <c r="BT147" s="46"/>
      <c r="BU147" s="257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196"/>
      <c r="CI147" s="46"/>
      <c r="CJ147" s="46"/>
      <c r="CK147" s="46"/>
      <c r="CL147" s="46"/>
      <c r="CM147" s="46"/>
      <c r="CN147" s="196"/>
      <c r="CO147" s="191"/>
      <c r="CP147" s="257"/>
      <c r="CQ147" s="196"/>
      <c r="CR147" s="167"/>
      <c r="CS147" s="257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191"/>
      <c r="DN147" s="46"/>
      <c r="DO147" s="196"/>
      <c r="DP147" s="221" t="s">
        <v>531</v>
      </c>
      <c r="DQ147" s="257">
        <f>DW147+EC147+EJ147+ER147+EZ147+FH147+57000</f>
        <v>57000</v>
      </c>
      <c r="DR147" s="294"/>
      <c r="DS147" s="295"/>
      <c r="DT147" s="386">
        <f t="shared" si="18"/>
        <v>0</v>
      </c>
      <c r="DU147" s="41"/>
      <c r="DV147" s="41"/>
      <c r="DW147" s="256"/>
      <c r="DX147" s="41"/>
      <c r="DY147" s="41"/>
      <c r="DZ147" s="68"/>
      <c r="EA147" s="41"/>
      <c r="EB147" s="41"/>
      <c r="EC147" s="256"/>
      <c r="ED147" s="308"/>
      <c r="EE147" s="308"/>
      <c r="EF147" s="308"/>
      <c r="EG147" s="41"/>
      <c r="EH147" s="41"/>
      <c r="EI147" s="41"/>
      <c r="EJ147" s="69"/>
      <c r="EK147" s="308"/>
      <c r="EL147" s="308"/>
      <c r="EM147" s="308"/>
      <c r="EN147" s="308"/>
      <c r="EO147" s="41"/>
      <c r="EP147" s="41"/>
      <c r="EQ147" s="41"/>
      <c r="ER147" s="256"/>
      <c r="ES147" s="293"/>
      <c r="ET147" s="293"/>
      <c r="EU147" s="293"/>
      <c r="EV147" s="293"/>
      <c r="EW147" s="41"/>
      <c r="EX147" s="41"/>
      <c r="EY147" s="41"/>
      <c r="EZ147" s="256"/>
      <c r="FA147" s="308"/>
      <c r="FB147" s="308"/>
      <c r="FC147" s="308"/>
      <c r="FD147" s="308"/>
      <c r="FE147" s="41"/>
      <c r="FF147" s="41"/>
      <c r="FG147" s="41"/>
      <c r="FH147" s="256"/>
      <c r="FI147" s="41"/>
      <c r="FJ147" s="41"/>
      <c r="FK147" s="41"/>
      <c r="FL147" s="276"/>
    </row>
    <row r="148" spans="1:168" ht="23.25">
      <c r="A148" s="45">
        <v>141</v>
      </c>
      <c r="B148" s="45" t="s">
        <v>210</v>
      </c>
      <c r="C148" s="45">
        <v>4</v>
      </c>
      <c r="D148" s="29" t="s">
        <v>114</v>
      </c>
      <c r="E148" s="30">
        <v>324</v>
      </c>
      <c r="F148" s="30">
        <v>5</v>
      </c>
      <c r="G148" s="246">
        <f>270669.168/1000</f>
        <v>270.66916800000001</v>
      </c>
      <c r="H148" s="45">
        <v>270669.16800000001</v>
      </c>
      <c r="I148" s="45">
        <v>0</v>
      </c>
      <c r="J148" s="397">
        <v>-19.265540000000001</v>
      </c>
      <c r="K148" s="495">
        <f t="shared" si="15"/>
        <v>251.40362800000003</v>
      </c>
      <c r="L148" s="578"/>
      <c r="M148" s="45">
        <f t="shared" si="16"/>
        <v>0</v>
      </c>
      <c r="N148" s="46">
        <f t="shared" si="14"/>
        <v>251.40362800000003</v>
      </c>
      <c r="O148" s="46">
        <f t="shared" si="19"/>
        <v>222</v>
      </c>
      <c r="P148" s="234" t="s">
        <v>250</v>
      </c>
      <c r="Q148" s="46">
        <v>2</v>
      </c>
      <c r="R148" s="450" t="s">
        <v>896</v>
      </c>
      <c r="S148" s="257">
        <f>90000*2</f>
        <v>180000</v>
      </c>
      <c r="T148" s="46"/>
      <c r="U148" s="46"/>
      <c r="V148" s="46"/>
      <c r="W148" s="46"/>
      <c r="X148" s="196"/>
      <c r="Y148" s="46"/>
      <c r="Z148" s="46"/>
      <c r="AA148" s="46"/>
      <c r="AB148" s="46"/>
      <c r="AC148" s="46"/>
      <c r="AD148" s="46"/>
      <c r="AE148" s="46"/>
      <c r="AF148" s="196"/>
      <c r="AG148" s="46"/>
      <c r="AH148" s="46"/>
      <c r="AI148" s="46"/>
      <c r="AJ148" s="46"/>
      <c r="AK148" s="46"/>
      <c r="AL148" s="46"/>
      <c r="AM148" s="46"/>
      <c r="AN148" s="196"/>
      <c r="AO148" s="438"/>
      <c r="AP148" s="46"/>
      <c r="AQ148" s="368"/>
      <c r="AR148" s="257"/>
      <c r="AS148" s="196"/>
      <c r="AT148" s="46"/>
      <c r="AU148" s="46"/>
      <c r="AV148" s="196"/>
      <c r="AW148" s="257"/>
      <c r="AX148" s="196"/>
      <c r="AY148" s="191"/>
      <c r="AZ148" s="257"/>
      <c r="BA148" s="196"/>
      <c r="BB148" s="46"/>
      <c r="BC148" s="257"/>
      <c r="BD148" s="196"/>
      <c r="BE148" s="191"/>
      <c r="BF148" s="46"/>
      <c r="BG148" s="196"/>
      <c r="BH148" s="46"/>
      <c r="BI148" s="257"/>
      <c r="BJ148" s="196"/>
      <c r="BK148" s="191"/>
      <c r="BL148" s="257"/>
      <c r="BM148" s="196"/>
      <c r="BN148" s="46"/>
      <c r="BO148" s="257"/>
      <c r="BP148" s="196"/>
      <c r="BQ148" s="190"/>
      <c r="BR148" s="46"/>
      <c r="BS148" s="196"/>
      <c r="BT148" s="46"/>
      <c r="BU148" s="257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196"/>
      <c r="CI148" s="46"/>
      <c r="CJ148" s="46"/>
      <c r="CK148" s="46"/>
      <c r="CL148" s="46"/>
      <c r="CM148" s="46"/>
      <c r="CN148" s="196" t="s">
        <v>250</v>
      </c>
      <c r="CO148" s="190" t="s">
        <v>895</v>
      </c>
      <c r="CP148" s="257">
        <f>42*1000</f>
        <v>42000</v>
      </c>
      <c r="CQ148" s="196"/>
      <c r="CR148" s="190"/>
      <c r="CS148" s="257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191"/>
      <c r="DN148" s="46"/>
      <c r="DO148" s="196"/>
      <c r="DP148" s="221"/>
      <c r="DQ148" s="257">
        <f t="shared" si="17"/>
        <v>0</v>
      </c>
      <c r="DR148" s="296"/>
      <c r="DS148" s="295"/>
      <c r="DT148" s="386">
        <f t="shared" si="18"/>
        <v>0</v>
      </c>
      <c r="DU148" s="41"/>
      <c r="DV148" s="41"/>
      <c r="DW148" s="256"/>
      <c r="DX148" s="41"/>
      <c r="DY148" s="41"/>
      <c r="DZ148" s="68"/>
      <c r="EA148" s="41"/>
      <c r="EB148" s="41"/>
      <c r="EC148" s="256"/>
      <c r="ED148" s="308"/>
      <c r="EE148" s="308"/>
      <c r="EF148" s="308"/>
      <c r="EG148" s="41"/>
      <c r="EH148" s="41"/>
      <c r="EI148" s="41"/>
      <c r="EJ148" s="69"/>
      <c r="EK148" s="308"/>
      <c r="EL148" s="308"/>
      <c r="EM148" s="308"/>
      <c r="EN148" s="308"/>
      <c r="EO148" s="41"/>
      <c r="EP148" s="41"/>
      <c r="EQ148" s="41"/>
      <c r="ER148" s="256"/>
      <c r="ES148" s="293"/>
      <c r="ET148" s="293"/>
      <c r="EU148" s="293"/>
      <c r="EV148" s="293"/>
      <c r="EW148" s="41"/>
      <c r="EX148" s="41"/>
      <c r="EY148" s="41"/>
      <c r="EZ148" s="256"/>
      <c r="FA148" s="308"/>
      <c r="FB148" s="308"/>
      <c r="FC148" s="308"/>
      <c r="FD148" s="308"/>
      <c r="FE148" s="46"/>
      <c r="FF148" s="41"/>
      <c r="FG148" s="41"/>
      <c r="FH148" s="256"/>
      <c r="FI148" s="41"/>
      <c r="FJ148" s="41"/>
      <c r="FK148" s="41"/>
      <c r="FL148" s="276"/>
    </row>
    <row r="149" spans="1:168" ht="30">
      <c r="A149" s="45">
        <v>142</v>
      </c>
      <c r="B149" s="45"/>
      <c r="C149" s="45">
        <v>4</v>
      </c>
      <c r="D149" s="29" t="s">
        <v>114</v>
      </c>
      <c r="E149" s="30">
        <v>326</v>
      </c>
      <c r="F149" s="30">
        <v>5</v>
      </c>
      <c r="G149" s="246">
        <f>261937.368/1000</f>
        <v>261.93736799999999</v>
      </c>
      <c r="H149" s="45">
        <v>261937.36800000002</v>
      </c>
      <c r="I149" s="45">
        <v>0</v>
      </c>
      <c r="J149" s="397">
        <v>72.555340000000001</v>
      </c>
      <c r="K149" s="495">
        <f t="shared" si="15"/>
        <v>334.49270799999999</v>
      </c>
      <c r="L149" s="578"/>
      <c r="M149" s="45">
        <f t="shared" si="16"/>
        <v>0</v>
      </c>
      <c r="N149" s="46"/>
      <c r="O149" s="46">
        <f t="shared" si="19"/>
        <v>322.39999999999998</v>
      </c>
      <c r="P149" s="234"/>
      <c r="Q149" s="46"/>
      <c r="R149" s="450"/>
      <c r="S149" s="257"/>
      <c r="T149" s="46"/>
      <c r="U149" s="46"/>
      <c r="V149" s="46"/>
      <c r="W149" s="46"/>
      <c r="X149" s="196"/>
      <c r="Y149" s="46"/>
      <c r="Z149" s="46"/>
      <c r="AA149" s="46"/>
      <c r="AB149" s="46"/>
      <c r="AC149" s="46"/>
      <c r="AD149" s="46"/>
      <c r="AE149" s="46"/>
      <c r="AF149" s="196"/>
      <c r="AG149" s="46">
        <v>24</v>
      </c>
      <c r="AH149" s="46">
        <v>59</v>
      </c>
      <c r="AI149" s="46">
        <f>AG149*750</f>
        <v>18000</v>
      </c>
      <c r="AJ149" s="46"/>
      <c r="AK149" s="46"/>
      <c r="AL149" s="46"/>
      <c r="AM149" s="46"/>
      <c r="AN149" s="196"/>
      <c r="AO149" s="438"/>
      <c r="AP149" s="46"/>
      <c r="AQ149" s="368"/>
      <c r="AR149" s="257"/>
      <c r="AS149" s="196"/>
      <c r="AT149" s="46"/>
      <c r="AU149" s="46"/>
      <c r="AV149" s="196"/>
      <c r="AW149" s="257"/>
      <c r="AX149" s="196" t="s">
        <v>254</v>
      </c>
      <c r="AY149" s="191">
        <v>88</v>
      </c>
      <c r="AZ149" s="257">
        <f>AY149*2500</f>
        <v>220000</v>
      </c>
      <c r="BA149" s="196"/>
      <c r="BB149" s="46"/>
      <c r="BC149" s="257"/>
      <c r="BD149" s="196"/>
      <c r="BE149" s="191"/>
      <c r="BF149" s="46"/>
      <c r="BG149" s="196"/>
      <c r="BH149" s="46"/>
      <c r="BI149" s="257"/>
      <c r="BJ149" s="196"/>
      <c r="BK149" s="191"/>
      <c r="BL149" s="257"/>
      <c r="BM149" s="196"/>
      <c r="BN149" s="46"/>
      <c r="BO149" s="257"/>
      <c r="BP149" s="196"/>
      <c r="BQ149" s="190"/>
      <c r="BR149" s="46"/>
      <c r="BS149" s="196"/>
      <c r="BT149" s="46"/>
      <c r="BU149" s="257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196"/>
      <c r="CI149" s="46"/>
      <c r="CJ149" s="46"/>
      <c r="CK149" s="46"/>
      <c r="CL149" s="46"/>
      <c r="CM149" s="46"/>
      <c r="CN149" s="196"/>
      <c r="CO149" s="190"/>
      <c r="CP149" s="257"/>
      <c r="CQ149" s="196"/>
      <c r="CR149" s="167"/>
      <c r="CS149" s="257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191"/>
      <c r="DN149" s="46"/>
      <c r="DO149" s="196"/>
      <c r="DP149" s="221" t="s">
        <v>897</v>
      </c>
      <c r="DQ149" s="257">
        <f>DW149+EC149+EJ149+ER149+EZ149+FH149+68*800+30000</f>
        <v>84400</v>
      </c>
      <c r="DR149" s="296"/>
      <c r="DS149" s="295"/>
      <c r="DT149" s="386">
        <f t="shared" si="18"/>
        <v>0</v>
      </c>
      <c r="DU149" s="41"/>
      <c r="DV149" s="41"/>
      <c r="DW149" s="256"/>
      <c r="DX149" s="41"/>
      <c r="DY149" s="41"/>
      <c r="DZ149" s="68"/>
      <c r="EA149" s="41"/>
      <c r="EB149" s="41"/>
      <c r="EC149" s="256"/>
      <c r="ED149" s="308"/>
      <c r="EE149" s="308"/>
      <c r="EF149" s="308"/>
      <c r="EG149" s="41"/>
      <c r="EH149" s="41"/>
      <c r="EI149" s="41"/>
      <c r="EJ149" s="69"/>
      <c r="EK149" s="308"/>
      <c r="EL149" s="308"/>
      <c r="EM149" s="308"/>
      <c r="EN149" s="308"/>
      <c r="EO149" s="41"/>
      <c r="EP149" s="41"/>
      <c r="EQ149" s="41"/>
      <c r="ER149" s="256"/>
      <c r="ES149" s="293"/>
      <c r="ET149" s="293"/>
      <c r="EU149" s="293"/>
      <c r="EV149" s="293"/>
      <c r="EW149" s="41"/>
      <c r="EX149" s="41"/>
      <c r="EY149" s="41"/>
      <c r="EZ149" s="256"/>
      <c r="FA149" s="308"/>
      <c r="FB149" s="308"/>
      <c r="FC149" s="308"/>
      <c r="FD149" s="308"/>
      <c r="FE149" s="46"/>
      <c r="FF149" s="41"/>
      <c r="FG149" s="41"/>
      <c r="FH149" s="256"/>
      <c r="FI149" s="41"/>
      <c r="FJ149" s="41"/>
      <c r="FK149" s="41"/>
      <c r="FL149" s="276"/>
    </row>
    <row r="150" spans="1:168">
      <c r="A150" s="45">
        <v>143</v>
      </c>
      <c r="B150" s="45" t="s">
        <v>210</v>
      </c>
      <c r="C150" s="45">
        <v>4</v>
      </c>
      <c r="D150" s="29" t="s">
        <v>499</v>
      </c>
      <c r="E150" s="30">
        <v>48</v>
      </c>
      <c r="F150" s="30">
        <v>6</v>
      </c>
      <c r="G150" s="246">
        <f>87504.8976/1000</f>
        <v>87.504897599999993</v>
      </c>
      <c r="H150" s="45">
        <v>24748.376400000001</v>
      </c>
      <c r="I150" s="45">
        <v>62756.521200000003</v>
      </c>
      <c r="J150" s="397">
        <v>292.97879</v>
      </c>
      <c r="K150" s="495">
        <f t="shared" si="15"/>
        <v>380.4836876</v>
      </c>
      <c r="L150" s="578"/>
      <c r="M150" s="45">
        <f t="shared" si="16"/>
        <v>0</v>
      </c>
      <c r="N150" s="46">
        <f t="shared" si="14"/>
        <v>380.4836876</v>
      </c>
      <c r="O150" s="46">
        <f t="shared" si="19"/>
        <v>380</v>
      </c>
      <c r="P150" s="234"/>
      <c r="Q150" s="46"/>
      <c r="R150" s="450"/>
      <c r="S150" s="257"/>
      <c r="T150" s="46"/>
      <c r="U150" s="46"/>
      <c r="V150" s="46"/>
      <c r="W150" s="46"/>
      <c r="X150" s="196"/>
      <c r="Y150" s="46"/>
      <c r="Z150" s="46"/>
      <c r="AA150" s="46"/>
      <c r="AB150" s="46"/>
      <c r="AC150" s="46"/>
      <c r="AD150" s="46"/>
      <c r="AE150" s="46"/>
      <c r="AF150" s="196"/>
      <c r="AG150" s="46"/>
      <c r="AH150" s="46"/>
      <c r="AI150" s="46"/>
      <c r="AJ150" s="46"/>
      <c r="AK150" s="46"/>
      <c r="AL150" s="46"/>
      <c r="AM150" s="46"/>
      <c r="AN150" s="196"/>
      <c r="AO150" s="438"/>
      <c r="AP150" s="46"/>
      <c r="AQ150" s="368"/>
      <c r="AR150" s="257"/>
      <c r="AS150" s="196"/>
      <c r="AT150" s="46"/>
      <c r="AU150" s="46"/>
      <c r="AV150" s="196"/>
      <c r="AW150" s="257"/>
      <c r="AX150" s="196"/>
      <c r="AY150" s="191"/>
      <c r="AZ150" s="257"/>
      <c r="BA150" s="196"/>
      <c r="BB150" s="46"/>
      <c r="BC150" s="257"/>
      <c r="BD150" s="196"/>
      <c r="BE150" s="191"/>
      <c r="BF150" s="46"/>
      <c r="BG150" s="196"/>
      <c r="BH150" s="46"/>
      <c r="BI150" s="257"/>
      <c r="BJ150" s="196"/>
      <c r="BK150" s="191"/>
      <c r="BL150" s="257"/>
      <c r="BM150" s="196"/>
      <c r="BN150" s="46"/>
      <c r="BO150" s="257"/>
      <c r="BP150" s="196"/>
      <c r="BQ150" s="190"/>
      <c r="BR150" s="46"/>
      <c r="BS150" s="196"/>
      <c r="BT150" s="46"/>
      <c r="BU150" s="257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196"/>
      <c r="CI150" s="46"/>
      <c r="CJ150" s="46"/>
      <c r="CK150" s="46"/>
      <c r="CL150" s="46"/>
      <c r="CM150" s="46"/>
      <c r="CN150" s="196"/>
      <c r="CO150" s="191"/>
      <c r="CP150" s="257"/>
      <c r="CQ150" s="196"/>
      <c r="CR150" s="167"/>
      <c r="CS150" s="257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191"/>
      <c r="DN150" s="46"/>
      <c r="DO150" s="196"/>
      <c r="DP150" s="221" t="s">
        <v>531</v>
      </c>
      <c r="DQ150" s="257">
        <f>DW150+EC150+EJ150+ER150+EZ150+FH150+380000</f>
        <v>380000</v>
      </c>
      <c r="DR150" s="294"/>
      <c r="DS150" s="295"/>
      <c r="DT150" s="386">
        <f t="shared" si="18"/>
        <v>0</v>
      </c>
      <c r="DU150" s="41"/>
      <c r="DV150" s="41"/>
      <c r="DW150" s="256"/>
      <c r="DX150" s="41"/>
      <c r="DY150" s="41"/>
      <c r="DZ150" s="68"/>
      <c r="EA150" s="41"/>
      <c r="EB150" s="41"/>
      <c r="EC150" s="256"/>
      <c r="ED150" s="308"/>
      <c r="EE150" s="308"/>
      <c r="EF150" s="308"/>
      <c r="EG150" s="41"/>
      <c r="EH150" s="41"/>
      <c r="EI150" s="41"/>
      <c r="EJ150" s="69"/>
      <c r="EK150" s="308"/>
      <c r="EL150" s="308"/>
      <c r="EM150" s="308"/>
      <c r="EN150" s="308"/>
      <c r="EO150" s="41"/>
      <c r="EP150" s="41"/>
      <c r="EQ150" s="41"/>
      <c r="ER150" s="256"/>
      <c r="ES150" s="293"/>
      <c r="ET150" s="293"/>
      <c r="EU150" s="293"/>
      <c r="EV150" s="293"/>
      <c r="EW150" s="41"/>
      <c r="EX150" s="41"/>
      <c r="EY150" s="41"/>
      <c r="EZ150" s="256"/>
      <c r="FA150" s="308"/>
      <c r="FB150" s="308"/>
      <c r="FC150" s="308"/>
      <c r="FD150" s="308"/>
      <c r="FE150" s="41"/>
      <c r="FF150" s="41"/>
      <c r="FG150" s="41"/>
      <c r="FH150" s="256"/>
      <c r="FI150" s="41"/>
      <c r="FJ150" s="41"/>
      <c r="FK150" s="41"/>
      <c r="FL150" s="276"/>
    </row>
    <row r="151" spans="1:168">
      <c r="A151" s="45">
        <v>144</v>
      </c>
      <c r="B151" s="45" t="s">
        <v>210</v>
      </c>
      <c r="C151" s="45">
        <v>4</v>
      </c>
      <c r="D151" s="29" t="s">
        <v>499</v>
      </c>
      <c r="E151" s="30">
        <v>54</v>
      </c>
      <c r="F151" s="30">
        <v>5</v>
      </c>
      <c r="G151" s="246">
        <f>31584.168/1000</f>
        <v>31.584168000000002</v>
      </c>
      <c r="H151" s="45">
        <v>31584.168000000001</v>
      </c>
      <c r="I151" s="45">
        <v>0</v>
      </c>
      <c r="J151" s="397">
        <v>25.529019999999999</v>
      </c>
      <c r="K151" s="495">
        <f t="shared" si="15"/>
        <v>57.113188000000001</v>
      </c>
      <c r="L151" s="578"/>
      <c r="M151" s="45">
        <f t="shared" si="16"/>
        <v>0</v>
      </c>
      <c r="N151" s="46">
        <f t="shared" si="14"/>
        <v>57.113188000000001</v>
      </c>
      <c r="O151" s="46">
        <f t="shared" si="19"/>
        <v>57</v>
      </c>
      <c r="P151" s="234"/>
      <c r="Q151" s="46"/>
      <c r="R151" s="450"/>
      <c r="S151" s="257"/>
      <c r="T151" s="46"/>
      <c r="U151" s="46"/>
      <c r="V151" s="46"/>
      <c r="W151" s="46"/>
      <c r="X151" s="196"/>
      <c r="Y151" s="46"/>
      <c r="Z151" s="46"/>
      <c r="AA151" s="46"/>
      <c r="AB151" s="46"/>
      <c r="AC151" s="46"/>
      <c r="AD151" s="46"/>
      <c r="AE151" s="46"/>
      <c r="AF151" s="196"/>
      <c r="AG151" s="46"/>
      <c r="AH151" s="46"/>
      <c r="AI151" s="46"/>
      <c r="AJ151" s="46"/>
      <c r="AK151" s="46"/>
      <c r="AL151" s="46"/>
      <c r="AM151" s="46"/>
      <c r="AN151" s="196"/>
      <c r="AO151" s="438"/>
      <c r="AP151" s="46"/>
      <c r="AQ151" s="368"/>
      <c r="AR151" s="257"/>
      <c r="AS151" s="196"/>
      <c r="AT151" s="46"/>
      <c r="AU151" s="46"/>
      <c r="AV151" s="196"/>
      <c r="AW151" s="257"/>
      <c r="AX151" s="196"/>
      <c r="AY151" s="191"/>
      <c r="AZ151" s="257"/>
      <c r="BA151" s="196"/>
      <c r="BB151" s="46"/>
      <c r="BC151" s="257"/>
      <c r="BD151" s="196"/>
      <c r="BE151" s="191"/>
      <c r="BF151" s="46"/>
      <c r="BG151" s="196"/>
      <c r="BH151" s="46"/>
      <c r="BI151" s="257"/>
      <c r="BJ151" s="196"/>
      <c r="BK151" s="191"/>
      <c r="BL151" s="257"/>
      <c r="BM151" s="196"/>
      <c r="BN151" s="46"/>
      <c r="BO151" s="257"/>
      <c r="BP151" s="196"/>
      <c r="BQ151" s="190"/>
      <c r="BR151" s="46"/>
      <c r="BS151" s="196"/>
      <c r="BT151" s="46"/>
      <c r="BU151" s="257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196"/>
      <c r="CI151" s="46"/>
      <c r="CJ151" s="46"/>
      <c r="CK151" s="46"/>
      <c r="CL151" s="46"/>
      <c r="CM151" s="46"/>
      <c r="CN151" s="196"/>
      <c r="CO151" s="191"/>
      <c r="CP151" s="257"/>
      <c r="CQ151" s="196"/>
      <c r="CR151" s="167"/>
      <c r="CS151" s="257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191"/>
      <c r="DN151" s="46"/>
      <c r="DO151" s="196"/>
      <c r="DP151" s="221" t="s">
        <v>531</v>
      </c>
      <c r="DQ151" s="257">
        <f>DW151+EC151+EJ151+ER151+EZ151+FH151+57000</f>
        <v>57000</v>
      </c>
      <c r="DR151" s="294"/>
      <c r="DS151" s="295"/>
      <c r="DT151" s="386">
        <f t="shared" si="18"/>
        <v>0</v>
      </c>
      <c r="DU151" s="41"/>
      <c r="DV151" s="41"/>
      <c r="DW151" s="256"/>
      <c r="DX151" s="41"/>
      <c r="DY151" s="41"/>
      <c r="DZ151" s="68"/>
      <c r="EA151" s="41"/>
      <c r="EB151" s="41"/>
      <c r="EC151" s="256"/>
      <c r="ED151" s="308"/>
      <c r="EE151" s="308"/>
      <c r="EF151" s="308"/>
      <c r="EG151" s="41"/>
      <c r="EH151" s="41"/>
      <c r="EI151" s="41"/>
      <c r="EJ151" s="69"/>
      <c r="EK151" s="308"/>
      <c r="EL151" s="308"/>
      <c r="EM151" s="308"/>
      <c r="EN151" s="308"/>
      <c r="EO151" s="41"/>
      <c r="EP151" s="41"/>
      <c r="EQ151" s="41"/>
      <c r="ER151" s="256"/>
      <c r="ES151" s="293"/>
      <c r="ET151" s="293"/>
      <c r="EU151" s="293"/>
      <c r="EV151" s="293"/>
      <c r="EW151" s="41"/>
      <c r="EX151" s="41"/>
      <c r="EY151" s="41"/>
      <c r="EZ151" s="256"/>
      <c r="FA151" s="308"/>
      <c r="FB151" s="308"/>
      <c r="FC151" s="308"/>
      <c r="FD151" s="308"/>
      <c r="FE151" s="46"/>
      <c r="FF151" s="41"/>
      <c r="FG151" s="41"/>
      <c r="FH151" s="256"/>
      <c r="FI151" s="41"/>
      <c r="FJ151" s="41"/>
      <c r="FK151" s="41"/>
      <c r="FL151" s="276"/>
    </row>
    <row r="152" spans="1:168" ht="20.25">
      <c r="A152" s="45">
        <v>145</v>
      </c>
      <c r="B152" s="45" t="s">
        <v>210</v>
      </c>
      <c r="C152" s="45">
        <v>4</v>
      </c>
      <c r="D152" s="29" t="s">
        <v>499</v>
      </c>
      <c r="E152" s="177">
        <v>60</v>
      </c>
      <c r="F152" s="188">
        <v>5</v>
      </c>
      <c r="G152" s="246">
        <f>71747.9532/1000</f>
        <v>71.747953199999998</v>
      </c>
      <c r="H152" s="45">
        <v>71747.953199999989</v>
      </c>
      <c r="I152" s="45">
        <v>0</v>
      </c>
      <c r="J152" s="397">
        <v>47.964829999999949</v>
      </c>
      <c r="K152" s="495">
        <f t="shared" si="15"/>
        <v>119.71278319999995</v>
      </c>
      <c r="L152" s="578"/>
      <c r="M152" s="45">
        <f t="shared" si="16"/>
        <v>0</v>
      </c>
      <c r="N152" s="46">
        <f>K152-M152</f>
        <v>119.71278319999995</v>
      </c>
      <c r="O152" s="46">
        <f t="shared" si="19"/>
        <v>93</v>
      </c>
      <c r="P152" s="234"/>
      <c r="Q152" s="46"/>
      <c r="R152" s="450"/>
      <c r="S152" s="257"/>
      <c r="T152" s="46"/>
      <c r="U152" s="46"/>
      <c r="V152" s="46"/>
      <c r="W152" s="46"/>
      <c r="X152" s="196"/>
      <c r="Y152" s="46"/>
      <c r="Z152" s="46"/>
      <c r="AA152" s="46"/>
      <c r="AB152" s="46"/>
      <c r="AC152" s="46"/>
      <c r="AD152" s="46"/>
      <c r="AE152" s="46"/>
      <c r="AF152" s="196"/>
      <c r="AG152" s="46"/>
      <c r="AH152" s="46"/>
      <c r="AI152" s="46"/>
      <c r="AJ152" s="46"/>
      <c r="AK152" s="46"/>
      <c r="AL152" s="46"/>
      <c r="AM152" s="46"/>
      <c r="AN152" s="196"/>
      <c r="AO152" s="438"/>
      <c r="AP152" s="46"/>
      <c r="AQ152" s="368"/>
      <c r="AR152" s="257"/>
      <c r="AS152" s="196"/>
      <c r="AT152" s="46"/>
      <c r="AU152" s="46"/>
      <c r="AV152" s="196"/>
      <c r="AW152" s="257"/>
      <c r="AX152" s="196" t="s">
        <v>250</v>
      </c>
      <c r="AY152" s="191">
        <v>44</v>
      </c>
      <c r="AZ152" s="257">
        <f>AY152*2000</f>
        <v>88000</v>
      </c>
      <c r="BA152" s="196"/>
      <c r="BB152" s="46"/>
      <c r="BC152" s="257"/>
      <c r="BD152" s="196"/>
      <c r="BE152" s="191"/>
      <c r="BF152" s="46"/>
      <c r="BG152" s="196"/>
      <c r="BH152" s="46"/>
      <c r="BI152" s="257"/>
      <c r="BJ152" s="196"/>
      <c r="BK152" s="191"/>
      <c r="BL152" s="257"/>
      <c r="BM152" s="196"/>
      <c r="BN152" s="46"/>
      <c r="BO152" s="257"/>
      <c r="BP152" s="196"/>
      <c r="BQ152" s="190"/>
      <c r="BR152" s="46"/>
      <c r="BS152" s="196"/>
      <c r="BT152" s="46"/>
      <c r="BU152" s="257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196"/>
      <c r="CI152" s="46"/>
      <c r="CJ152" s="46"/>
      <c r="CK152" s="46"/>
      <c r="CL152" s="46"/>
      <c r="CM152" s="46"/>
      <c r="CN152" s="196"/>
      <c r="CO152" s="191"/>
      <c r="CP152" s="257"/>
      <c r="CQ152" s="196"/>
      <c r="CR152" s="167"/>
      <c r="CS152" s="257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191"/>
      <c r="DN152" s="46"/>
      <c r="DO152" s="196"/>
      <c r="DP152" s="221" t="s">
        <v>898</v>
      </c>
      <c r="DQ152" s="257">
        <f>DW152+EC152+EJ152+ER152+EZ152+FH152+5000</f>
        <v>5000</v>
      </c>
      <c r="DR152" s="296"/>
      <c r="DS152" s="295"/>
      <c r="DT152" s="386">
        <f t="shared" si="18"/>
        <v>0</v>
      </c>
      <c r="DU152" s="41"/>
      <c r="DV152" s="41"/>
      <c r="DW152" s="256"/>
      <c r="DX152" s="41"/>
      <c r="DY152" s="41"/>
      <c r="DZ152" s="68"/>
      <c r="EA152" s="41"/>
      <c r="EB152" s="41"/>
      <c r="EC152" s="256"/>
      <c r="ED152" s="308"/>
      <c r="EE152" s="308"/>
      <c r="EF152" s="308"/>
      <c r="EG152" s="41"/>
      <c r="EH152" s="41"/>
      <c r="EI152" s="41"/>
      <c r="EJ152" s="69"/>
      <c r="EK152" s="308"/>
      <c r="EL152" s="308"/>
      <c r="EM152" s="308"/>
      <c r="EN152" s="308"/>
      <c r="EO152" s="41"/>
      <c r="EP152" s="41"/>
      <c r="EQ152" s="41"/>
      <c r="ER152" s="256"/>
      <c r="ES152" s="293"/>
      <c r="ET152" s="293"/>
      <c r="EU152" s="293"/>
      <c r="EV152" s="293"/>
      <c r="EW152" s="41"/>
      <c r="EX152" s="41"/>
      <c r="EY152" s="41"/>
      <c r="EZ152" s="256"/>
      <c r="FA152" s="308"/>
      <c r="FB152" s="308"/>
      <c r="FC152" s="308"/>
      <c r="FD152" s="308"/>
      <c r="FE152" s="46"/>
      <c r="FF152" s="41"/>
      <c r="FG152" s="41"/>
      <c r="FH152" s="256"/>
      <c r="FI152" s="41"/>
      <c r="FJ152" s="41"/>
      <c r="FK152" s="41"/>
      <c r="FL152" s="276"/>
    </row>
    <row r="153" spans="1:168">
      <c r="A153" s="45">
        <v>146</v>
      </c>
      <c r="B153" s="45" t="s">
        <v>210</v>
      </c>
      <c r="C153" s="45">
        <v>4</v>
      </c>
      <c r="D153" s="29" t="s">
        <v>115</v>
      </c>
      <c r="E153" s="30" t="s">
        <v>116</v>
      </c>
      <c r="F153" s="30">
        <v>6</v>
      </c>
      <c r="G153" s="246">
        <f>43301.664/1000</f>
        <v>43.301663999999995</v>
      </c>
      <c r="H153" s="45">
        <v>12246.695999999998</v>
      </c>
      <c r="I153" s="45">
        <v>31054.967999999997</v>
      </c>
      <c r="J153" s="397">
        <v>211.087526</v>
      </c>
      <c r="K153" s="495">
        <f t="shared" si="15"/>
        <v>254.38918999999999</v>
      </c>
      <c r="L153" s="578"/>
      <c r="M153" s="45">
        <f t="shared" si="16"/>
        <v>0</v>
      </c>
      <c r="N153" s="46">
        <f t="shared" si="14"/>
        <v>254.38918999999999</v>
      </c>
      <c r="O153" s="46">
        <f t="shared" si="19"/>
        <v>254</v>
      </c>
      <c r="P153" s="234"/>
      <c r="Q153" s="46"/>
      <c r="R153" s="450"/>
      <c r="S153" s="257"/>
      <c r="T153" s="46"/>
      <c r="U153" s="46"/>
      <c r="V153" s="46"/>
      <c r="W153" s="46"/>
      <c r="X153" s="196"/>
      <c r="Y153" s="46"/>
      <c r="Z153" s="46"/>
      <c r="AA153" s="46"/>
      <c r="AB153" s="46"/>
      <c r="AC153" s="46"/>
      <c r="AD153" s="46"/>
      <c r="AE153" s="46"/>
      <c r="AF153" s="196"/>
      <c r="AG153" s="46"/>
      <c r="AH153" s="46"/>
      <c r="AI153" s="46"/>
      <c r="AJ153" s="46"/>
      <c r="AK153" s="46"/>
      <c r="AL153" s="46"/>
      <c r="AM153" s="46"/>
      <c r="AN153" s="196"/>
      <c r="AO153" s="438"/>
      <c r="AP153" s="46"/>
      <c r="AQ153" s="368"/>
      <c r="AR153" s="257"/>
      <c r="AS153" s="196"/>
      <c r="AT153" s="46"/>
      <c r="AU153" s="46"/>
      <c r="AV153" s="196"/>
      <c r="AW153" s="257"/>
      <c r="AX153" s="196"/>
      <c r="AY153" s="191"/>
      <c r="AZ153" s="257"/>
      <c r="BA153" s="196"/>
      <c r="BB153" s="46"/>
      <c r="BC153" s="257"/>
      <c r="BD153" s="196"/>
      <c r="BE153" s="191"/>
      <c r="BF153" s="46"/>
      <c r="BG153" s="196"/>
      <c r="BH153" s="46"/>
      <c r="BI153" s="257"/>
      <c r="BJ153" s="196"/>
      <c r="BK153" s="191"/>
      <c r="BL153" s="257"/>
      <c r="BM153" s="196"/>
      <c r="BN153" s="46"/>
      <c r="BO153" s="257"/>
      <c r="BP153" s="196"/>
      <c r="BQ153" s="190"/>
      <c r="BR153" s="46"/>
      <c r="BS153" s="196"/>
      <c r="BT153" s="46"/>
      <c r="BU153" s="257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196"/>
      <c r="CI153" s="46"/>
      <c r="CJ153" s="46"/>
      <c r="CK153" s="46"/>
      <c r="CL153" s="46"/>
      <c r="CM153" s="46"/>
      <c r="CN153" s="196"/>
      <c r="CO153" s="191"/>
      <c r="CP153" s="257"/>
      <c r="CQ153" s="196"/>
      <c r="CR153" s="167"/>
      <c r="CS153" s="257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191"/>
      <c r="DN153" s="46"/>
      <c r="DO153" s="196"/>
      <c r="DP153" s="221" t="s">
        <v>531</v>
      </c>
      <c r="DQ153" s="257">
        <f>DW153+EC153+EJ153+ER153+EZ153+FH153+254000</f>
        <v>254000</v>
      </c>
      <c r="DR153" s="294"/>
      <c r="DS153" s="295"/>
      <c r="DT153" s="386">
        <f t="shared" si="18"/>
        <v>0</v>
      </c>
      <c r="DU153" s="41"/>
      <c r="DV153" s="41"/>
      <c r="DW153" s="256"/>
      <c r="DX153" s="41"/>
      <c r="DY153" s="41"/>
      <c r="DZ153" s="68"/>
      <c r="EA153" s="41"/>
      <c r="EB153" s="41"/>
      <c r="EC153" s="256"/>
      <c r="ED153" s="308"/>
      <c r="EE153" s="308"/>
      <c r="EF153" s="308"/>
      <c r="EG153" s="41"/>
      <c r="EH153" s="41"/>
      <c r="EI153" s="41"/>
      <c r="EJ153" s="69"/>
      <c r="EK153" s="308"/>
      <c r="EL153" s="308"/>
      <c r="EM153" s="308"/>
      <c r="EN153" s="308"/>
      <c r="EO153" s="41"/>
      <c r="EP153" s="41"/>
      <c r="EQ153" s="41"/>
      <c r="ER153" s="256"/>
      <c r="ES153" s="293"/>
      <c r="ET153" s="293"/>
      <c r="EU153" s="293"/>
      <c r="EV153" s="293"/>
      <c r="EW153" s="41"/>
      <c r="EX153" s="41"/>
      <c r="EY153" s="41"/>
      <c r="EZ153" s="256"/>
      <c r="FA153" s="308"/>
      <c r="FB153" s="308"/>
      <c r="FC153" s="308"/>
      <c r="FD153" s="308"/>
      <c r="FE153" s="41"/>
      <c r="FF153" s="41"/>
      <c r="FG153" s="41"/>
      <c r="FH153" s="256"/>
      <c r="FI153" s="41"/>
      <c r="FJ153" s="41"/>
      <c r="FK153" s="41"/>
      <c r="FL153" s="276"/>
    </row>
    <row r="154" spans="1:168" ht="34.5">
      <c r="A154" s="45">
        <v>147</v>
      </c>
      <c r="B154" s="45" t="s">
        <v>210</v>
      </c>
      <c r="C154" s="45">
        <v>4</v>
      </c>
      <c r="D154" s="29" t="s">
        <v>115</v>
      </c>
      <c r="E154" s="30">
        <v>123</v>
      </c>
      <c r="F154" s="30">
        <v>6</v>
      </c>
      <c r="G154" s="246">
        <f>74999.184/1000</f>
        <v>74.999184</v>
      </c>
      <c r="H154" s="45">
        <v>21211.475999999999</v>
      </c>
      <c r="I154" s="45">
        <v>53787.707999999991</v>
      </c>
      <c r="J154" s="397">
        <v>263.21013000000005</v>
      </c>
      <c r="K154" s="495">
        <f t="shared" si="15"/>
        <v>338.20931400000006</v>
      </c>
      <c r="L154" s="578"/>
      <c r="M154" s="45">
        <f t="shared" si="16"/>
        <v>0</v>
      </c>
      <c r="N154" s="46">
        <f t="shared" si="14"/>
        <v>338.20931400000006</v>
      </c>
      <c r="O154" s="46">
        <f t="shared" si="19"/>
        <v>110</v>
      </c>
      <c r="P154" s="234" t="s">
        <v>226</v>
      </c>
      <c r="Q154" s="46">
        <v>2</v>
      </c>
      <c r="R154" s="450" t="s">
        <v>899</v>
      </c>
      <c r="S154" s="257">
        <f>90000+20000</f>
        <v>110000</v>
      </c>
      <c r="T154" s="46"/>
      <c r="U154" s="46"/>
      <c r="V154" s="46"/>
      <c r="W154" s="46"/>
      <c r="X154" s="196"/>
      <c r="Y154" s="46"/>
      <c r="Z154" s="46"/>
      <c r="AA154" s="46"/>
      <c r="AB154" s="46"/>
      <c r="AC154" s="46"/>
      <c r="AD154" s="46"/>
      <c r="AE154" s="46"/>
      <c r="AF154" s="196"/>
      <c r="AG154" s="46"/>
      <c r="AH154" s="46"/>
      <c r="AI154" s="46"/>
      <c r="AJ154" s="46"/>
      <c r="AK154" s="46"/>
      <c r="AL154" s="46"/>
      <c r="AM154" s="46"/>
      <c r="AN154" s="196"/>
      <c r="AO154" s="438"/>
      <c r="AP154" s="46"/>
      <c r="AQ154" s="368"/>
      <c r="AR154" s="257"/>
      <c r="AS154" s="196"/>
      <c r="AT154" s="46"/>
      <c r="AU154" s="46"/>
      <c r="AV154" s="196"/>
      <c r="AW154" s="257"/>
      <c r="AX154" s="196"/>
      <c r="AY154" s="191"/>
      <c r="AZ154" s="257"/>
      <c r="BA154" s="196"/>
      <c r="BB154" s="46"/>
      <c r="BC154" s="257"/>
      <c r="BD154" s="196"/>
      <c r="BE154" s="191"/>
      <c r="BF154" s="46"/>
      <c r="BG154" s="196"/>
      <c r="BH154" s="46"/>
      <c r="BI154" s="257"/>
      <c r="BJ154" s="196"/>
      <c r="BK154" s="191"/>
      <c r="BL154" s="257"/>
      <c r="BM154" s="196"/>
      <c r="BN154" s="46"/>
      <c r="BO154" s="257"/>
      <c r="BP154" s="196"/>
      <c r="BQ154" s="190"/>
      <c r="BR154" s="46"/>
      <c r="BS154" s="196"/>
      <c r="BT154" s="46"/>
      <c r="BU154" s="257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196"/>
      <c r="CI154" s="46"/>
      <c r="CJ154" s="46"/>
      <c r="CK154" s="46"/>
      <c r="CL154" s="46"/>
      <c r="CM154" s="46"/>
      <c r="CN154" s="196"/>
      <c r="CO154" s="191"/>
      <c r="CP154" s="257"/>
      <c r="CQ154" s="196"/>
      <c r="CR154" s="167"/>
      <c r="CS154" s="257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191"/>
      <c r="DN154" s="46"/>
      <c r="DO154" s="196"/>
      <c r="DP154" s="221"/>
      <c r="DQ154" s="257">
        <f t="shared" si="17"/>
        <v>0</v>
      </c>
      <c r="DR154" s="296"/>
      <c r="DS154" s="295"/>
      <c r="DT154" s="386">
        <f t="shared" si="18"/>
        <v>0</v>
      </c>
      <c r="DU154" s="41"/>
      <c r="DV154" s="41"/>
      <c r="DW154" s="256"/>
      <c r="DX154" s="41"/>
      <c r="DY154" s="41"/>
      <c r="DZ154" s="68"/>
      <c r="EA154" s="41"/>
      <c r="EB154" s="41"/>
      <c r="EC154" s="256"/>
      <c r="ED154" s="308"/>
      <c r="EE154" s="308"/>
      <c r="EF154" s="308"/>
      <c r="EG154" s="41"/>
      <c r="EH154" s="41"/>
      <c r="EI154" s="41"/>
      <c r="EJ154" s="69"/>
      <c r="EK154" s="308"/>
      <c r="EL154" s="308"/>
      <c r="EM154" s="308"/>
      <c r="EN154" s="308"/>
      <c r="EO154" s="41"/>
      <c r="EP154" s="41"/>
      <c r="EQ154" s="41"/>
      <c r="ER154" s="256"/>
      <c r="ES154" s="293"/>
      <c r="ET154" s="293"/>
      <c r="EU154" s="293"/>
      <c r="EV154" s="293"/>
      <c r="EW154" s="41"/>
      <c r="EX154" s="41"/>
      <c r="EY154" s="41"/>
      <c r="EZ154" s="256"/>
      <c r="FA154" s="308"/>
      <c r="FB154" s="308"/>
      <c r="FC154" s="308"/>
      <c r="FD154" s="308"/>
      <c r="FE154" s="41"/>
      <c r="FF154" s="41"/>
      <c r="FG154" s="41"/>
      <c r="FH154" s="256"/>
      <c r="FI154" s="41"/>
      <c r="FJ154" s="41"/>
      <c r="FK154" s="41"/>
      <c r="FL154" s="276"/>
    </row>
    <row r="155" spans="1:168" ht="20.25">
      <c r="A155" s="45">
        <v>148</v>
      </c>
      <c r="B155" s="45" t="s">
        <v>210</v>
      </c>
      <c r="C155" s="45">
        <v>4</v>
      </c>
      <c r="D155" s="29" t="s">
        <v>115</v>
      </c>
      <c r="E155" s="30">
        <v>125</v>
      </c>
      <c r="F155" s="30">
        <v>6</v>
      </c>
      <c r="G155" s="246">
        <f>41524.8479999999/1000</f>
        <v>41.524847999999906</v>
      </c>
      <c r="H155" s="45">
        <v>11744.172</v>
      </c>
      <c r="I155" s="45">
        <v>29780.676000000007</v>
      </c>
      <c r="J155" s="397">
        <v>188.73237999999998</v>
      </c>
      <c r="K155" s="495">
        <f t="shared" si="15"/>
        <v>230.25722799999988</v>
      </c>
      <c r="L155" s="578"/>
      <c r="M155" s="45">
        <f t="shared" si="16"/>
        <v>0</v>
      </c>
      <c r="N155" s="46">
        <f t="shared" si="14"/>
        <v>230.25722799999988</v>
      </c>
      <c r="O155" s="46">
        <f t="shared" si="19"/>
        <v>210.1</v>
      </c>
      <c r="P155" s="234"/>
      <c r="Q155" s="46"/>
      <c r="R155" s="450"/>
      <c r="S155" s="257"/>
      <c r="T155" s="46"/>
      <c r="U155" s="46"/>
      <c r="V155" s="46"/>
      <c r="W155" s="46"/>
      <c r="X155" s="196"/>
      <c r="Y155" s="46"/>
      <c r="Z155" s="46"/>
      <c r="AA155" s="46"/>
      <c r="AB155" s="46"/>
      <c r="AC155" s="46"/>
      <c r="AD155" s="46"/>
      <c r="AE155" s="46"/>
      <c r="AF155" s="196"/>
      <c r="AG155" s="46"/>
      <c r="AH155" s="46"/>
      <c r="AI155" s="46"/>
      <c r="AJ155" s="46"/>
      <c r="AK155" s="46"/>
      <c r="AL155" s="46"/>
      <c r="AM155" s="46"/>
      <c r="AN155" s="196" t="s">
        <v>254</v>
      </c>
      <c r="AO155" s="438" t="s">
        <v>335</v>
      </c>
      <c r="AP155" s="46">
        <v>60</v>
      </c>
      <c r="AQ155" s="368" t="s">
        <v>227</v>
      </c>
      <c r="AR155" s="257">
        <f>AP155*1300</f>
        <v>78000</v>
      </c>
      <c r="AS155" s="196"/>
      <c r="AT155" s="46"/>
      <c r="AU155" s="46"/>
      <c r="AV155" s="196"/>
      <c r="AW155" s="257"/>
      <c r="AX155" s="196"/>
      <c r="AY155" s="191"/>
      <c r="AZ155" s="257"/>
      <c r="BA155" s="196"/>
      <c r="BB155" s="46"/>
      <c r="BC155" s="257"/>
      <c r="BD155" s="196"/>
      <c r="BE155" s="191"/>
      <c r="BF155" s="46"/>
      <c r="BG155" s="196"/>
      <c r="BH155" s="46"/>
      <c r="BI155" s="257"/>
      <c r="BJ155" s="196"/>
      <c r="BK155" s="191"/>
      <c r="BL155" s="257"/>
      <c r="BM155" s="196"/>
      <c r="BN155" s="46"/>
      <c r="BO155" s="257"/>
      <c r="BP155" s="196"/>
      <c r="BQ155" s="190"/>
      <c r="BR155" s="46"/>
      <c r="BS155" s="196"/>
      <c r="BT155" s="46"/>
      <c r="BU155" s="257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196" t="s">
        <v>249</v>
      </c>
      <c r="CI155" s="46">
        <v>7</v>
      </c>
      <c r="CJ155" s="46">
        <f>CI155*7500</f>
        <v>52500</v>
      </c>
      <c r="CK155" s="46"/>
      <c r="CL155" s="46"/>
      <c r="CM155" s="46"/>
      <c r="CN155" s="196"/>
      <c r="CO155" s="191"/>
      <c r="CP155" s="257"/>
      <c r="CQ155" s="196"/>
      <c r="CR155" s="167"/>
      <c r="CS155" s="257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191"/>
      <c r="DN155" s="46"/>
      <c r="DO155" s="196"/>
      <c r="DP155" s="221" t="s">
        <v>900</v>
      </c>
      <c r="DQ155" s="257">
        <f>DW155+EC155+EJ155+ER155+EZ155+FH155+30000</f>
        <v>79600</v>
      </c>
      <c r="DR155" s="294"/>
      <c r="DS155" s="295"/>
      <c r="DT155" s="386">
        <f t="shared" si="18"/>
        <v>0</v>
      </c>
      <c r="DU155" s="41"/>
      <c r="DV155" s="41"/>
      <c r="DW155" s="256"/>
      <c r="DX155" s="41"/>
      <c r="DY155" s="41"/>
      <c r="DZ155" s="68"/>
      <c r="EA155" s="41">
        <v>8</v>
      </c>
      <c r="EB155" s="41">
        <v>62</v>
      </c>
      <c r="EC155" s="256">
        <f>EB155*800</f>
        <v>49600</v>
      </c>
      <c r="ED155" s="308"/>
      <c r="EE155" s="308"/>
      <c r="EF155" s="308"/>
      <c r="EG155" s="41"/>
      <c r="EH155" s="41"/>
      <c r="EI155" s="41"/>
      <c r="EJ155" s="69"/>
      <c r="EK155" s="308"/>
      <c r="EL155" s="308"/>
      <c r="EM155" s="308"/>
      <c r="EN155" s="308"/>
      <c r="EO155" s="41"/>
      <c r="EP155" s="41"/>
      <c r="EQ155" s="41"/>
      <c r="ER155" s="256"/>
      <c r="ES155" s="293"/>
      <c r="ET155" s="293"/>
      <c r="EU155" s="293"/>
      <c r="EV155" s="293"/>
      <c r="EW155" s="41"/>
      <c r="EX155" s="41"/>
      <c r="EY155" s="41"/>
      <c r="EZ155" s="256"/>
      <c r="FA155" s="308"/>
      <c r="FB155" s="308"/>
      <c r="FC155" s="308"/>
      <c r="FD155" s="308"/>
      <c r="FE155" s="41"/>
      <c r="FF155" s="41"/>
      <c r="FG155" s="41"/>
      <c r="FH155" s="256"/>
      <c r="FI155" s="41"/>
      <c r="FJ155" s="41"/>
      <c r="FK155" s="41"/>
      <c r="FL155" s="276"/>
    </row>
    <row r="156" spans="1:168">
      <c r="A156" s="45">
        <v>149</v>
      </c>
      <c r="B156" s="45" t="s">
        <v>210</v>
      </c>
      <c r="C156" s="45">
        <v>4</v>
      </c>
      <c r="D156" s="29" t="s">
        <v>115</v>
      </c>
      <c r="E156" s="30">
        <v>127</v>
      </c>
      <c r="F156" s="30">
        <v>6</v>
      </c>
      <c r="G156" s="246">
        <f>84113.592/1000</f>
        <v>84.113592000000011</v>
      </c>
      <c r="H156" s="45">
        <v>23789.238000000005</v>
      </c>
      <c r="I156" s="45">
        <v>60324.354000000007</v>
      </c>
      <c r="J156" s="397">
        <v>281.81045599999999</v>
      </c>
      <c r="K156" s="495">
        <f t="shared" si="15"/>
        <v>365.92404799999997</v>
      </c>
      <c r="L156" s="578"/>
      <c r="M156" s="45">
        <f t="shared" si="16"/>
        <v>0</v>
      </c>
      <c r="N156" s="46">
        <f t="shared" si="14"/>
        <v>365.92404799999997</v>
      </c>
      <c r="O156" s="46">
        <f t="shared" si="19"/>
        <v>165</v>
      </c>
      <c r="P156" s="234" t="s">
        <v>226</v>
      </c>
      <c r="Q156" s="46">
        <v>1</v>
      </c>
      <c r="R156" s="450">
        <v>1</v>
      </c>
      <c r="S156" s="257">
        <v>90000</v>
      </c>
      <c r="T156" s="46"/>
      <c r="U156" s="46"/>
      <c r="V156" s="46"/>
      <c r="W156" s="46"/>
      <c r="X156" s="196"/>
      <c r="Y156" s="46"/>
      <c r="Z156" s="46"/>
      <c r="AA156" s="46"/>
      <c r="AB156" s="46"/>
      <c r="AC156" s="46"/>
      <c r="AD156" s="46"/>
      <c r="AE156" s="46"/>
      <c r="AF156" s="196"/>
      <c r="AG156" s="46"/>
      <c r="AH156" s="46"/>
      <c r="AI156" s="46"/>
      <c r="AJ156" s="46"/>
      <c r="AK156" s="46"/>
      <c r="AL156" s="46"/>
      <c r="AM156" s="46"/>
      <c r="AN156" s="196"/>
      <c r="AO156" s="438"/>
      <c r="AP156" s="46"/>
      <c r="AQ156" s="368"/>
      <c r="AR156" s="257"/>
      <c r="AS156" s="196"/>
      <c r="AT156" s="46"/>
      <c r="AU156" s="46"/>
      <c r="AV156" s="196"/>
      <c r="AW156" s="257"/>
      <c r="AX156" s="196"/>
      <c r="AY156" s="191"/>
      <c r="AZ156" s="257"/>
      <c r="BA156" s="196"/>
      <c r="BB156" s="46"/>
      <c r="BC156" s="257"/>
      <c r="BD156" s="196"/>
      <c r="BE156" s="191"/>
      <c r="BF156" s="46"/>
      <c r="BG156" s="196"/>
      <c r="BH156" s="46"/>
      <c r="BI156" s="257"/>
      <c r="BJ156" s="196"/>
      <c r="BK156" s="191"/>
      <c r="BL156" s="257"/>
      <c r="BM156" s="196"/>
      <c r="BN156" s="46"/>
      <c r="BO156" s="257"/>
      <c r="BP156" s="196"/>
      <c r="BQ156" s="190"/>
      <c r="BR156" s="46"/>
      <c r="BS156" s="196"/>
      <c r="BT156" s="46"/>
      <c r="BU156" s="257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196"/>
      <c r="CI156" s="46"/>
      <c r="CJ156" s="46"/>
      <c r="CK156" s="46"/>
      <c r="CL156" s="46"/>
      <c r="CM156" s="46"/>
      <c r="CN156" s="196" t="s">
        <v>254</v>
      </c>
      <c r="CO156" s="191" t="s">
        <v>522</v>
      </c>
      <c r="CP156" s="257">
        <v>70000</v>
      </c>
      <c r="CQ156" s="196"/>
      <c r="CR156" s="167"/>
      <c r="CS156" s="257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191"/>
      <c r="DN156" s="46"/>
      <c r="DO156" s="196"/>
      <c r="DP156" s="221" t="s">
        <v>815</v>
      </c>
      <c r="DQ156" s="257">
        <f>DW156+EC156+EJ156+ER156+EZ156+FH156+5000</f>
        <v>5000</v>
      </c>
      <c r="DR156" s="294"/>
      <c r="DS156" s="295"/>
      <c r="DT156" s="386">
        <f t="shared" si="18"/>
        <v>0</v>
      </c>
      <c r="DU156" s="41"/>
      <c r="DV156" s="41"/>
      <c r="DW156" s="256"/>
      <c r="DX156" s="41"/>
      <c r="DY156" s="41"/>
      <c r="DZ156" s="68"/>
      <c r="EA156" s="41"/>
      <c r="EB156" s="41"/>
      <c r="EC156" s="256"/>
      <c r="ED156" s="308"/>
      <c r="EE156" s="308"/>
      <c r="EF156" s="308"/>
      <c r="EG156" s="41"/>
      <c r="EH156" s="41"/>
      <c r="EI156" s="41"/>
      <c r="EJ156" s="69"/>
      <c r="EK156" s="308"/>
      <c r="EL156" s="308"/>
      <c r="EM156" s="308"/>
      <c r="EN156" s="308"/>
      <c r="EO156" s="41"/>
      <c r="EP156" s="41"/>
      <c r="EQ156" s="41"/>
      <c r="ER156" s="256"/>
      <c r="ES156" s="293"/>
      <c r="ET156" s="293"/>
      <c r="EU156" s="293"/>
      <c r="EV156" s="293"/>
      <c r="EW156" s="41"/>
      <c r="EX156" s="41"/>
      <c r="EY156" s="41"/>
      <c r="EZ156" s="256"/>
      <c r="FA156" s="308"/>
      <c r="FB156" s="308"/>
      <c r="FC156" s="308"/>
      <c r="FD156" s="308"/>
      <c r="FE156" s="41"/>
      <c r="FF156" s="41"/>
      <c r="FG156" s="41"/>
      <c r="FH156" s="256"/>
      <c r="FI156" s="41"/>
      <c r="FJ156" s="41"/>
      <c r="FK156" s="41"/>
      <c r="FL156" s="276"/>
    </row>
    <row r="157" spans="1:168" ht="30">
      <c r="A157" s="45">
        <v>150</v>
      </c>
      <c r="B157" s="45" t="s">
        <v>210</v>
      </c>
      <c r="C157" s="45">
        <v>4</v>
      </c>
      <c r="D157" s="29" t="s">
        <v>117</v>
      </c>
      <c r="E157" s="30">
        <v>7</v>
      </c>
      <c r="F157" s="30">
        <v>7</v>
      </c>
      <c r="G157" s="246">
        <f>39458.034/1000</f>
        <v>39.458033999999998</v>
      </c>
      <c r="H157" s="45">
        <v>0</v>
      </c>
      <c r="I157" s="45">
        <v>39458.034</v>
      </c>
      <c r="J157" s="397">
        <v>68.488859999999988</v>
      </c>
      <c r="K157" s="495">
        <f t="shared" si="15"/>
        <v>107.94689399999999</v>
      </c>
      <c r="L157" s="578"/>
      <c r="M157" s="45">
        <f t="shared" si="16"/>
        <v>0</v>
      </c>
      <c r="N157" s="46">
        <f t="shared" si="14"/>
        <v>107.94689399999999</v>
      </c>
      <c r="O157" s="46">
        <f t="shared" si="19"/>
        <v>91.8</v>
      </c>
      <c r="P157" s="234"/>
      <c r="Q157" s="46"/>
      <c r="R157" s="450"/>
      <c r="S157" s="257"/>
      <c r="T157" s="46"/>
      <c r="U157" s="46"/>
      <c r="V157" s="46"/>
      <c r="W157" s="46"/>
      <c r="X157" s="196"/>
      <c r="Y157" s="46"/>
      <c r="Z157" s="46"/>
      <c r="AA157" s="46"/>
      <c r="AB157" s="46"/>
      <c r="AC157" s="46"/>
      <c r="AD157" s="46"/>
      <c r="AE157" s="46"/>
      <c r="AF157" s="196"/>
      <c r="AG157" s="46"/>
      <c r="AH157" s="46"/>
      <c r="AI157" s="46"/>
      <c r="AJ157" s="46"/>
      <c r="AK157" s="46"/>
      <c r="AL157" s="46"/>
      <c r="AM157" s="46"/>
      <c r="AN157" s="196"/>
      <c r="AO157" s="438"/>
      <c r="AP157" s="46"/>
      <c r="AQ157" s="368"/>
      <c r="AR157" s="257"/>
      <c r="AS157" s="196"/>
      <c r="AT157" s="46"/>
      <c r="AU157" s="46"/>
      <c r="AV157" s="196"/>
      <c r="AW157" s="257"/>
      <c r="AX157" s="196"/>
      <c r="AY157" s="191"/>
      <c r="AZ157" s="257"/>
      <c r="BA157" s="196"/>
      <c r="BB157" s="46"/>
      <c r="BC157" s="257"/>
      <c r="BD157" s="196"/>
      <c r="BE157" s="191"/>
      <c r="BF157" s="46"/>
      <c r="BG157" s="196"/>
      <c r="BH157" s="46"/>
      <c r="BI157" s="257"/>
      <c r="BJ157" s="196"/>
      <c r="BK157" s="191"/>
      <c r="BL157" s="257"/>
      <c r="BM157" s="196"/>
      <c r="BN157" s="46"/>
      <c r="BO157" s="257"/>
      <c r="BP157" s="196"/>
      <c r="BQ157" s="190"/>
      <c r="BR157" s="46"/>
      <c r="BS157" s="196"/>
      <c r="BT157" s="46"/>
      <c r="BU157" s="257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196"/>
      <c r="CI157" s="46"/>
      <c r="CJ157" s="46"/>
      <c r="CK157" s="46"/>
      <c r="CL157" s="46"/>
      <c r="CM157" s="46"/>
      <c r="CN157" s="196"/>
      <c r="CO157" s="191"/>
      <c r="CP157" s="257"/>
      <c r="CQ157" s="196"/>
      <c r="CR157" s="167"/>
      <c r="CS157" s="257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191"/>
      <c r="DN157" s="46"/>
      <c r="DO157" s="218"/>
      <c r="DP157" s="221" t="s">
        <v>901</v>
      </c>
      <c r="DQ157" s="257">
        <f>DW157+EC157+EJ157+ER157+EZ157+FH157+15000</f>
        <v>91800</v>
      </c>
      <c r="DR157" s="294"/>
      <c r="DS157" s="295"/>
      <c r="DT157" s="386">
        <f t="shared" si="18"/>
        <v>0</v>
      </c>
      <c r="DU157" s="41"/>
      <c r="DV157" s="41"/>
      <c r="DW157" s="256"/>
      <c r="DX157" s="41"/>
      <c r="DY157" s="41"/>
      <c r="DZ157" s="68"/>
      <c r="EA157" s="41">
        <v>8</v>
      </c>
      <c r="EB157" s="41">
        <v>96</v>
      </c>
      <c r="EC157" s="256">
        <f>EB157*800</f>
        <v>76800</v>
      </c>
      <c r="ED157" s="308"/>
      <c r="EE157" s="308"/>
      <c r="EF157" s="308"/>
      <c r="EG157" s="41"/>
      <c r="EH157" s="41"/>
      <c r="EI157" s="41"/>
      <c r="EJ157" s="69"/>
      <c r="EK157" s="308"/>
      <c r="EL157" s="308"/>
      <c r="EM157" s="308"/>
      <c r="EN157" s="308"/>
      <c r="EO157" s="41"/>
      <c r="EP157" s="41"/>
      <c r="EQ157" s="41"/>
      <c r="ER157" s="256"/>
      <c r="ES157" s="293"/>
      <c r="ET157" s="293"/>
      <c r="EU157" s="293"/>
      <c r="EV157" s="293"/>
      <c r="EW157" s="41"/>
      <c r="EX157" s="41"/>
      <c r="EY157" s="41"/>
      <c r="EZ157" s="256"/>
      <c r="FA157" s="308"/>
      <c r="FB157" s="308"/>
      <c r="FC157" s="308"/>
      <c r="FD157" s="308"/>
      <c r="FE157" s="41"/>
      <c r="FF157" s="41"/>
      <c r="FG157" s="41"/>
      <c r="FH157" s="256"/>
      <c r="FI157" s="41"/>
      <c r="FJ157" s="41"/>
      <c r="FK157" s="41"/>
      <c r="FL157" s="276"/>
    </row>
    <row r="158" spans="1:168">
      <c r="A158" s="45">
        <v>151</v>
      </c>
      <c r="B158" s="45" t="s">
        <v>210</v>
      </c>
      <c r="C158" s="45">
        <v>4</v>
      </c>
      <c r="D158" s="29" t="s">
        <v>500</v>
      </c>
      <c r="E158" s="175">
        <v>8</v>
      </c>
      <c r="F158" s="188">
        <v>7</v>
      </c>
      <c r="G158" s="246">
        <f>45199.476/1000</f>
        <v>45.199476000000004</v>
      </c>
      <c r="H158" s="45">
        <v>0</v>
      </c>
      <c r="I158" s="45">
        <v>45199.47600000001</v>
      </c>
      <c r="J158" s="397">
        <v>127.48902600000002</v>
      </c>
      <c r="K158" s="495">
        <f t="shared" si="15"/>
        <v>172.68850200000003</v>
      </c>
      <c r="L158" s="578"/>
      <c r="M158" s="45">
        <f t="shared" si="16"/>
        <v>0</v>
      </c>
      <c r="N158" s="46">
        <f>K158-M158</f>
        <v>172.68850200000003</v>
      </c>
      <c r="O158" s="46">
        <f t="shared" si="19"/>
        <v>9.6</v>
      </c>
      <c r="P158" s="234"/>
      <c r="Q158" s="46"/>
      <c r="R158" s="450"/>
      <c r="S158" s="257"/>
      <c r="T158" s="46"/>
      <c r="U158" s="46"/>
      <c r="V158" s="46"/>
      <c r="W158" s="46"/>
      <c r="X158" s="196"/>
      <c r="Y158" s="46"/>
      <c r="Z158" s="46"/>
      <c r="AA158" s="46"/>
      <c r="AB158" s="46"/>
      <c r="AC158" s="46"/>
      <c r="AD158" s="46"/>
      <c r="AE158" s="46"/>
      <c r="AF158" s="196"/>
      <c r="AG158" s="46"/>
      <c r="AH158" s="46"/>
      <c r="AI158" s="46"/>
      <c r="AJ158" s="46"/>
      <c r="AK158" s="46"/>
      <c r="AL158" s="46"/>
      <c r="AM158" s="46"/>
      <c r="AN158" s="196"/>
      <c r="AO158" s="438"/>
      <c r="AP158" s="46"/>
      <c r="AQ158" s="368"/>
      <c r="AR158" s="257"/>
      <c r="AS158" s="196"/>
      <c r="AT158" s="46"/>
      <c r="AU158" s="46"/>
      <c r="AV158" s="196"/>
      <c r="AW158" s="257"/>
      <c r="AX158" s="196" t="s">
        <v>254</v>
      </c>
      <c r="AY158" s="191" t="s">
        <v>888</v>
      </c>
      <c r="AZ158" s="257">
        <f>3*2000</f>
        <v>6000</v>
      </c>
      <c r="BA158" s="196"/>
      <c r="BB158" s="46"/>
      <c r="BC158" s="257"/>
      <c r="BD158" s="196"/>
      <c r="BE158" s="191"/>
      <c r="BF158" s="46"/>
      <c r="BG158" s="196"/>
      <c r="BH158" s="46"/>
      <c r="BI158" s="257"/>
      <c r="BJ158" s="196"/>
      <c r="BK158" s="191"/>
      <c r="BL158" s="257"/>
      <c r="BM158" s="196"/>
      <c r="BN158" s="46"/>
      <c r="BO158" s="257"/>
      <c r="BP158" s="196" t="s">
        <v>250</v>
      </c>
      <c r="BQ158" s="190" t="s">
        <v>902</v>
      </c>
      <c r="BR158" s="257">
        <f>3*1200</f>
        <v>3600</v>
      </c>
      <c r="BS158" s="196"/>
      <c r="BT158" s="46"/>
      <c r="BU158" s="257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196"/>
      <c r="CI158" s="46"/>
      <c r="CJ158" s="46"/>
      <c r="CK158" s="46"/>
      <c r="CL158" s="46"/>
      <c r="CM158" s="46"/>
      <c r="CN158" s="196"/>
      <c r="CO158" s="191"/>
      <c r="CP158" s="257"/>
      <c r="CQ158" s="196"/>
      <c r="CR158" s="167"/>
      <c r="CS158" s="257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191"/>
      <c r="DN158" s="46"/>
      <c r="DO158" s="196"/>
      <c r="DP158" s="221"/>
      <c r="DQ158" s="257">
        <f t="shared" si="17"/>
        <v>0</v>
      </c>
      <c r="DR158" s="294"/>
      <c r="DS158" s="295"/>
      <c r="DT158" s="386">
        <f t="shared" si="18"/>
        <v>0</v>
      </c>
      <c r="DU158" s="41"/>
      <c r="DV158" s="41"/>
      <c r="DW158" s="256"/>
      <c r="DX158" s="41"/>
      <c r="DY158" s="41"/>
      <c r="DZ158" s="68"/>
      <c r="EA158" s="41"/>
      <c r="EB158" s="41"/>
      <c r="EC158" s="256"/>
      <c r="ED158" s="308"/>
      <c r="EE158" s="308"/>
      <c r="EF158" s="308"/>
      <c r="EG158" s="41"/>
      <c r="EH158" s="41"/>
      <c r="EI158" s="41"/>
      <c r="EJ158" s="69"/>
      <c r="EK158" s="308"/>
      <c r="EL158" s="308"/>
      <c r="EM158" s="308"/>
      <c r="EN158" s="308"/>
      <c r="EO158" s="41"/>
      <c r="EP158" s="41"/>
      <c r="EQ158" s="41"/>
      <c r="ER158" s="256"/>
      <c r="ES158" s="293"/>
      <c r="ET158" s="293"/>
      <c r="EU158" s="293"/>
      <c r="EV158" s="293"/>
      <c r="EW158" s="41"/>
      <c r="EX158" s="41"/>
      <c r="EY158" s="41"/>
      <c r="EZ158" s="256"/>
      <c r="FA158" s="308"/>
      <c r="FB158" s="308"/>
      <c r="FC158" s="308"/>
      <c r="FD158" s="308"/>
      <c r="FE158" s="41"/>
      <c r="FF158" s="41"/>
      <c r="FG158" s="41"/>
      <c r="FH158" s="256"/>
      <c r="FI158" s="41"/>
      <c r="FJ158" s="41"/>
      <c r="FK158" s="41"/>
      <c r="FL158" s="276"/>
    </row>
    <row r="159" spans="1:168" ht="20.25">
      <c r="A159" s="45">
        <v>152</v>
      </c>
      <c r="B159" s="45" t="s">
        <v>210</v>
      </c>
      <c r="C159" s="45">
        <v>5</v>
      </c>
      <c r="D159" s="29" t="s">
        <v>118</v>
      </c>
      <c r="E159" s="30" t="s">
        <v>119</v>
      </c>
      <c r="F159" s="30">
        <v>5</v>
      </c>
      <c r="G159" s="246">
        <f>61155.864/1000</f>
        <v>61.155864000000001</v>
      </c>
      <c r="H159" s="45">
        <v>61155.864000000001</v>
      </c>
      <c r="I159" s="45">
        <v>0</v>
      </c>
      <c r="J159" s="397">
        <v>180.28477999999998</v>
      </c>
      <c r="K159" s="495">
        <f t="shared" si="15"/>
        <v>241.44064399999999</v>
      </c>
      <c r="L159" s="578"/>
      <c r="M159" s="45">
        <f t="shared" si="16"/>
        <v>0</v>
      </c>
      <c r="N159" s="46">
        <f t="shared" si="14"/>
        <v>241.44064399999999</v>
      </c>
      <c r="O159" s="46">
        <f t="shared" si="19"/>
        <v>206.8</v>
      </c>
      <c r="P159" s="234" t="s">
        <v>226</v>
      </c>
      <c r="Q159" s="46">
        <v>1</v>
      </c>
      <c r="R159" s="450">
        <v>2</v>
      </c>
      <c r="S159" s="257">
        <v>90000</v>
      </c>
      <c r="T159" s="46"/>
      <c r="U159" s="46"/>
      <c r="V159" s="46"/>
      <c r="W159" s="46"/>
      <c r="X159" s="196"/>
      <c r="Y159" s="46"/>
      <c r="Z159" s="46"/>
      <c r="AA159" s="46"/>
      <c r="AB159" s="46"/>
      <c r="AC159" s="46"/>
      <c r="AD159" s="46"/>
      <c r="AE159" s="46"/>
      <c r="AF159" s="196"/>
      <c r="AG159" s="46"/>
      <c r="AH159" s="46"/>
      <c r="AI159" s="46"/>
      <c r="AJ159" s="46"/>
      <c r="AK159" s="46"/>
      <c r="AL159" s="46"/>
      <c r="AM159" s="46"/>
      <c r="AN159" s="196"/>
      <c r="AO159" s="438"/>
      <c r="AP159" s="46"/>
      <c r="AQ159" s="368"/>
      <c r="AR159" s="257"/>
      <c r="AS159" s="196"/>
      <c r="AT159" s="46"/>
      <c r="AU159" s="46"/>
      <c r="AV159" s="196"/>
      <c r="AW159" s="257"/>
      <c r="AX159" s="196"/>
      <c r="AY159" s="191"/>
      <c r="AZ159" s="257"/>
      <c r="BA159" s="196"/>
      <c r="BB159" s="46"/>
      <c r="BC159" s="257"/>
      <c r="BD159" s="196"/>
      <c r="BE159" s="191"/>
      <c r="BF159" s="46"/>
      <c r="BG159" s="196"/>
      <c r="BH159" s="46"/>
      <c r="BI159" s="257"/>
      <c r="BJ159" s="196"/>
      <c r="BK159" s="190"/>
      <c r="BL159" s="257"/>
      <c r="BM159" s="196"/>
      <c r="BN159" s="46"/>
      <c r="BO159" s="257"/>
      <c r="BP159" s="196"/>
      <c r="BQ159" s="190"/>
      <c r="BR159" s="46"/>
      <c r="BS159" s="196"/>
      <c r="BT159" s="46"/>
      <c r="BU159" s="257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196"/>
      <c r="CI159" s="46"/>
      <c r="CJ159" s="46"/>
      <c r="CK159" s="46"/>
      <c r="CL159" s="46"/>
      <c r="CM159" s="46"/>
      <c r="CN159" s="196"/>
      <c r="CO159" s="191"/>
      <c r="CP159" s="257"/>
      <c r="CQ159" s="196"/>
      <c r="CR159" s="167"/>
      <c r="CS159" s="257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191"/>
      <c r="DN159" s="46"/>
      <c r="DO159" s="218"/>
      <c r="DP159" s="221" t="s">
        <v>903</v>
      </c>
      <c r="DQ159" s="257">
        <f t="shared" si="17"/>
        <v>116800</v>
      </c>
      <c r="DR159" s="294"/>
      <c r="DS159" s="295"/>
      <c r="DT159" s="386">
        <f t="shared" si="18"/>
        <v>0</v>
      </c>
      <c r="DU159" s="41"/>
      <c r="DV159" s="41"/>
      <c r="DW159" s="256"/>
      <c r="DX159" s="41"/>
      <c r="DY159" s="41"/>
      <c r="DZ159" s="68"/>
      <c r="EA159" s="41">
        <v>4</v>
      </c>
      <c r="EB159" s="41">
        <v>96</v>
      </c>
      <c r="EC159" s="256">
        <f>EB159*800</f>
        <v>76800</v>
      </c>
      <c r="ED159" s="308"/>
      <c r="EE159" s="308"/>
      <c r="EF159" s="308"/>
      <c r="EG159" s="41"/>
      <c r="EH159" s="41"/>
      <c r="EI159" s="41"/>
      <c r="EJ159" s="69"/>
      <c r="EK159" s="308"/>
      <c r="EL159" s="308"/>
      <c r="EM159" s="308"/>
      <c r="EN159" s="308"/>
      <c r="EO159" s="41">
        <v>4</v>
      </c>
      <c r="EP159" s="41">
        <v>2</v>
      </c>
      <c r="EQ159" s="41">
        <v>1.2</v>
      </c>
      <c r="ER159" s="256">
        <v>40000</v>
      </c>
      <c r="ES159" s="293"/>
      <c r="ET159" s="293"/>
      <c r="EU159" s="293"/>
      <c r="EV159" s="293"/>
      <c r="EW159" s="41"/>
      <c r="EX159" s="41"/>
      <c r="EY159" s="41"/>
      <c r="EZ159" s="256"/>
      <c r="FA159" s="308"/>
      <c r="FB159" s="308"/>
      <c r="FC159" s="308"/>
      <c r="FD159" s="308"/>
      <c r="FE159" s="46"/>
      <c r="FF159" s="41"/>
      <c r="FG159" s="41"/>
      <c r="FH159" s="256"/>
      <c r="FI159" s="41"/>
      <c r="FJ159" s="41"/>
      <c r="FK159" s="41"/>
      <c r="FL159" s="276"/>
    </row>
    <row r="160" spans="1:168">
      <c r="A160" s="45">
        <v>153</v>
      </c>
      <c r="B160" s="45" t="s">
        <v>210</v>
      </c>
      <c r="C160" s="45">
        <v>5</v>
      </c>
      <c r="D160" s="29" t="s">
        <v>118</v>
      </c>
      <c r="E160" s="30">
        <v>34</v>
      </c>
      <c r="F160" s="30">
        <v>5</v>
      </c>
      <c r="G160" s="246">
        <f>51326.352/1000</f>
        <v>51.326352</v>
      </c>
      <c r="H160" s="45">
        <v>51326.351999999999</v>
      </c>
      <c r="I160" s="45">
        <v>0</v>
      </c>
      <c r="J160" s="397">
        <v>87.483639999999994</v>
      </c>
      <c r="K160" s="495">
        <f t="shared" si="15"/>
        <v>138.80999199999999</v>
      </c>
      <c r="L160" s="578"/>
      <c r="M160" s="45">
        <f t="shared" si="16"/>
        <v>77.789090000000002</v>
      </c>
      <c r="N160" s="46">
        <f t="shared" si="14"/>
        <v>61.020901999999992</v>
      </c>
      <c r="O160" s="46">
        <f t="shared" si="19"/>
        <v>90</v>
      </c>
      <c r="P160" s="234" t="s">
        <v>523</v>
      </c>
      <c r="Q160" s="46">
        <v>1</v>
      </c>
      <c r="R160" s="450">
        <v>2</v>
      </c>
      <c r="S160" s="257">
        <v>90000</v>
      </c>
      <c r="T160" s="46">
        <v>1</v>
      </c>
      <c r="U160" s="46">
        <v>1</v>
      </c>
      <c r="V160" s="46">
        <v>2</v>
      </c>
      <c r="W160" s="46">
        <f>77789.09</f>
        <v>77789.09</v>
      </c>
      <c r="X160" s="196"/>
      <c r="Y160" s="46"/>
      <c r="Z160" s="46"/>
      <c r="AA160" s="46"/>
      <c r="AB160" s="46"/>
      <c r="AC160" s="46"/>
      <c r="AD160" s="46"/>
      <c r="AE160" s="46"/>
      <c r="AF160" s="196"/>
      <c r="AG160" s="46"/>
      <c r="AH160" s="46"/>
      <c r="AI160" s="46"/>
      <c r="AJ160" s="46"/>
      <c r="AK160" s="46"/>
      <c r="AL160" s="46"/>
      <c r="AM160" s="46"/>
      <c r="AN160" s="196"/>
      <c r="AO160" s="438"/>
      <c r="AP160" s="46"/>
      <c r="AQ160" s="368"/>
      <c r="AR160" s="257"/>
      <c r="AS160" s="196"/>
      <c r="AT160" s="46"/>
      <c r="AU160" s="46"/>
      <c r="AV160" s="196"/>
      <c r="AW160" s="257"/>
      <c r="AX160" s="196"/>
      <c r="AY160" s="191"/>
      <c r="AZ160" s="257"/>
      <c r="BA160" s="196"/>
      <c r="BB160" s="46"/>
      <c r="BC160" s="257"/>
      <c r="BD160" s="196"/>
      <c r="BE160" s="191"/>
      <c r="BF160" s="46"/>
      <c r="BG160" s="196"/>
      <c r="BH160" s="46"/>
      <c r="BI160" s="257"/>
      <c r="BJ160" s="196"/>
      <c r="BK160" s="190"/>
      <c r="BL160" s="257"/>
      <c r="BM160" s="196"/>
      <c r="BN160" s="46"/>
      <c r="BO160" s="257"/>
      <c r="BP160" s="196"/>
      <c r="BQ160" s="190"/>
      <c r="BR160" s="46"/>
      <c r="BS160" s="196"/>
      <c r="BT160" s="46"/>
      <c r="BU160" s="257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196"/>
      <c r="CI160" s="46"/>
      <c r="CJ160" s="46"/>
      <c r="CK160" s="46"/>
      <c r="CL160" s="46"/>
      <c r="CM160" s="46"/>
      <c r="CN160" s="196"/>
      <c r="CO160" s="191"/>
      <c r="CP160" s="257"/>
      <c r="CQ160" s="196"/>
      <c r="CR160" s="167"/>
      <c r="CS160" s="257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191"/>
      <c r="DN160" s="46"/>
      <c r="DO160" s="218"/>
      <c r="DP160" s="221"/>
      <c r="DQ160" s="257">
        <f t="shared" si="17"/>
        <v>0</v>
      </c>
      <c r="DR160" s="294"/>
      <c r="DS160" s="295"/>
      <c r="DT160" s="386">
        <f t="shared" si="18"/>
        <v>0</v>
      </c>
      <c r="DU160" s="41"/>
      <c r="DV160" s="41"/>
      <c r="DW160" s="256"/>
      <c r="DX160" s="41"/>
      <c r="DY160" s="41"/>
      <c r="DZ160" s="68"/>
      <c r="EA160" s="41"/>
      <c r="EB160" s="41"/>
      <c r="EC160" s="256"/>
      <c r="ED160" s="308"/>
      <c r="EE160" s="308"/>
      <c r="EF160" s="308"/>
      <c r="EG160" s="41"/>
      <c r="EH160" s="41"/>
      <c r="EI160" s="41"/>
      <c r="EJ160" s="69"/>
      <c r="EK160" s="308"/>
      <c r="EL160" s="308"/>
      <c r="EM160" s="308"/>
      <c r="EN160" s="308"/>
      <c r="EO160" s="41"/>
      <c r="EP160" s="41"/>
      <c r="EQ160" s="41"/>
      <c r="ER160" s="256"/>
      <c r="ES160" s="293"/>
      <c r="ET160" s="293"/>
      <c r="EU160" s="293"/>
      <c r="EV160" s="293"/>
      <c r="EW160" s="41"/>
      <c r="EX160" s="41"/>
      <c r="EY160" s="41"/>
      <c r="EZ160" s="256"/>
      <c r="FA160" s="308"/>
      <c r="FB160" s="308"/>
      <c r="FC160" s="308"/>
      <c r="FD160" s="308"/>
      <c r="FE160" s="46"/>
      <c r="FF160" s="41"/>
      <c r="FG160" s="41"/>
      <c r="FH160" s="256"/>
      <c r="FI160" s="41"/>
      <c r="FJ160" s="41"/>
      <c r="FK160" s="41"/>
      <c r="FL160" s="276"/>
    </row>
    <row r="161" spans="1:168">
      <c r="A161" s="45">
        <v>154</v>
      </c>
      <c r="B161" s="45" t="s">
        <v>210</v>
      </c>
      <c r="C161" s="45">
        <v>5</v>
      </c>
      <c r="D161" s="29" t="s">
        <v>118</v>
      </c>
      <c r="E161" s="30">
        <v>35</v>
      </c>
      <c r="F161" s="30">
        <v>7</v>
      </c>
      <c r="G161" s="246">
        <f>75611.34/1000</f>
        <v>75.611339999999998</v>
      </c>
      <c r="H161" s="45">
        <v>0</v>
      </c>
      <c r="I161" s="45">
        <v>75611.34</v>
      </c>
      <c r="J161" s="397">
        <v>117.86040999999997</v>
      </c>
      <c r="K161" s="495">
        <f t="shared" si="15"/>
        <v>193.47174999999999</v>
      </c>
      <c r="L161" s="578"/>
      <c r="M161" s="45">
        <f t="shared" si="16"/>
        <v>0</v>
      </c>
      <c r="N161" s="46">
        <f t="shared" si="14"/>
        <v>193.47174999999999</v>
      </c>
      <c r="O161" s="46">
        <f t="shared" si="19"/>
        <v>180</v>
      </c>
      <c r="P161" s="234" t="s">
        <v>229</v>
      </c>
      <c r="Q161" s="46">
        <v>2</v>
      </c>
      <c r="R161" s="450">
        <v>1.2</v>
      </c>
      <c r="S161" s="257">
        <f>2*90000</f>
        <v>180000</v>
      </c>
      <c r="T161" s="46"/>
      <c r="U161" s="46"/>
      <c r="V161" s="46"/>
      <c r="W161" s="46"/>
      <c r="X161" s="196"/>
      <c r="Y161" s="46"/>
      <c r="Z161" s="46"/>
      <c r="AA161" s="46"/>
      <c r="AB161" s="46"/>
      <c r="AC161" s="46"/>
      <c r="AD161" s="46"/>
      <c r="AE161" s="46"/>
      <c r="AF161" s="196"/>
      <c r="AG161" s="46"/>
      <c r="AH161" s="46"/>
      <c r="AI161" s="46"/>
      <c r="AJ161" s="46"/>
      <c r="AK161" s="46"/>
      <c r="AL161" s="46"/>
      <c r="AM161" s="46"/>
      <c r="AN161" s="196"/>
      <c r="AO161" s="438"/>
      <c r="AP161" s="46"/>
      <c r="AQ161" s="368"/>
      <c r="AR161" s="257"/>
      <c r="AS161" s="196"/>
      <c r="AT161" s="46"/>
      <c r="AU161" s="46"/>
      <c r="AV161" s="196"/>
      <c r="AW161" s="257"/>
      <c r="AX161" s="196"/>
      <c r="AY161" s="191"/>
      <c r="AZ161" s="257"/>
      <c r="BA161" s="196"/>
      <c r="BB161" s="46"/>
      <c r="BC161" s="257"/>
      <c r="BD161" s="196"/>
      <c r="BE161" s="191"/>
      <c r="BF161" s="46"/>
      <c r="BG161" s="196"/>
      <c r="BH161" s="46"/>
      <c r="BI161" s="257"/>
      <c r="BJ161" s="196"/>
      <c r="BK161" s="190"/>
      <c r="BL161" s="257"/>
      <c r="BM161" s="196"/>
      <c r="BN161" s="46"/>
      <c r="BO161" s="257"/>
      <c r="BP161" s="196"/>
      <c r="BQ161" s="190"/>
      <c r="BR161" s="46"/>
      <c r="BS161" s="196"/>
      <c r="BT161" s="46"/>
      <c r="BU161" s="257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196"/>
      <c r="CI161" s="46"/>
      <c r="CJ161" s="46"/>
      <c r="CK161" s="46"/>
      <c r="CL161" s="46"/>
      <c r="CM161" s="46"/>
      <c r="CN161" s="196"/>
      <c r="CO161" s="191"/>
      <c r="CP161" s="257"/>
      <c r="CQ161" s="196"/>
      <c r="CR161" s="167"/>
      <c r="CS161" s="257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191"/>
      <c r="DN161" s="46"/>
      <c r="DO161" s="196"/>
      <c r="DP161" s="221"/>
      <c r="DQ161" s="257">
        <f t="shared" si="17"/>
        <v>0</v>
      </c>
      <c r="DR161" s="294"/>
      <c r="DS161" s="295"/>
      <c r="DT161" s="386">
        <f t="shared" si="18"/>
        <v>0</v>
      </c>
      <c r="DU161" s="41"/>
      <c r="DV161" s="41"/>
      <c r="DW161" s="256"/>
      <c r="DX161" s="41"/>
      <c r="DY161" s="41"/>
      <c r="DZ161" s="68"/>
      <c r="EA161" s="41"/>
      <c r="EB161" s="41"/>
      <c r="EC161" s="256"/>
      <c r="ED161" s="308"/>
      <c r="EE161" s="308"/>
      <c r="EF161" s="308"/>
      <c r="EG161" s="41"/>
      <c r="EH161" s="41"/>
      <c r="EI161" s="41"/>
      <c r="EJ161" s="69"/>
      <c r="EK161" s="308"/>
      <c r="EL161" s="308"/>
      <c r="EM161" s="308"/>
      <c r="EN161" s="308"/>
      <c r="EO161" s="41"/>
      <c r="EP161" s="41"/>
      <c r="EQ161" s="41"/>
      <c r="ER161" s="256"/>
      <c r="ES161" s="293"/>
      <c r="ET161" s="293"/>
      <c r="EU161" s="293"/>
      <c r="EV161" s="293"/>
      <c r="EW161" s="41"/>
      <c r="EX161" s="41"/>
      <c r="EY161" s="41"/>
      <c r="EZ161" s="256"/>
      <c r="FA161" s="308"/>
      <c r="FB161" s="308"/>
      <c r="FC161" s="308"/>
      <c r="FD161" s="308"/>
      <c r="FE161" s="41"/>
      <c r="FF161" s="41"/>
      <c r="FG161" s="41"/>
      <c r="FH161" s="256"/>
      <c r="FI161" s="41"/>
      <c r="FJ161" s="41"/>
      <c r="FK161" s="41"/>
      <c r="FL161" s="276"/>
    </row>
    <row r="162" spans="1:168">
      <c r="A162" s="45">
        <v>155</v>
      </c>
      <c r="B162" s="45" t="s">
        <v>210</v>
      </c>
      <c r="C162" s="45">
        <v>5</v>
      </c>
      <c r="D162" s="29" t="s">
        <v>118</v>
      </c>
      <c r="E162" s="30">
        <v>36</v>
      </c>
      <c r="F162" s="30">
        <v>5</v>
      </c>
      <c r="G162" s="246">
        <f>61098.4836/1000</f>
        <v>61.098483600000002</v>
      </c>
      <c r="H162" s="45">
        <v>61098.483600000007</v>
      </c>
      <c r="I162" s="45">
        <v>0</v>
      </c>
      <c r="J162" s="397">
        <v>11.731210000000036</v>
      </c>
      <c r="K162" s="495">
        <f t="shared" si="15"/>
        <v>72.829693600000041</v>
      </c>
      <c r="L162" s="578"/>
      <c r="M162" s="45">
        <f t="shared" si="16"/>
        <v>0</v>
      </c>
      <c r="N162" s="46">
        <f t="shared" si="14"/>
        <v>72.829693600000041</v>
      </c>
      <c r="O162" s="46">
        <f t="shared" si="19"/>
        <v>72</v>
      </c>
      <c r="P162" s="234"/>
      <c r="Q162" s="46">
        <v>1</v>
      </c>
      <c r="R162" s="450">
        <v>1</v>
      </c>
      <c r="S162" s="257">
        <v>72000</v>
      </c>
      <c r="T162" s="46"/>
      <c r="U162" s="46"/>
      <c r="V162" s="46"/>
      <c r="W162" s="46"/>
      <c r="X162" s="196"/>
      <c r="Y162" s="46"/>
      <c r="Z162" s="46"/>
      <c r="AA162" s="46"/>
      <c r="AB162" s="46"/>
      <c r="AC162" s="46"/>
      <c r="AD162" s="46"/>
      <c r="AE162" s="46"/>
      <c r="AF162" s="196"/>
      <c r="AG162" s="46"/>
      <c r="AH162" s="46"/>
      <c r="AI162" s="46"/>
      <c r="AJ162" s="46"/>
      <c r="AK162" s="46"/>
      <c r="AL162" s="46"/>
      <c r="AM162" s="46"/>
      <c r="AN162" s="196"/>
      <c r="AO162" s="438"/>
      <c r="AP162" s="46"/>
      <c r="AQ162" s="368"/>
      <c r="AR162" s="257"/>
      <c r="AS162" s="196"/>
      <c r="AT162" s="46"/>
      <c r="AU162" s="46"/>
      <c r="AV162" s="196"/>
      <c r="AW162" s="257"/>
      <c r="AX162" s="196"/>
      <c r="AY162" s="191"/>
      <c r="AZ162" s="257"/>
      <c r="BA162" s="196"/>
      <c r="BB162" s="46"/>
      <c r="BC162" s="257"/>
      <c r="BD162" s="196"/>
      <c r="BE162" s="191"/>
      <c r="BF162" s="46"/>
      <c r="BG162" s="196"/>
      <c r="BH162" s="46"/>
      <c r="BI162" s="257"/>
      <c r="BJ162" s="196"/>
      <c r="BK162" s="191"/>
      <c r="BL162" s="257"/>
      <c r="BM162" s="196"/>
      <c r="BN162" s="46"/>
      <c r="BO162" s="257"/>
      <c r="BP162" s="196"/>
      <c r="BQ162" s="190"/>
      <c r="BR162" s="46"/>
      <c r="BS162" s="196"/>
      <c r="BT162" s="46"/>
      <c r="BU162" s="257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196"/>
      <c r="CI162" s="46"/>
      <c r="CJ162" s="46"/>
      <c r="CK162" s="46"/>
      <c r="CL162" s="46"/>
      <c r="CM162" s="46"/>
      <c r="CN162" s="196"/>
      <c r="CO162" s="191"/>
      <c r="CP162" s="257"/>
      <c r="CQ162" s="196"/>
      <c r="CR162" s="167"/>
      <c r="CS162" s="257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191"/>
      <c r="DN162" s="46"/>
      <c r="DO162" s="218"/>
      <c r="DP162" s="221"/>
      <c r="DQ162" s="257">
        <f t="shared" si="17"/>
        <v>0</v>
      </c>
      <c r="DR162" s="296"/>
      <c r="DS162" s="295"/>
      <c r="DT162" s="386">
        <f t="shared" si="18"/>
        <v>0</v>
      </c>
      <c r="DU162" s="41"/>
      <c r="DV162" s="41"/>
      <c r="DW162" s="256"/>
      <c r="DX162" s="41"/>
      <c r="DY162" s="41"/>
      <c r="DZ162" s="68"/>
      <c r="EA162" s="41"/>
      <c r="EB162" s="41"/>
      <c r="EC162" s="256"/>
      <c r="ED162" s="308"/>
      <c r="EE162" s="308"/>
      <c r="EF162" s="308"/>
      <c r="EG162" s="41"/>
      <c r="EH162" s="41"/>
      <c r="EI162" s="41"/>
      <c r="EJ162" s="69"/>
      <c r="EK162" s="308"/>
      <c r="EL162" s="308"/>
      <c r="EM162" s="308"/>
      <c r="EN162" s="308"/>
      <c r="EO162" s="41"/>
      <c r="EP162" s="41"/>
      <c r="EQ162" s="41"/>
      <c r="ER162" s="256"/>
      <c r="ES162" s="293"/>
      <c r="ET162" s="293"/>
      <c r="EU162" s="293"/>
      <c r="EV162" s="293"/>
      <c r="EW162" s="41"/>
      <c r="EX162" s="41"/>
      <c r="EY162" s="41"/>
      <c r="EZ162" s="256"/>
      <c r="FA162" s="308"/>
      <c r="FB162" s="308"/>
      <c r="FC162" s="308"/>
      <c r="FD162" s="308"/>
      <c r="FE162" s="46"/>
      <c r="FF162" s="41"/>
      <c r="FG162" s="41"/>
      <c r="FH162" s="256"/>
      <c r="FI162" s="41"/>
      <c r="FJ162" s="41"/>
      <c r="FK162" s="41"/>
      <c r="FL162" s="276"/>
    </row>
    <row r="163" spans="1:168">
      <c r="A163" s="45">
        <v>156</v>
      </c>
      <c r="B163" s="45" t="s">
        <v>210</v>
      </c>
      <c r="C163" s="45">
        <v>5</v>
      </c>
      <c r="D163" s="29" t="s">
        <v>501</v>
      </c>
      <c r="E163" s="175">
        <v>37</v>
      </c>
      <c r="F163" s="188">
        <v>7</v>
      </c>
      <c r="G163" s="246">
        <f>75800.6298/1000</f>
        <v>75.800629799999996</v>
      </c>
      <c r="H163" s="45">
        <v>0</v>
      </c>
      <c r="I163" s="45">
        <v>75800.629799999995</v>
      </c>
      <c r="J163" s="397">
        <v>197.17232300000001</v>
      </c>
      <c r="K163" s="495">
        <f t="shared" si="15"/>
        <v>272.97295280000003</v>
      </c>
      <c r="L163" s="578"/>
      <c r="M163" s="45">
        <f t="shared" si="16"/>
        <v>0</v>
      </c>
      <c r="N163" s="46">
        <f>K163-M163</f>
        <v>272.97295280000003</v>
      </c>
      <c r="O163" s="46">
        <f t="shared" si="19"/>
        <v>168</v>
      </c>
      <c r="P163" s="234" t="s">
        <v>226</v>
      </c>
      <c r="Q163" s="46">
        <v>1</v>
      </c>
      <c r="R163" s="450">
        <v>2</v>
      </c>
      <c r="S163" s="257">
        <v>90000</v>
      </c>
      <c r="T163" s="46"/>
      <c r="U163" s="46"/>
      <c r="V163" s="46"/>
      <c r="W163" s="46"/>
      <c r="X163" s="196"/>
      <c r="Y163" s="46"/>
      <c r="Z163" s="46"/>
      <c r="AA163" s="46"/>
      <c r="AB163" s="46"/>
      <c r="AC163" s="46"/>
      <c r="AD163" s="46"/>
      <c r="AE163" s="46"/>
      <c r="AF163" s="196"/>
      <c r="AG163" s="46"/>
      <c r="AH163" s="46"/>
      <c r="AI163" s="46"/>
      <c r="AJ163" s="46"/>
      <c r="AK163" s="46"/>
      <c r="AL163" s="46"/>
      <c r="AM163" s="46"/>
      <c r="AN163" s="196" t="s">
        <v>247</v>
      </c>
      <c r="AO163" s="438" t="s">
        <v>324</v>
      </c>
      <c r="AP163" s="46">
        <v>60</v>
      </c>
      <c r="AQ163" s="368" t="s">
        <v>322</v>
      </c>
      <c r="AR163" s="257">
        <f>AP163*1300</f>
        <v>78000</v>
      </c>
      <c r="AS163" s="196"/>
      <c r="AT163" s="46"/>
      <c r="AU163" s="46"/>
      <c r="AV163" s="196"/>
      <c r="AW163" s="257"/>
      <c r="AX163" s="196"/>
      <c r="AY163" s="191"/>
      <c r="AZ163" s="257"/>
      <c r="BA163" s="196"/>
      <c r="BB163" s="46"/>
      <c r="BC163" s="257"/>
      <c r="BD163" s="196"/>
      <c r="BE163" s="191"/>
      <c r="BF163" s="46"/>
      <c r="BG163" s="196"/>
      <c r="BH163" s="46"/>
      <c r="BI163" s="257"/>
      <c r="BJ163" s="196"/>
      <c r="BK163" s="191"/>
      <c r="BL163" s="257"/>
      <c r="BM163" s="196"/>
      <c r="BN163" s="46"/>
      <c r="BO163" s="257"/>
      <c r="BP163" s="196"/>
      <c r="BQ163" s="190"/>
      <c r="BR163" s="46"/>
      <c r="BS163" s="196"/>
      <c r="BT163" s="46"/>
      <c r="BU163" s="257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196"/>
      <c r="CI163" s="46"/>
      <c r="CJ163" s="46"/>
      <c r="CK163" s="46"/>
      <c r="CL163" s="46"/>
      <c r="CM163" s="46"/>
      <c r="CN163" s="196"/>
      <c r="CO163" s="191"/>
      <c r="CP163" s="257"/>
      <c r="CQ163" s="196"/>
      <c r="CR163" s="167"/>
      <c r="CS163" s="257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191"/>
      <c r="DN163" s="46"/>
      <c r="DO163" s="196"/>
      <c r="DP163" s="221"/>
      <c r="DQ163" s="257">
        <f t="shared" si="17"/>
        <v>0</v>
      </c>
      <c r="DR163" s="294"/>
      <c r="DS163" s="295"/>
      <c r="DT163" s="386">
        <f t="shared" si="18"/>
        <v>0</v>
      </c>
      <c r="DU163" s="41"/>
      <c r="DV163" s="41"/>
      <c r="DW163" s="256"/>
      <c r="DX163" s="41"/>
      <c r="DY163" s="41"/>
      <c r="DZ163" s="68"/>
      <c r="EA163" s="41"/>
      <c r="EB163" s="41"/>
      <c r="EC163" s="256"/>
      <c r="ED163" s="308"/>
      <c r="EE163" s="308"/>
      <c r="EF163" s="308"/>
      <c r="EG163" s="41"/>
      <c r="EH163" s="41"/>
      <c r="EI163" s="41"/>
      <c r="EJ163" s="69"/>
      <c r="EK163" s="308"/>
      <c r="EL163" s="308"/>
      <c r="EM163" s="308"/>
      <c r="EN163" s="308"/>
      <c r="EO163" s="41"/>
      <c r="EP163" s="41"/>
      <c r="EQ163" s="41"/>
      <c r="ER163" s="256"/>
      <c r="ES163" s="293"/>
      <c r="ET163" s="293"/>
      <c r="EU163" s="293"/>
      <c r="EV163" s="293"/>
      <c r="EW163" s="41"/>
      <c r="EX163" s="41"/>
      <c r="EY163" s="41"/>
      <c r="EZ163" s="256"/>
      <c r="FA163" s="308"/>
      <c r="FB163" s="308"/>
      <c r="FC163" s="308"/>
      <c r="FD163" s="308"/>
      <c r="FE163" s="41"/>
      <c r="FF163" s="41"/>
      <c r="FG163" s="41"/>
      <c r="FH163" s="256"/>
      <c r="FI163" s="41"/>
      <c r="FJ163" s="41"/>
      <c r="FK163" s="41"/>
      <c r="FL163" s="276"/>
    </row>
    <row r="164" spans="1:168">
      <c r="A164" s="45">
        <v>157</v>
      </c>
      <c r="B164" s="45" t="s">
        <v>210</v>
      </c>
      <c r="C164" s="45">
        <v>5</v>
      </c>
      <c r="D164" s="29" t="s">
        <v>118</v>
      </c>
      <c r="E164" s="30">
        <v>38</v>
      </c>
      <c r="F164" s="30">
        <v>5</v>
      </c>
      <c r="G164" s="246">
        <f>60116.364/1000</f>
        <v>60.116364000000004</v>
      </c>
      <c r="H164" s="45">
        <v>60116.364000000001</v>
      </c>
      <c r="I164" s="45">
        <v>0</v>
      </c>
      <c r="J164" s="397">
        <v>63.362030000000011</v>
      </c>
      <c r="K164" s="495">
        <f t="shared" si="15"/>
        <v>123.47839400000001</v>
      </c>
      <c r="L164" s="578"/>
      <c r="M164" s="45">
        <f t="shared" si="16"/>
        <v>0</v>
      </c>
      <c r="N164" s="46">
        <f t="shared" si="14"/>
        <v>123.47839400000001</v>
      </c>
      <c r="O164" s="46">
        <f t="shared" si="19"/>
        <v>76.8</v>
      </c>
      <c r="P164" s="234"/>
      <c r="Q164" s="46"/>
      <c r="R164" s="450"/>
      <c r="S164" s="257"/>
      <c r="T164" s="46"/>
      <c r="U164" s="46"/>
      <c r="V164" s="46"/>
      <c r="W164" s="46"/>
      <c r="X164" s="196"/>
      <c r="Y164" s="46"/>
      <c r="Z164" s="46"/>
      <c r="AA164" s="46"/>
      <c r="AB164" s="46"/>
      <c r="AC164" s="46"/>
      <c r="AD164" s="46"/>
      <c r="AE164" s="46"/>
      <c r="AF164" s="196"/>
      <c r="AG164" s="46"/>
      <c r="AH164" s="46"/>
      <c r="AI164" s="46"/>
      <c r="AJ164" s="46"/>
      <c r="AK164" s="46"/>
      <c r="AL164" s="46"/>
      <c r="AM164" s="46"/>
      <c r="AN164" s="196"/>
      <c r="AO164" s="438"/>
      <c r="AP164" s="46"/>
      <c r="AQ164" s="368"/>
      <c r="AR164" s="257"/>
      <c r="AS164" s="196"/>
      <c r="AT164" s="46"/>
      <c r="AU164" s="46"/>
      <c r="AV164" s="196"/>
      <c r="AW164" s="257"/>
      <c r="AX164" s="196"/>
      <c r="AY164" s="191"/>
      <c r="AZ164" s="257"/>
      <c r="BA164" s="196"/>
      <c r="BB164" s="46"/>
      <c r="BC164" s="257"/>
      <c r="BD164" s="196"/>
      <c r="BE164" s="191"/>
      <c r="BF164" s="46"/>
      <c r="BG164" s="196"/>
      <c r="BH164" s="46"/>
      <c r="BI164" s="257"/>
      <c r="BJ164" s="196"/>
      <c r="BK164" s="190"/>
      <c r="BL164" s="257"/>
      <c r="BM164" s="196"/>
      <c r="BN164" s="46"/>
      <c r="BO164" s="257"/>
      <c r="BP164" s="196"/>
      <c r="BQ164" s="190"/>
      <c r="BR164" s="46"/>
      <c r="BS164" s="196"/>
      <c r="BT164" s="46"/>
      <c r="BU164" s="257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196"/>
      <c r="CI164" s="46"/>
      <c r="CJ164" s="46"/>
      <c r="CK164" s="46"/>
      <c r="CL164" s="46"/>
      <c r="CM164" s="46"/>
      <c r="CN164" s="196"/>
      <c r="CO164" s="191"/>
      <c r="CP164" s="257"/>
      <c r="CQ164" s="196"/>
      <c r="CR164" s="167"/>
      <c r="CS164" s="257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191"/>
      <c r="DN164" s="46"/>
      <c r="DO164" s="196"/>
      <c r="DP164" s="221" t="s">
        <v>851</v>
      </c>
      <c r="DQ164" s="257">
        <f t="shared" si="17"/>
        <v>76800</v>
      </c>
      <c r="DR164" s="294"/>
      <c r="DS164" s="295"/>
      <c r="DT164" s="386">
        <f t="shared" si="18"/>
        <v>0</v>
      </c>
      <c r="DU164" s="41"/>
      <c r="DV164" s="41"/>
      <c r="DW164" s="256"/>
      <c r="DX164" s="41"/>
      <c r="DY164" s="41"/>
      <c r="DZ164" s="68"/>
      <c r="EA164" s="41">
        <v>4</v>
      </c>
      <c r="EB164" s="41">
        <v>96</v>
      </c>
      <c r="EC164" s="256">
        <f>EB164*800</f>
        <v>76800</v>
      </c>
      <c r="ED164" s="308"/>
      <c r="EE164" s="308"/>
      <c r="EF164" s="308"/>
      <c r="EG164" s="41"/>
      <c r="EH164" s="41"/>
      <c r="EI164" s="41"/>
      <c r="EJ164" s="69"/>
      <c r="EK164" s="308"/>
      <c r="EL164" s="308"/>
      <c r="EM164" s="308"/>
      <c r="EN164" s="308"/>
      <c r="EO164" s="41"/>
      <c r="EP164" s="41"/>
      <c r="EQ164" s="41"/>
      <c r="ER164" s="256"/>
      <c r="ES164" s="293"/>
      <c r="ET164" s="293"/>
      <c r="EU164" s="293"/>
      <c r="EV164" s="293"/>
      <c r="EW164" s="41"/>
      <c r="EX164" s="41"/>
      <c r="EY164" s="41"/>
      <c r="EZ164" s="256"/>
      <c r="FA164" s="308"/>
      <c r="FB164" s="308"/>
      <c r="FC164" s="308"/>
      <c r="FD164" s="308"/>
      <c r="FE164" s="46"/>
      <c r="FF164" s="41"/>
      <c r="FG164" s="41"/>
      <c r="FH164" s="256"/>
      <c r="FI164" s="41"/>
      <c r="FJ164" s="41"/>
      <c r="FK164" s="41"/>
      <c r="FL164" s="276"/>
    </row>
    <row r="165" spans="1:168">
      <c r="A165" s="45">
        <v>158</v>
      </c>
      <c r="B165" s="45" t="s">
        <v>210</v>
      </c>
      <c r="C165" s="45">
        <v>5</v>
      </c>
      <c r="D165" s="29" t="s">
        <v>118</v>
      </c>
      <c r="E165" s="30">
        <v>40</v>
      </c>
      <c r="F165" s="30">
        <v>5</v>
      </c>
      <c r="G165" s="246">
        <f>60033.204/1000</f>
        <v>60.033203999999998</v>
      </c>
      <c r="H165" s="45">
        <v>60033.203999999998</v>
      </c>
      <c r="I165" s="45">
        <v>0</v>
      </c>
      <c r="J165" s="397">
        <v>-203.86873</v>
      </c>
      <c r="K165" s="495">
        <f t="shared" si="15"/>
        <v>-143.83552600000002</v>
      </c>
      <c r="L165" s="578"/>
      <c r="M165" s="45">
        <f t="shared" si="16"/>
        <v>0</v>
      </c>
      <c r="N165" s="46">
        <f t="shared" si="14"/>
        <v>-143.83552600000002</v>
      </c>
      <c r="O165" s="46">
        <f t="shared" si="19"/>
        <v>0</v>
      </c>
      <c r="P165" s="234"/>
      <c r="Q165" s="46"/>
      <c r="R165" s="450"/>
      <c r="S165" s="257"/>
      <c r="T165" s="46"/>
      <c r="U165" s="46"/>
      <c r="V165" s="46"/>
      <c r="W165" s="46"/>
      <c r="X165" s="196"/>
      <c r="Y165" s="46"/>
      <c r="Z165" s="46"/>
      <c r="AA165" s="46"/>
      <c r="AB165" s="46"/>
      <c r="AC165" s="46"/>
      <c r="AD165" s="46"/>
      <c r="AE165" s="46"/>
      <c r="AF165" s="196"/>
      <c r="AG165" s="46"/>
      <c r="AH165" s="46"/>
      <c r="AI165" s="46"/>
      <c r="AJ165" s="46"/>
      <c r="AK165" s="46"/>
      <c r="AL165" s="46"/>
      <c r="AM165" s="46"/>
      <c r="AN165" s="196"/>
      <c r="AO165" s="438"/>
      <c r="AP165" s="46"/>
      <c r="AQ165" s="368"/>
      <c r="AR165" s="257"/>
      <c r="AS165" s="196"/>
      <c r="AT165" s="46"/>
      <c r="AU165" s="46"/>
      <c r="AV165" s="196"/>
      <c r="AW165" s="257"/>
      <c r="AX165" s="196"/>
      <c r="AY165" s="191"/>
      <c r="AZ165" s="257"/>
      <c r="BA165" s="196"/>
      <c r="BB165" s="46"/>
      <c r="BC165" s="257"/>
      <c r="BD165" s="196"/>
      <c r="BE165" s="191"/>
      <c r="BF165" s="46"/>
      <c r="BG165" s="196"/>
      <c r="BH165" s="46"/>
      <c r="BI165" s="257"/>
      <c r="BJ165" s="196"/>
      <c r="BK165" s="191"/>
      <c r="BL165" s="257"/>
      <c r="BM165" s="196"/>
      <c r="BN165" s="46"/>
      <c r="BO165" s="257"/>
      <c r="BP165" s="196"/>
      <c r="BQ165" s="190"/>
      <c r="BR165" s="46"/>
      <c r="BS165" s="196"/>
      <c r="BT165" s="46"/>
      <c r="BU165" s="257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196"/>
      <c r="CI165" s="46"/>
      <c r="CJ165" s="46"/>
      <c r="CK165" s="46"/>
      <c r="CL165" s="46"/>
      <c r="CM165" s="46"/>
      <c r="CN165" s="196"/>
      <c r="CO165" s="191"/>
      <c r="CP165" s="257"/>
      <c r="CQ165" s="196"/>
      <c r="CR165" s="167"/>
      <c r="CS165" s="257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191"/>
      <c r="DN165" s="46"/>
      <c r="DO165" s="196"/>
      <c r="DP165" s="221"/>
      <c r="DQ165" s="257">
        <f t="shared" si="17"/>
        <v>0</v>
      </c>
      <c r="DR165" s="296"/>
      <c r="DS165" s="295"/>
      <c r="DT165" s="386">
        <f t="shared" si="18"/>
        <v>0</v>
      </c>
      <c r="DU165" s="41"/>
      <c r="DV165" s="41"/>
      <c r="DW165" s="256"/>
      <c r="DX165" s="41"/>
      <c r="DY165" s="41"/>
      <c r="DZ165" s="68"/>
      <c r="EA165" s="41"/>
      <c r="EB165" s="41"/>
      <c r="EC165" s="256"/>
      <c r="ED165" s="308"/>
      <c r="EE165" s="308"/>
      <c r="EF165" s="308"/>
      <c r="EG165" s="41"/>
      <c r="EH165" s="41"/>
      <c r="EI165" s="41"/>
      <c r="EJ165" s="69"/>
      <c r="EK165" s="308"/>
      <c r="EL165" s="308"/>
      <c r="EM165" s="308"/>
      <c r="EN165" s="308"/>
      <c r="EO165" s="41"/>
      <c r="EP165" s="41"/>
      <c r="EQ165" s="41"/>
      <c r="ER165" s="256"/>
      <c r="ES165" s="293"/>
      <c r="ET165" s="293"/>
      <c r="EU165" s="293"/>
      <c r="EV165" s="293"/>
      <c r="EW165" s="41"/>
      <c r="EX165" s="41"/>
      <c r="EY165" s="41"/>
      <c r="EZ165" s="256"/>
      <c r="FA165" s="308"/>
      <c r="FB165" s="308"/>
      <c r="FC165" s="308"/>
      <c r="FD165" s="308"/>
      <c r="FE165" s="46"/>
      <c r="FF165" s="41"/>
      <c r="FG165" s="41"/>
      <c r="FH165" s="256"/>
      <c r="FI165" s="41"/>
      <c r="FJ165" s="41"/>
      <c r="FK165" s="41"/>
      <c r="FL165" s="276"/>
    </row>
    <row r="166" spans="1:168" ht="20.25">
      <c r="A166" s="45">
        <v>159</v>
      </c>
      <c r="B166" s="45" t="s">
        <v>210</v>
      </c>
      <c r="C166" s="45">
        <v>5</v>
      </c>
      <c r="D166" s="29" t="s">
        <v>118</v>
      </c>
      <c r="E166" s="30">
        <v>46</v>
      </c>
      <c r="F166" s="30">
        <v>6</v>
      </c>
      <c r="G166" s="246">
        <f>45451.3919999999/1000</f>
        <v>45.451391999999899</v>
      </c>
      <c r="H166" s="45">
        <v>12854.687999999998</v>
      </c>
      <c r="I166" s="45">
        <v>32596.703999999998</v>
      </c>
      <c r="J166" s="397">
        <v>178.02237</v>
      </c>
      <c r="K166" s="495">
        <f t="shared" si="15"/>
        <v>223.47376199999991</v>
      </c>
      <c r="L166" s="578"/>
      <c r="M166" s="45">
        <f t="shared" si="16"/>
        <v>0</v>
      </c>
      <c r="N166" s="46">
        <f t="shared" si="14"/>
        <v>223.47376199999991</v>
      </c>
      <c r="O166" s="46">
        <f t="shared" si="19"/>
        <v>45</v>
      </c>
      <c r="P166" s="234"/>
      <c r="Q166" s="46"/>
      <c r="R166" s="450"/>
      <c r="S166" s="257"/>
      <c r="T166" s="46"/>
      <c r="U166" s="46"/>
      <c r="V166" s="46"/>
      <c r="W166" s="46"/>
      <c r="X166" s="196"/>
      <c r="Y166" s="46"/>
      <c r="Z166" s="46"/>
      <c r="AA166" s="46"/>
      <c r="AB166" s="46"/>
      <c r="AC166" s="46"/>
      <c r="AD166" s="46"/>
      <c r="AE166" s="46"/>
      <c r="AF166" s="196"/>
      <c r="AG166" s="46"/>
      <c r="AH166" s="46"/>
      <c r="AI166" s="46"/>
      <c r="AJ166" s="46"/>
      <c r="AK166" s="46"/>
      <c r="AL166" s="46"/>
      <c r="AM166" s="46"/>
      <c r="AN166" s="196"/>
      <c r="AO166" s="438"/>
      <c r="AP166" s="46"/>
      <c r="AQ166" s="368"/>
      <c r="AR166" s="257"/>
      <c r="AS166" s="196"/>
      <c r="AT166" s="46"/>
      <c r="AU166" s="46"/>
      <c r="AV166" s="196"/>
      <c r="AW166" s="257"/>
      <c r="AX166" s="196"/>
      <c r="AY166" s="191"/>
      <c r="AZ166" s="257"/>
      <c r="BA166" s="196"/>
      <c r="BB166" s="46"/>
      <c r="BC166" s="257"/>
      <c r="BD166" s="196"/>
      <c r="BE166" s="191"/>
      <c r="BF166" s="46"/>
      <c r="BG166" s="196"/>
      <c r="BH166" s="46"/>
      <c r="BI166" s="257"/>
      <c r="BJ166" s="196"/>
      <c r="BK166" s="190"/>
      <c r="BL166" s="257"/>
      <c r="BM166" s="196"/>
      <c r="BN166" s="46"/>
      <c r="BO166" s="257"/>
      <c r="BP166" s="196"/>
      <c r="BQ166" s="190"/>
      <c r="BR166" s="46"/>
      <c r="BS166" s="196"/>
      <c r="BT166" s="46"/>
      <c r="BU166" s="257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196"/>
      <c r="CI166" s="46"/>
      <c r="CJ166" s="46"/>
      <c r="CK166" s="46"/>
      <c r="CL166" s="46"/>
      <c r="CM166" s="46"/>
      <c r="CN166" s="196" t="s">
        <v>254</v>
      </c>
      <c r="CO166" s="191" t="s">
        <v>905</v>
      </c>
      <c r="CP166" s="257">
        <v>5000</v>
      </c>
      <c r="CQ166" s="196"/>
      <c r="CR166" s="167"/>
      <c r="CS166" s="257"/>
      <c r="CT166" s="46">
        <v>4</v>
      </c>
      <c r="CU166" s="46">
        <v>1</v>
      </c>
      <c r="CV166" s="46">
        <v>5000</v>
      </c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191"/>
      <c r="DN166" s="46"/>
      <c r="DO166" s="196"/>
      <c r="DP166" s="221" t="s">
        <v>904</v>
      </c>
      <c r="DQ166" s="257">
        <f>DW166+EC166+EJ166+ER166+EZ166+FH166+15000</f>
        <v>35000</v>
      </c>
      <c r="DR166" s="294"/>
      <c r="DS166" s="295"/>
      <c r="DT166" s="386">
        <f t="shared" si="18"/>
        <v>0</v>
      </c>
      <c r="DU166" s="41"/>
      <c r="DV166" s="41"/>
      <c r="DW166" s="256"/>
      <c r="DX166" s="41"/>
      <c r="DY166" s="41"/>
      <c r="DZ166" s="68"/>
      <c r="EA166" s="41"/>
      <c r="EB166" s="41"/>
      <c r="EC166" s="256"/>
      <c r="ED166" s="308"/>
      <c r="EE166" s="308"/>
      <c r="EF166" s="308"/>
      <c r="EG166" s="41"/>
      <c r="EH166" s="41"/>
      <c r="EI166" s="41"/>
      <c r="EJ166" s="69"/>
      <c r="EK166" s="308"/>
      <c r="EL166" s="308"/>
      <c r="EM166" s="308"/>
      <c r="EN166" s="308"/>
      <c r="EO166" s="41">
        <v>4</v>
      </c>
      <c r="EP166" s="41">
        <v>1</v>
      </c>
      <c r="EQ166" s="41">
        <v>1</v>
      </c>
      <c r="ER166" s="256">
        <v>20000</v>
      </c>
      <c r="ES166" s="293"/>
      <c r="ET166" s="293"/>
      <c r="EU166" s="293"/>
      <c r="EV166" s="293"/>
      <c r="EW166" s="41"/>
      <c r="EX166" s="41"/>
      <c r="EY166" s="41"/>
      <c r="EZ166" s="256"/>
      <c r="FA166" s="308"/>
      <c r="FB166" s="308"/>
      <c r="FC166" s="308"/>
      <c r="FD166" s="308"/>
      <c r="FE166" s="41"/>
      <c r="FF166" s="41"/>
      <c r="FG166" s="41"/>
      <c r="FH166" s="256"/>
      <c r="FI166" s="41"/>
      <c r="FJ166" s="41"/>
      <c r="FK166" s="41"/>
      <c r="FL166" s="276"/>
    </row>
    <row r="167" spans="1:168" ht="20.25">
      <c r="A167" s="45">
        <v>160</v>
      </c>
      <c r="B167" s="45" t="s">
        <v>210</v>
      </c>
      <c r="C167" s="45">
        <v>5</v>
      </c>
      <c r="D167" s="29" t="s">
        <v>501</v>
      </c>
      <c r="E167" s="175">
        <v>48</v>
      </c>
      <c r="F167" s="188">
        <v>7</v>
      </c>
      <c r="G167" s="246">
        <f>44582.454/1000</f>
        <v>44.582453999999998</v>
      </c>
      <c r="H167" s="45">
        <v>0</v>
      </c>
      <c r="I167" s="45">
        <v>44582.453999999998</v>
      </c>
      <c r="J167" s="397">
        <v>132.48707000000002</v>
      </c>
      <c r="K167" s="495">
        <f t="shared" si="15"/>
        <v>177.069524</v>
      </c>
      <c r="L167" s="578"/>
      <c r="M167" s="45">
        <f t="shared" si="16"/>
        <v>0</v>
      </c>
      <c r="N167" s="46">
        <f>K167-M167</f>
        <v>177.069524</v>
      </c>
      <c r="O167" s="46">
        <f t="shared" si="19"/>
        <v>124.6</v>
      </c>
      <c r="P167" s="234"/>
      <c r="Q167" s="46"/>
      <c r="R167" s="450"/>
      <c r="S167" s="257"/>
      <c r="T167" s="46"/>
      <c r="U167" s="46"/>
      <c r="V167" s="46"/>
      <c r="W167" s="46"/>
      <c r="X167" s="196"/>
      <c r="Y167" s="46"/>
      <c r="Z167" s="46"/>
      <c r="AA167" s="46"/>
      <c r="AB167" s="46"/>
      <c r="AC167" s="46"/>
      <c r="AD167" s="46"/>
      <c r="AE167" s="46"/>
      <c r="AF167" s="196"/>
      <c r="AG167" s="46"/>
      <c r="AH167" s="46"/>
      <c r="AI167" s="46"/>
      <c r="AJ167" s="46"/>
      <c r="AK167" s="46"/>
      <c r="AL167" s="46"/>
      <c r="AM167" s="46"/>
      <c r="AN167" s="196"/>
      <c r="AO167" s="438"/>
      <c r="AP167" s="46"/>
      <c r="AQ167" s="368"/>
      <c r="AR167" s="257"/>
      <c r="AS167" s="196"/>
      <c r="AT167" s="46"/>
      <c r="AU167" s="46"/>
      <c r="AV167" s="196"/>
      <c r="AW167" s="257"/>
      <c r="AX167" s="196"/>
      <c r="AY167" s="191"/>
      <c r="AZ167" s="257"/>
      <c r="BA167" s="196"/>
      <c r="BB167" s="46"/>
      <c r="BC167" s="257"/>
      <c r="BD167" s="196"/>
      <c r="BE167" s="191"/>
      <c r="BF167" s="46"/>
      <c r="BG167" s="196"/>
      <c r="BH167" s="46"/>
      <c r="BI167" s="257"/>
      <c r="BJ167" s="196"/>
      <c r="BK167" s="191"/>
      <c r="BL167" s="257"/>
      <c r="BM167" s="196"/>
      <c r="BN167" s="46"/>
      <c r="BO167" s="257"/>
      <c r="BP167" s="196"/>
      <c r="BQ167" s="190"/>
      <c r="BR167" s="46"/>
      <c r="BS167" s="196"/>
      <c r="BT167" s="46"/>
      <c r="BU167" s="257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196"/>
      <c r="CI167" s="46"/>
      <c r="CJ167" s="46"/>
      <c r="CK167" s="46"/>
      <c r="CL167" s="46"/>
      <c r="CM167" s="46"/>
      <c r="CN167" s="196" t="s">
        <v>249</v>
      </c>
      <c r="CO167" s="191">
        <v>150</v>
      </c>
      <c r="CP167" s="257">
        <f>CO167*400</f>
        <v>60000</v>
      </c>
      <c r="CQ167" s="196"/>
      <c r="CR167" s="167"/>
      <c r="CS167" s="257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191"/>
      <c r="DN167" s="46"/>
      <c r="DO167" s="196"/>
      <c r="DP167" s="221" t="s">
        <v>837</v>
      </c>
      <c r="DQ167" s="257">
        <f>DW167+EC167+EJ167+ER167+EZ167+FH167+15000</f>
        <v>64600</v>
      </c>
      <c r="DR167" s="294"/>
      <c r="DS167" s="295"/>
      <c r="DT167" s="386">
        <f t="shared" si="18"/>
        <v>0</v>
      </c>
      <c r="DU167" s="41"/>
      <c r="DV167" s="41"/>
      <c r="DW167" s="256"/>
      <c r="DX167" s="41"/>
      <c r="DY167" s="41"/>
      <c r="DZ167" s="68"/>
      <c r="EA167" s="41">
        <v>4</v>
      </c>
      <c r="EB167" s="41">
        <v>62</v>
      </c>
      <c r="EC167" s="256">
        <f>EB167*800</f>
        <v>49600</v>
      </c>
      <c r="ED167" s="308"/>
      <c r="EE167" s="308"/>
      <c r="EF167" s="308"/>
      <c r="EG167" s="41"/>
      <c r="EH167" s="41"/>
      <c r="EI167" s="41"/>
      <c r="EJ167" s="69"/>
      <c r="EK167" s="308"/>
      <c r="EL167" s="308"/>
      <c r="EM167" s="308"/>
      <c r="EN167" s="308"/>
      <c r="EO167" s="41"/>
      <c r="EP167" s="41"/>
      <c r="EQ167" s="41"/>
      <c r="ER167" s="256"/>
      <c r="ES167" s="293"/>
      <c r="ET167" s="293"/>
      <c r="EU167" s="293"/>
      <c r="EV167" s="293"/>
      <c r="EW167" s="41"/>
      <c r="EX167" s="41"/>
      <c r="EY167" s="41"/>
      <c r="EZ167" s="256"/>
      <c r="FA167" s="308"/>
      <c r="FB167" s="308"/>
      <c r="FC167" s="308"/>
      <c r="FD167" s="308"/>
      <c r="FE167" s="41"/>
      <c r="FF167" s="41"/>
      <c r="FG167" s="41"/>
      <c r="FH167" s="256"/>
      <c r="FI167" s="41"/>
      <c r="FJ167" s="41"/>
      <c r="FK167" s="41"/>
      <c r="FL167" s="276"/>
    </row>
    <row r="168" spans="1:168">
      <c r="A168" s="45">
        <v>161</v>
      </c>
      <c r="B168" s="45" t="s">
        <v>210</v>
      </c>
      <c r="C168" s="45">
        <v>5</v>
      </c>
      <c r="D168" s="29" t="s">
        <v>118</v>
      </c>
      <c r="E168" s="30">
        <v>50</v>
      </c>
      <c r="F168" s="30">
        <v>7</v>
      </c>
      <c r="G168" s="246">
        <f>43808.562/1000</f>
        <v>43.808561999999995</v>
      </c>
      <c r="H168" s="45">
        <v>0</v>
      </c>
      <c r="I168" s="45">
        <v>43808.561999999998</v>
      </c>
      <c r="J168" s="397">
        <v>31.228139999999982</v>
      </c>
      <c r="K168" s="495">
        <f t="shared" si="15"/>
        <v>75.036701999999977</v>
      </c>
      <c r="L168" s="578"/>
      <c r="M168" s="45">
        <f t="shared" si="16"/>
        <v>0</v>
      </c>
      <c r="N168" s="46">
        <f t="shared" si="14"/>
        <v>75.036701999999977</v>
      </c>
      <c r="O168" s="46">
        <f t="shared" si="19"/>
        <v>60</v>
      </c>
      <c r="P168" s="234"/>
      <c r="Q168" s="46"/>
      <c r="R168" s="450"/>
      <c r="S168" s="257"/>
      <c r="T168" s="46"/>
      <c r="U168" s="46"/>
      <c r="V168" s="46"/>
      <c r="W168" s="46"/>
      <c r="X168" s="196"/>
      <c r="Y168" s="46"/>
      <c r="Z168" s="46"/>
      <c r="AA168" s="46"/>
      <c r="AB168" s="46"/>
      <c r="AC168" s="46"/>
      <c r="AD168" s="46"/>
      <c r="AE168" s="46"/>
      <c r="AF168" s="196"/>
      <c r="AG168" s="46"/>
      <c r="AH168" s="46"/>
      <c r="AI168" s="46"/>
      <c r="AJ168" s="46"/>
      <c r="AK168" s="46"/>
      <c r="AL168" s="46"/>
      <c r="AM168" s="46"/>
      <c r="AN168" s="196"/>
      <c r="AO168" s="438"/>
      <c r="AP168" s="46"/>
      <c r="AQ168" s="368"/>
      <c r="AR168" s="257"/>
      <c r="AS168" s="196"/>
      <c r="AT168" s="46"/>
      <c r="AU168" s="46"/>
      <c r="AV168" s="196"/>
      <c r="AW168" s="257"/>
      <c r="AX168" s="196"/>
      <c r="AY168" s="191"/>
      <c r="AZ168" s="257"/>
      <c r="BA168" s="196"/>
      <c r="BB168" s="46"/>
      <c r="BC168" s="257"/>
      <c r="BD168" s="196"/>
      <c r="BE168" s="191"/>
      <c r="BF168" s="46"/>
      <c r="BG168" s="196"/>
      <c r="BH168" s="46"/>
      <c r="BI168" s="257"/>
      <c r="BJ168" s="196"/>
      <c r="BK168" s="190"/>
      <c r="BL168" s="257"/>
      <c r="BM168" s="196"/>
      <c r="BN168" s="46"/>
      <c r="BO168" s="257"/>
      <c r="BP168" s="196"/>
      <c r="BQ168" s="190"/>
      <c r="BR168" s="46"/>
      <c r="BS168" s="196"/>
      <c r="BT168" s="46"/>
      <c r="BU168" s="257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196"/>
      <c r="CI168" s="46"/>
      <c r="CJ168" s="46"/>
      <c r="CK168" s="46"/>
      <c r="CL168" s="46"/>
      <c r="CM168" s="46"/>
      <c r="CN168" s="196" t="s">
        <v>250</v>
      </c>
      <c r="CO168" s="191">
        <v>150</v>
      </c>
      <c r="CP168" s="257">
        <f>CO168*400</f>
        <v>60000</v>
      </c>
      <c r="CQ168" s="196"/>
      <c r="CR168" s="167"/>
      <c r="CS168" s="257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191"/>
      <c r="DN168" s="46"/>
      <c r="DO168" s="196"/>
      <c r="DP168" s="221"/>
      <c r="DQ168" s="257">
        <f t="shared" si="17"/>
        <v>0</v>
      </c>
      <c r="DR168" s="296"/>
      <c r="DS168" s="295"/>
      <c r="DT168" s="386">
        <f t="shared" si="18"/>
        <v>0</v>
      </c>
      <c r="DU168" s="41"/>
      <c r="DV168" s="41"/>
      <c r="DW168" s="256"/>
      <c r="DX168" s="41"/>
      <c r="DY168" s="41"/>
      <c r="DZ168" s="68"/>
      <c r="EA168" s="41"/>
      <c r="EB168" s="41"/>
      <c r="EC168" s="256"/>
      <c r="ED168" s="308"/>
      <c r="EE168" s="308"/>
      <c r="EF168" s="308"/>
      <c r="EG168" s="41"/>
      <c r="EH168" s="41"/>
      <c r="EI168" s="41"/>
      <c r="EJ168" s="69"/>
      <c r="EK168" s="308"/>
      <c r="EL168" s="308"/>
      <c r="EM168" s="308"/>
      <c r="EN168" s="308"/>
      <c r="EO168" s="41"/>
      <c r="EP168" s="41"/>
      <c r="EQ168" s="41"/>
      <c r="ER168" s="256"/>
      <c r="ES168" s="293"/>
      <c r="ET168" s="293"/>
      <c r="EU168" s="293"/>
      <c r="EV168" s="293"/>
      <c r="EW168" s="41"/>
      <c r="EX168" s="41"/>
      <c r="EY168" s="41"/>
      <c r="EZ168" s="256"/>
      <c r="FA168" s="308"/>
      <c r="FB168" s="308"/>
      <c r="FC168" s="308"/>
      <c r="FD168" s="308"/>
      <c r="FE168" s="41"/>
      <c r="FF168" s="41"/>
      <c r="FG168" s="41"/>
      <c r="FH168" s="256"/>
      <c r="FI168" s="41"/>
      <c r="FJ168" s="41"/>
      <c r="FK168" s="41"/>
      <c r="FL168" s="276"/>
    </row>
    <row r="169" spans="1:168" ht="39.75">
      <c r="A169" s="45">
        <v>162</v>
      </c>
      <c r="B169" s="45" t="s">
        <v>210</v>
      </c>
      <c r="C169" s="45">
        <v>5</v>
      </c>
      <c r="D169" s="29" t="s">
        <v>118</v>
      </c>
      <c r="E169" s="30" t="s">
        <v>120</v>
      </c>
      <c r="F169" s="30">
        <v>7</v>
      </c>
      <c r="G169" s="246">
        <f>42942.6396/1000</f>
        <v>42.9426396</v>
      </c>
      <c r="H169" s="45">
        <v>0</v>
      </c>
      <c r="I169" s="45">
        <v>42942.639600000002</v>
      </c>
      <c r="J169" s="397">
        <v>116.67712999999999</v>
      </c>
      <c r="K169" s="495">
        <f t="shared" si="15"/>
        <v>159.61976959999998</v>
      </c>
      <c r="L169" s="578"/>
      <c r="M169" s="45">
        <f t="shared" si="16"/>
        <v>0</v>
      </c>
      <c r="N169" s="46">
        <f t="shared" si="14"/>
        <v>159.61976959999998</v>
      </c>
      <c r="O169" s="46">
        <f t="shared" si="19"/>
        <v>94.6</v>
      </c>
      <c r="P169" s="234"/>
      <c r="Q169" s="46"/>
      <c r="R169" s="450"/>
      <c r="S169" s="257"/>
      <c r="T169" s="46"/>
      <c r="U169" s="46"/>
      <c r="V169" s="46"/>
      <c r="W169" s="46"/>
      <c r="X169" s="196"/>
      <c r="Y169" s="46"/>
      <c r="Z169" s="46"/>
      <c r="AA169" s="46"/>
      <c r="AB169" s="46"/>
      <c r="AC169" s="46"/>
      <c r="AD169" s="46"/>
      <c r="AE169" s="46"/>
      <c r="AF169" s="196"/>
      <c r="AG169" s="46"/>
      <c r="AH169" s="46"/>
      <c r="AI169" s="46"/>
      <c r="AJ169" s="46"/>
      <c r="AK169" s="46"/>
      <c r="AL169" s="46"/>
      <c r="AM169" s="46"/>
      <c r="AN169" s="196"/>
      <c r="AO169" s="438"/>
      <c r="AP169" s="46"/>
      <c r="AQ169" s="368"/>
      <c r="AR169" s="257"/>
      <c r="AS169" s="196"/>
      <c r="AT169" s="46"/>
      <c r="AU169" s="46"/>
      <c r="AV169" s="196"/>
      <c r="AW169" s="257"/>
      <c r="AX169" s="196"/>
      <c r="AY169" s="191"/>
      <c r="AZ169" s="257"/>
      <c r="BA169" s="196"/>
      <c r="BB169" s="46"/>
      <c r="BC169" s="257"/>
      <c r="BD169" s="196"/>
      <c r="BE169" s="191"/>
      <c r="BF169" s="46"/>
      <c r="BG169" s="196"/>
      <c r="BH169" s="46"/>
      <c r="BI169" s="257"/>
      <c r="BJ169" s="196"/>
      <c r="BK169" s="190"/>
      <c r="BL169" s="257"/>
      <c r="BM169" s="196"/>
      <c r="BN169" s="46"/>
      <c r="BO169" s="257"/>
      <c r="BP169" s="196"/>
      <c r="BQ169" s="190"/>
      <c r="BR169" s="46"/>
      <c r="BS169" s="196"/>
      <c r="BT169" s="46"/>
      <c r="BU169" s="257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196"/>
      <c r="CI169" s="46"/>
      <c r="CJ169" s="46"/>
      <c r="CK169" s="46"/>
      <c r="CL169" s="46"/>
      <c r="CM169" s="46"/>
      <c r="CN169" s="196"/>
      <c r="CO169" s="191"/>
      <c r="CP169" s="257"/>
      <c r="CQ169" s="196"/>
      <c r="CR169" s="167"/>
      <c r="CS169" s="257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191"/>
      <c r="DN169" s="46"/>
      <c r="DO169" s="196"/>
      <c r="DP169" s="221" t="s">
        <v>906</v>
      </c>
      <c r="DQ169" s="257">
        <f>DW169+EC169+EJ169+ER169+EZ169+FH169+15000+10000+20000</f>
        <v>94600</v>
      </c>
      <c r="DR169" s="294"/>
      <c r="DS169" s="295"/>
      <c r="DT169" s="386">
        <f t="shared" si="18"/>
        <v>0</v>
      </c>
      <c r="DU169" s="41"/>
      <c r="DV169" s="41"/>
      <c r="DW169" s="256"/>
      <c r="DX169" s="41"/>
      <c r="DY169" s="41"/>
      <c r="DZ169" s="68"/>
      <c r="EA169" s="41">
        <v>4</v>
      </c>
      <c r="EB169" s="41">
        <v>62</v>
      </c>
      <c r="EC169" s="256">
        <f>EB169*800</f>
        <v>49600</v>
      </c>
      <c r="ED169" s="308"/>
      <c r="EE169" s="308"/>
      <c r="EF169" s="308"/>
      <c r="EG169" s="41"/>
      <c r="EH169" s="41"/>
      <c r="EI169" s="41"/>
      <c r="EJ169" s="69"/>
      <c r="EK169" s="308"/>
      <c r="EL169" s="308"/>
      <c r="EM169" s="308"/>
      <c r="EN169" s="308"/>
      <c r="EO169" s="41"/>
      <c r="EP169" s="41"/>
      <c r="EQ169" s="41"/>
      <c r="ER169" s="256"/>
      <c r="ES169" s="293"/>
      <c r="ET169" s="293"/>
      <c r="EU169" s="293"/>
      <c r="EV169" s="293"/>
      <c r="EW169" s="41"/>
      <c r="EX169" s="41"/>
      <c r="EY169" s="41"/>
      <c r="EZ169" s="256"/>
      <c r="FA169" s="308"/>
      <c r="FB169" s="308"/>
      <c r="FC169" s="308"/>
      <c r="FD169" s="308"/>
      <c r="FE169" s="41"/>
      <c r="FF169" s="41"/>
      <c r="FG169" s="41"/>
      <c r="FH169" s="256"/>
      <c r="FI169" s="41"/>
      <c r="FJ169" s="41"/>
      <c r="FK169" s="41"/>
      <c r="FL169" s="276"/>
    </row>
    <row r="170" spans="1:168" ht="20.25">
      <c r="A170" s="45">
        <v>163</v>
      </c>
      <c r="B170" s="45" t="s">
        <v>210</v>
      </c>
      <c r="C170" s="45">
        <v>5</v>
      </c>
      <c r="D170" s="29" t="s">
        <v>118</v>
      </c>
      <c r="E170" s="30" t="s">
        <v>121</v>
      </c>
      <c r="F170" s="30">
        <v>6</v>
      </c>
      <c r="G170" s="246">
        <f>44354.592/1000</f>
        <v>44.354591999999997</v>
      </c>
      <c r="H170" s="45">
        <v>12544.487999999998</v>
      </c>
      <c r="I170" s="45">
        <v>31810.103999999999</v>
      </c>
      <c r="J170" s="397">
        <v>165.28062</v>
      </c>
      <c r="K170" s="495">
        <f t="shared" si="15"/>
        <v>209.635212</v>
      </c>
      <c r="L170" s="578"/>
      <c r="M170" s="45">
        <f t="shared" si="16"/>
        <v>0</v>
      </c>
      <c r="N170" s="46">
        <f t="shared" si="14"/>
        <v>209.635212</v>
      </c>
      <c r="O170" s="46">
        <f t="shared" si="19"/>
        <v>106.8</v>
      </c>
      <c r="P170" s="234"/>
      <c r="Q170" s="46"/>
      <c r="R170" s="450"/>
      <c r="S170" s="257"/>
      <c r="T170" s="46"/>
      <c r="U170" s="46"/>
      <c r="V170" s="46"/>
      <c r="W170" s="46"/>
      <c r="X170" s="196"/>
      <c r="Y170" s="46"/>
      <c r="Z170" s="46"/>
      <c r="AA170" s="46"/>
      <c r="AB170" s="46"/>
      <c r="AC170" s="46"/>
      <c r="AD170" s="46"/>
      <c r="AE170" s="46"/>
      <c r="AF170" s="196"/>
      <c r="AG170" s="46"/>
      <c r="AH170" s="46"/>
      <c r="AI170" s="46"/>
      <c r="AJ170" s="46"/>
      <c r="AK170" s="46"/>
      <c r="AL170" s="46"/>
      <c r="AM170" s="46"/>
      <c r="AN170" s="196"/>
      <c r="AO170" s="438"/>
      <c r="AP170" s="46"/>
      <c r="AQ170" s="368"/>
      <c r="AR170" s="257"/>
      <c r="AS170" s="196"/>
      <c r="AT170" s="46"/>
      <c r="AU170" s="46"/>
      <c r="AV170" s="196"/>
      <c r="AW170" s="257"/>
      <c r="AX170" s="196"/>
      <c r="AY170" s="191"/>
      <c r="AZ170" s="257"/>
      <c r="BA170" s="196"/>
      <c r="BB170" s="46"/>
      <c r="BC170" s="257"/>
      <c r="BD170" s="196"/>
      <c r="BE170" s="191"/>
      <c r="BF170" s="46"/>
      <c r="BG170" s="196"/>
      <c r="BH170" s="46"/>
      <c r="BI170" s="257"/>
      <c r="BJ170" s="196"/>
      <c r="BK170" s="191"/>
      <c r="BL170" s="257"/>
      <c r="BM170" s="196"/>
      <c r="BN170" s="46"/>
      <c r="BO170" s="257"/>
      <c r="BP170" s="196"/>
      <c r="BQ170" s="190"/>
      <c r="BR170" s="46"/>
      <c r="BS170" s="196"/>
      <c r="BT170" s="46"/>
      <c r="BU170" s="257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196"/>
      <c r="CI170" s="46"/>
      <c r="CJ170" s="46"/>
      <c r="CK170" s="46"/>
      <c r="CL170" s="46"/>
      <c r="CM170" s="46"/>
      <c r="CN170" s="196"/>
      <c r="CO170" s="191"/>
      <c r="CP170" s="257"/>
      <c r="CQ170" s="196"/>
      <c r="CR170" s="167"/>
      <c r="CS170" s="257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191"/>
      <c r="DN170" s="46"/>
      <c r="DO170" s="196"/>
      <c r="DP170" s="221" t="s">
        <v>907</v>
      </c>
      <c r="DQ170" s="257">
        <f>DW170+EC170+EJ170+ER170+EZ170+FH170+30000</f>
        <v>106800</v>
      </c>
      <c r="DR170" s="296"/>
      <c r="DS170" s="295"/>
      <c r="DT170" s="386">
        <f t="shared" si="18"/>
        <v>0</v>
      </c>
      <c r="DU170" s="41"/>
      <c r="DV170" s="41"/>
      <c r="DW170" s="256"/>
      <c r="DX170" s="41"/>
      <c r="DY170" s="41"/>
      <c r="DZ170" s="68"/>
      <c r="EA170" s="41">
        <v>4</v>
      </c>
      <c r="EB170" s="41">
        <v>96</v>
      </c>
      <c r="EC170" s="256">
        <f>EB170*800</f>
        <v>76800</v>
      </c>
      <c r="ED170" s="308"/>
      <c r="EE170" s="308"/>
      <c r="EF170" s="308"/>
      <c r="EG170" s="41"/>
      <c r="EH170" s="41"/>
      <c r="EI170" s="41"/>
      <c r="EJ170" s="69"/>
      <c r="EK170" s="308"/>
      <c r="EL170" s="308"/>
      <c r="EM170" s="308"/>
      <c r="EN170" s="308"/>
      <c r="EO170" s="41"/>
      <c r="EP170" s="41"/>
      <c r="EQ170" s="41"/>
      <c r="ER170" s="256"/>
      <c r="ES170" s="293"/>
      <c r="ET170" s="293"/>
      <c r="EU170" s="293"/>
      <c r="EV170" s="293"/>
      <c r="EW170" s="41"/>
      <c r="EX170" s="41"/>
      <c r="EY170" s="41"/>
      <c r="EZ170" s="256"/>
      <c r="FA170" s="308"/>
      <c r="FB170" s="308"/>
      <c r="FC170" s="308"/>
      <c r="FD170" s="308"/>
      <c r="FE170" s="41"/>
      <c r="FF170" s="41"/>
      <c r="FG170" s="41"/>
      <c r="FH170" s="256"/>
      <c r="FI170" s="41"/>
      <c r="FJ170" s="41"/>
      <c r="FK170" s="41"/>
      <c r="FL170" s="276"/>
    </row>
    <row r="171" spans="1:168" ht="20.25">
      <c r="A171" s="45">
        <v>164</v>
      </c>
      <c r="B171" s="45" t="s">
        <v>210</v>
      </c>
      <c r="C171" s="45">
        <v>5</v>
      </c>
      <c r="D171" s="29" t="s">
        <v>501</v>
      </c>
      <c r="E171" s="177">
        <v>58</v>
      </c>
      <c r="F171" s="188">
        <v>5</v>
      </c>
      <c r="G171" s="246">
        <f>86494.716/1000</f>
        <v>86.494715999999997</v>
      </c>
      <c r="H171" s="45">
        <v>86494.715999999986</v>
      </c>
      <c r="I171" s="45">
        <v>0</v>
      </c>
      <c r="J171" s="397">
        <v>79.625760000000014</v>
      </c>
      <c r="K171" s="495">
        <f t="shared" si="15"/>
        <v>166.120476</v>
      </c>
      <c r="L171" s="578"/>
      <c r="M171" s="45">
        <f t="shared" si="16"/>
        <v>0</v>
      </c>
      <c r="N171" s="46">
        <f>K171-M171</f>
        <v>166.120476</v>
      </c>
      <c r="O171" s="46">
        <f t="shared" si="19"/>
        <v>150</v>
      </c>
      <c r="P171" s="234"/>
      <c r="Q171" s="46">
        <v>1</v>
      </c>
      <c r="R171" s="450">
        <v>1</v>
      </c>
      <c r="S171" s="257">
        <v>90000</v>
      </c>
      <c r="T171" s="46"/>
      <c r="U171" s="46"/>
      <c r="V171" s="46"/>
      <c r="W171" s="46"/>
      <c r="X171" s="196"/>
      <c r="Y171" s="46"/>
      <c r="Z171" s="46"/>
      <c r="AA171" s="46"/>
      <c r="AB171" s="46"/>
      <c r="AC171" s="46"/>
      <c r="AD171" s="46"/>
      <c r="AE171" s="46"/>
      <c r="AF171" s="196"/>
      <c r="AG171" s="46"/>
      <c r="AH171" s="46"/>
      <c r="AI171" s="46"/>
      <c r="AJ171" s="46"/>
      <c r="AK171" s="46"/>
      <c r="AL171" s="46"/>
      <c r="AM171" s="46"/>
      <c r="AN171" s="196"/>
      <c r="AO171" s="438"/>
      <c r="AP171" s="46"/>
      <c r="AQ171" s="368"/>
      <c r="AR171" s="257"/>
      <c r="AS171" s="196"/>
      <c r="AT171" s="46"/>
      <c r="AU171" s="46"/>
      <c r="AV171" s="196"/>
      <c r="AW171" s="257"/>
      <c r="AX171" s="196"/>
      <c r="AY171" s="191"/>
      <c r="AZ171" s="257"/>
      <c r="BA171" s="196"/>
      <c r="BB171" s="46"/>
      <c r="BC171" s="257"/>
      <c r="BD171" s="196"/>
      <c r="BE171" s="191"/>
      <c r="BF171" s="46"/>
      <c r="BG171" s="196"/>
      <c r="BH171" s="46"/>
      <c r="BI171" s="257"/>
      <c r="BJ171" s="196"/>
      <c r="BK171" s="191"/>
      <c r="BL171" s="257"/>
      <c r="BM171" s="196"/>
      <c r="BN171" s="46"/>
      <c r="BO171" s="257"/>
      <c r="BP171" s="196"/>
      <c r="BQ171" s="190"/>
      <c r="BR171" s="46"/>
      <c r="BS171" s="196"/>
      <c r="BT171" s="46"/>
      <c r="BU171" s="257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196"/>
      <c r="CI171" s="46"/>
      <c r="CJ171" s="46"/>
      <c r="CK171" s="46"/>
      <c r="CL171" s="46"/>
      <c r="CM171" s="46"/>
      <c r="CN171" s="196"/>
      <c r="CO171" s="191"/>
      <c r="CP171" s="257"/>
      <c r="CQ171" s="196"/>
      <c r="CR171" s="167"/>
      <c r="CS171" s="257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191"/>
      <c r="DN171" s="46"/>
      <c r="DO171" s="196"/>
      <c r="DP171" s="221" t="s">
        <v>908</v>
      </c>
      <c r="DQ171" s="257">
        <f t="shared" si="17"/>
        <v>60000</v>
      </c>
      <c r="DR171" s="294"/>
      <c r="DS171" s="295"/>
      <c r="DT171" s="386">
        <f t="shared" si="18"/>
        <v>0</v>
      </c>
      <c r="DU171" s="41"/>
      <c r="DV171" s="41"/>
      <c r="DW171" s="256"/>
      <c r="DX171" s="41"/>
      <c r="DY171" s="41"/>
      <c r="DZ171" s="68"/>
      <c r="EA171" s="41"/>
      <c r="EB171" s="41"/>
      <c r="EC171" s="256"/>
      <c r="ED171" s="308"/>
      <c r="EE171" s="308"/>
      <c r="EF171" s="308"/>
      <c r="EG171" s="41"/>
      <c r="EH171" s="41"/>
      <c r="EI171" s="41"/>
      <c r="EJ171" s="69"/>
      <c r="EK171" s="308"/>
      <c r="EL171" s="308"/>
      <c r="EM171" s="308"/>
      <c r="EN171" s="308"/>
      <c r="EO171" s="41">
        <v>9</v>
      </c>
      <c r="EP171" s="41">
        <v>3</v>
      </c>
      <c r="EQ171" s="41" t="s">
        <v>529</v>
      </c>
      <c r="ER171" s="256">
        <v>60000</v>
      </c>
      <c r="ES171" s="293"/>
      <c r="ET171" s="293"/>
      <c r="EU171" s="293"/>
      <c r="EV171" s="293"/>
      <c r="EW171" s="41"/>
      <c r="EX171" s="41"/>
      <c r="EY171" s="41"/>
      <c r="EZ171" s="256"/>
      <c r="FA171" s="308"/>
      <c r="FB171" s="308"/>
      <c r="FC171" s="308"/>
      <c r="FD171" s="308"/>
      <c r="FE171" s="46"/>
      <c r="FF171" s="41"/>
      <c r="FG171" s="41"/>
      <c r="FH171" s="256"/>
      <c r="FI171" s="41"/>
      <c r="FJ171" s="41"/>
      <c r="FK171" s="41"/>
      <c r="FL171" s="276"/>
    </row>
    <row r="172" spans="1:168" ht="30">
      <c r="A172" s="45">
        <v>165</v>
      </c>
      <c r="B172" s="45" t="s">
        <v>210</v>
      </c>
      <c r="C172" s="45">
        <v>5</v>
      </c>
      <c r="D172" s="29" t="s">
        <v>118</v>
      </c>
      <c r="E172" s="30">
        <v>60</v>
      </c>
      <c r="F172" s="30">
        <v>5</v>
      </c>
      <c r="G172" s="246">
        <f>34103.916/1000</f>
        <v>34.103915999999998</v>
      </c>
      <c r="H172" s="45">
        <v>34103.915999999997</v>
      </c>
      <c r="I172" s="45">
        <v>0</v>
      </c>
      <c r="J172" s="397">
        <v>124.92112999999998</v>
      </c>
      <c r="K172" s="495">
        <f t="shared" si="15"/>
        <v>159.02504599999997</v>
      </c>
      <c r="L172" s="578"/>
      <c r="M172" s="45">
        <f t="shared" si="16"/>
        <v>0</v>
      </c>
      <c r="N172" s="46">
        <f t="shared" si="14"/>
        <v>159.02504599999997</v>
      </c>
      <c r="O172" s="46">
        <f t="shared" si="19"/>
        <v>105</v>
      </c>
      <c r="P172" s="234" t="s">
        <v>249</v>
      </c>
      <c r="Q172" s="46">
        <v>1</v>
      </c>
      <c r="R172" s="450" t="s">
        <v>910</v>
      </c>
      <c r="S172" s="257">
        <v>20000</v>
      </c>
      <c r="T172" s="46"/>
      <c r="U172" s="46"/>
      <c r="V172" s="46"/>
      <c r="W172" s="46"/>
      <c r="X172" s="196"/>
      <c r="Y172" s="46"/>
      <c r="Z172" s="46"/>
      <c r="AA172" s="46"/>
      <c r="AB172" s="46"/>
      <c r="AC172" s="46"/>
      <c r="AD172" s="46"/>
      <c r="AE172" s="46"/>
      <c r="AF172" s="196"/>
      <c r="AG172" s="46"/>
      <c r="AH172" s="46"/>
      <c r="AI172" s="46"/>
      <c r="AJ172" s="46"/>
      <c r="AK172" s="46"/>
      <c r="AL172" s="46"/>
      <c r="AM172" s="46"/>
      <c r="AN172" s="196"/>
      <c r="AO172" s="438"/>
      <c r="AP172" s="46"/>
      <c r="AQ172" s="368"/>
      <c r="AR172" s="257"/>
      <c r="AS172" s="196"/>
      <c r="AT172" s="46"/>
      <c r="AU172" s="46"/>
      <c r="AV172" s="196"/>
      <c r="AW172" s="257"/>
      <c r="AX172" s="196"/>
      <c r="AY172" s="191"/>
      <c r="AZ172" s="257"/>
      <c r="BA172" s="196"/>
      <c r="BB172" s="46"/>
      <c r="BC172" s="257"/>
      <c r="BD172" s="196"/>
      <c r="BE172" s="191"/>
      <c r="BF172" s="46"/>
      <c r="BG172" s="196"/>
      <c r="BH172" s="46"/>
      <c r="BI172" s="257"/>
      <c r="BJ172" s="196"/>
      <c r="BK172" s="190"/>
      <c r="BL172" s="257"/>
      <c r="BM172" s="196"/>
      <c r="BN172" s="46"/>
      <c r="BO172" s="257"/>
      <c r="BP172" s="196"/>
      <c r="BQ172" s="190"/>
      <c r="BR172" s="46"/>
      <c r="BS172" s="196"/>
      <c r="BT172" s="46"/>
      <c r="BU172" s="257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196"/>
      <c r="CI172" s="46"/>
      <c r="CJ172" s="46"/>
      <c r="CK172" s="46"/>
      <c r="CL172" s="46"/>
      <c r="CM172" s="46"/>
      <c r="CN172" s="196"/>
      <c r="CO172" s="191"/>
      <c r="CP172" s="257"/>
      <c r="CQ172" s="196"/>
      <c r="CR172" s="167"/>
      <c r="CS172" s="257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191"/>
      <c r="DN172" s="46"/>
      <c r="DO172" s="218"/>
      <c r="DP172" s="221" t="s">
        <v>909</v>
      </c>
      <c r="DQ172" s="257">
        <f>DW172+EC172+EJ172+ER172+EZ172+FH172+50000</f>
        <v>85000</v>
      </c>
      <c r="DR172" s="294"/>
      <c r="DS172" s="295"/>
      <c r="DT172" s="386">
        <f t="shared" si="18"/>
        <v>0</v>
      </c>
      <c r="DU172" s="41"/>
      <c r="DV172" s="41"/>
      <c r="DW172" s="256"/>
      <c r="DX172" s="41"/>
      <c r="DY172" s="41"/>
      <c r="DZ172" s="68"/>
      <c r="EA172" s="41"/>
      <c r="EB172" s="41"/>
      <c r="EC172" s="256"/>
      <c r="ED172" s="308"/>
      <c r="EE172" s="308"/>
      <c r="EF172" s="308"/>
      <c r="EG172" s="41"/>
      <c r="EH172" s="41"/>
      <c r="EI172" s="41"/>
      <c r="EJ172" s="69"/>
      <c r="EK172" s="308"/>
      <c r="EL172" s="308"/>
      <c r="EM172" s="308"/>
      <c r="EN172" s="308"/>
      <c r="EO172" s="41">
        <v>5</v>
      </c>
      <c r="EP172" s="41">
        <v>1</v>
      </c>
      <c r="EQ172" s="41">
        <v>1</v>
      </c>
      <c r="ER172" s="256">
        <v>20000</v>
      </c>
      <c r="ES172" s="293"/>
      <c r="ET172" s="293"/>
      <c r="EU172" s="293"/>
      <c r="EV172" s="293"/>
      <c r="EW172" s="41"/>
      <c r="EX172" s="41"/>
      <c r="EY172" s="41"/>
      <c r="EZ172" s="256"/>
      <c r="FA172" s="308"/>
      <c r="FB172" s="308"/>
      <c r="FC172" s="308"/>
      <c r="FD172" s="308"/>
      <c r="FE172" s="46">
        <v>9</v>
      </c>
      <c r="FF172" s="41">
        <v>1</v>
      </c>
      <c r="FG172" s="41">
        <v>1</v>
      </c>
      <c r="FH172" s="256">
        <v>15000</v>
      </c>
      <c r="FI172" s="41"/>
      <c r="FJ172" s="41"/>
      <c r="FK172" s="41"/>
      <c r="FL172" s="276"/>
    </row>
    <row r="173" spans="1:168" ht="20.25">
      <c r="A173" s="45">
        <v>166</v>
      </c>
      <c r="B173" s="45"/>
      <c r="C173" s="45">
        <v>5</v>
      </c>
      <c r="D173" s="29" t="s">
        <v>118</v>
      </c>
      <c r="E173" s="30">
        <v>62</v>
      </c>
      <c r="F173" s="30">
        <v>5</v>
      </c>
      <c r="G173" s="246">
        <f>33821.172/1000</f>
        <v>33.821171999999997</v>
      </c>
      <c r="H173" s="45">
        <v>33821.171999999991</v>
      </c>
      <c r="I173" s="45">
        <v>0</v>
      </c>
      <c r="J173" s="397">
        <v>31.401510000000002</v>
      </c>
      <c r="K173" s="495">
        <f t="shared" si="15"/>
        <v>65.222681999999992</v>
      </c>
      <c r="L173" s="578"/>
      <c r="M173" s="45">
        <f t="shared" si="16"/>
        <v>0</v>
      </c>
      <c r="N173" s="46">
        <f t="shared" si="14"/>
        <v>65.222681999999992</v>
      </c>
      <c r="O173" s="46">
        <f t="shared" si="19"/>
        <v>65</v>
      </c>
      <c r="P173" s="234"/>
      <c r="Q173" s="46"/>
      <c r="R173" s="450"/>
      <c r="S173" s="257"/>
      <c r="T173" s="46"/>
      <c r="U173" s="46"/>
      <c r="V173" s="46"/>
      <c r="W173" s="46"/>
      <c r="X173" s="196"/>
      <c r="Y173" s="46"/>
      <c r="Z173" s="46"/>
      <c r="AA173" s="46"/>
      <c r="AB173" s="46"/>
      <c r="AC173" s="46"/>
      <c r="AD173" s="46"/>
      <c r="AE173" s="46"/>
      <c r="AF173" s="196"/>
      <c r="AG173" s="46"/>
      <c r="AH173" s="46"/>
      <c r="AI173" s="46"/>
      <c r="AJ173" s="46"/>
      <c r="AK173" s="46"/>
      <c r="AL173" s="46"/>
      <c r="AM173" s="46"/>
      <c r="AN173" s="196"/>
      <c r="AO173" s="438"/>
      <c r="AP173" s="46"/>
      <c r="AQ173" s="368"/>
      <c r="AR173" s="257"/>
      <c r="AS173" s="196"/>
      <c r="AT173" s="46"/>
      <c r="AU173" s="46"/>
      <c r="AV173" s="196"/>
      <c r="AW173" s="257"/>
      <c r="AX173" s="196"/>
      <c r="AY173" s="191"/>
      <c r="AZ173" s="257"/>
      <c r="BA173" s="196"/>
      <c r="BB173" s="46"/>
      <c r="BC173" s="257"/>
      <c r="BD173" s="196"/>
      <c r="BE173" s="191"/>
      <c r="BF173" s="46"/>
      <c r="BG173" s="196"/>
      <c r="BH173" s="46"/>
      <c r="BI173" s="257"/>
      <c r="BJ173" s="196" t="s">
        <v>228</v>
      </c>
      <c r="BK173" s="191">
        <v>6</v>
      </c>
      <c r="BL173" s="257">
        <f>BK173*2500</f>
        <v>15000</v>
      </c>
      <c r="BM173" s="196"/>
      <c r="BN173" s="46"/>
      <c r="BO173" s="257"/>
      <c r="BP173" s="196"/>
      <c r="BQ173" s="190"/>
      <c r="BR173" s="46"/>
      <c r="BS173" s="196"/>
      <c r="BT173" s="46"/>
      <c r="BU173" s="257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196"/>
      <c r="CI173" s="46"/>
      <c r="CJ173" s="46"/>
      <c r="CK173" s="46"/>
      <c r="CL173" s="46"/>
      <c r="CM173" s="46"/>
      <c r="CN173" s="196"/>
      <c r="CO173" s="191"/>
      <c r="CP173" s="257"/>
      <c r="CQ173" s="196"/>
      <c r="CR173" s="167"/>
      <c r="CS173" s="257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191"/>
      <c r="DN173" s="46"/>
      <c r="DO173" s="218"/>
      <c r="DP173" s="221" t="s">
        <v>911</v>
      </c>
      <c r="DQ173" s="257">
        <f t="shared" si="17"/>
        <v>50000</v>
      </c>
      <c r="DR173" s="294"/>
      <c r="DS173" s="295"/>
      <c r="DT173" s="386">
        <f t="shared" si="18"/>
        <v>0</v>
      </c>
      <c r="DU173" s="41">
        <v>8</v>
      </c>
      <c r="DV173" s="41">
        <v>2</v>
      </c>
      <c r="DW173" s="256">
        <v>30000</v>
      </c>
      <c r="DX173" s="41"/>
      <c r="DY173" s="41"/>
      <c r="DZ173" s="68"/>
      <c r="EA173" s="41"/>
      <c r="EB173" s="41"/>
      <c r="EC173" s="256"/>
      <c r="ED173" s="308"/>
      <c r="EE173" s="308"/>
      <c r="EF173" s="308"/>
      <c r="EG173" s="41"/>
      <c r="EH173" s="41"/>
      <c r="EI173" s="41"/>
      <c r="EJ173" s="69"/>
      <c r="EK173" s="308"/>
      <c r="EL173" s="308"/>
      <c r="EM173" s="308"/>
      <c r="EN173" s="308"/>
      <c r="EO173" s="41">
        <v>5</v>
      </c>
      <c r="EP173" s="41">
        <v>1</v>
      </c>
      <c r="EQ173" s="41">
        <v>1</v>
      </c>
      <c r="ER173" s="256">
        <v>20000</v>
      </c>
      <c r="ES173" s="293"/>
      <c r="ET173" s="293"/>
      <c r="EU173" s="293"/>
      <c r="EV173" s="293"/>
      <c r="EW173" s="41"/>
      <c r="EX173" s="41"/>
      <c r="EY173" s="41"/>
      <c r="EZ173" s="256"/>
      <c r="FA173" s="308"/>
      <c r="FB173" s="308"/>
      <c r="FC173" s="308"/>
      <c r="FD173" s="308"/>
      <c r="FE173" s="46"/>
      <c r="FF173" s="41"/>
      <c r="FG173" s="41"/>
      <c r="FH173" s="256"/>
      <c r="FI173" s="41"/>
      <c r="FJ173" s="41"/>
      <c r="FK173" s="41"/>
      <c r="FL173" s="276"/>
    </row>
    <row r="174" spans="1:168" ht="20.25">
      <c r="A174" s="45">
        <v>167</v>
      </c>
      <c r="B174" s="45" t="s">
        <v>210</v>
      </c>
      <c r="C174" s="45">
        <v>5</v>
      </c>
      <c r="D174" s="29" t="s">
        <v>122</v>
      </c>
      <c r="E174" s="30" t="s">
        <v>123</v>
      </c>
      <c r="F174" s="30">
        <v>5</v>
      </c>
      <c r="G174" s="246">
        <f>60166.26/1000</f>
        <v>60.166260000000001</v>
      </c>
      <c r="H174" s="45">
        <v>60166.259999999995</v>
      </c>
      <c r="I174" s="45">
        <v>0</v>
      </c>
      <c r="J174" s="397">
        <v>100.74309000000001</v>
      </c>
      <c r="K174" s="495">
        <f t="shared" si="15"/>
        <v>160.90935000000002</v>
      </c>
      <c r="L174" s="578"/>
      <c r="M174" s="45">
        <f t="shared" si="16"/>
        <v>0</v>
      </c>
      <c r="N174" s="46">
        <f t="shared" si="14"/>
        <v>160.90935000000002</v>
      </c>
      <c r="O174" s="46">
        <f t="shared" si="19"/>
        <v>150</v>
      </c>
      <c r="P174" s="234" t="s">
        <v>250</v>
      </c>
      <c r="Q174" s="46">
        <v>1</v>
      </c>
      <c r="R174" s="450">
        <v>1</v>
      </c>
      <c r="S174" s="257">
        <v>90000</v>
      </c>
      <c r="T174" s="46"/>
      <c r="U174" s="46"/>
      <c r="V174" s="46"/>
      <c r="W174" s="46"/>
      <c r="X174" s="196"/>
      <c r="Y174" s="46"/>
      <c r="Z174" s="46"/>
      <c r="AA174" s="46"/>
      <c r="AB174" s="46"/>
      <c r="AC174" s="46"/>
      <c r="AD174" s="46"/>
      <c r="AE174" s="46"/>
      <c r="AF174" s="196"/>
      <c r="AG174" s="46"/>
      <c r="AH174" s="46"/>
      <c r="AI174" s="46"/>
      <c r="AJ174" s="46"/>
      <c r="AK174" s="46"/>
      <c r="AL174" s="46"/>
      <c r="AM174" s="46"/>
      <c r="AN174" s="196"/>
      <c r="AO174" s="438"/>
      <c r="AP174" s="46"/>
      <c r="AQ174" s="368"/>
      <c r="AR174" s="257"/>
      <c r="AS174" s="196"/>
      <c r="AT174" s="46"/>
      <c r="AU174" s="46"/>
      <c r="AV174" s="196"/>
      <c r="AW174" s="257"/>
      <c r="AX174" s="196"/>
      <c r="AY174" s="191"/>
      <c r="AZ174" s="257"/>
      <c r="BA174" s="196"/>
      <c r="BB174" s="46"/>
      <c r="BC174" s="257"/>
      <c r="BD174" s="196"/>
      <c r="BE174" s="191"/>
      <c r="BF174" s="46"/>
      <c r="BG174" s="196"/>
      <c r="BH174" s="46"/>
      <c r="BI174" s="257"/>
      <c r="BJ174" s="196"/>
      <c r="BK174" s="191"/>
      <c r="BL174" s="257"/>
      <c r="BM174" s="196"/>
      <c r="BN174" s="46"/>
      <c r="BO174" s="257"/>
      <c r="BP174" s="196"/>
      <c r="BQ174" s="190"/>
      <c r="BR174" s="46"/>
      <c r="BS174" s="196"/>
      <c r="BT174" s="46"/>
      <c r="BU174" s="257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196"/>
      <c r="CI174" s="46"/>
      <c r="CJ174" s="46"/>
      <c r="CK174" s="46"/>
      <c r="CL174" s="46"/>
      <c r="CM174" s="46"/>
      <c r="CN174" s="196"/>
      <c r="CO174" s="191"/>
      <c r="CP174" s="257"/>
      <c r="CQ174" s="196"/>
      <c r="CR174" s="167"/>
      <c r="CS174" s="257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>
        <v>10</v>
      </c>
      <c r="DM174" s="191" t="s">
        <v>912</v>
      </c>
      <c r="DN174" s="46">
        <v>30000</v>
      </c>
      <c r="DO174" s="218"/>
      <c r="DP174" s="221" t="s">
        <v>913</v>
      </c>
      <c r="DQ174" s="257">
        <f t="shared" si="17"/>
        <v>30000</v>
      </c>
      <c r="DR174" s="294"/>
      <c r="DS174" s="295"/>
      <c r="DT174" s="386">
        <f t="shared" si="18"/>
        <v>0</v>
      </c>
      <c r="DU174" s="41"/>
      <c r="DV174" s="41"/>
      <c r="DW174" s="256"/>
      <c r="DX174" s="41"/>
      <c r="DY174" s="41"/>
      <c r="DZ174" s="68"/>
      <c r="EA174" s="41"/>
      <c r="EB174" s="41"/>
      <c r="EC174" s="256"/>
      <c r="ED174" s="308"/>
      <c r="EE174" s="308"/>
      <c r="EF174" s="308"/>
      <c r="EG174" s="41">
        <v>5</v>
      </c>
      <c r="EH174" s="41">
        <v>1</v>
      </c>
      <c r="EI174" s="41">
        <v>1</v>
      </c>
      <c r="EJ174" s="69">
        <v>10000</v>
      </c>
      <c r="EK174" s="308"/>
      <c r="EL174" s="308"/>
      <c r="EM174" s="308"/>
      <c r="EN174" s="308"/>
      <c r="EO174" s="41"/>
      <c r="EP174" s="41"/>
      <c r="EQ174" s="41"/>
      <c r="ER174" s="256"/>
      <c r="ES174" s="293"/>
      <c r="ET174" s="293"/>
      <c r="EU174" s="293"/>
      <c r="EV174" s="293"/>
      <c r="EW174" s="41">
        <v>6</v>
      </c>
      <c r="EX174" s="41">
        <v>1</v>
      </c>
      <c r="EY174" s="41">
        <v>6</v>
      </c>
      <c r="EZ174" s="256">
        <v>20000</v>
      </c>
      <c r="FA174" s="308"/>
      <c r="FB174" s="308"/>
      <c r="FC174" s="308"/>
      <c r="FD174" s="308"/>
      <c r="FE174" s="46"/>
      <c r="FF174" s="41"/>
      <c r="FG174" s="41"/>
      <c r="FH174" s="256"/>
      <c r="FI174" s="41"/>
      <c r="FJ174" s="41"/>
      <c r="FK174" s="41"/>
      <c r="FL174" s="276"/>
    </row>
    <row r="175" spans="1:168" ht="45.75">
      <c r="A175" s="45">
        <v>168</v>
      </c>
      <c r="B175" s="45" t="s">
        <v>210</v>
      </c>
      <c r="C175" s="45">
        <v>5</v>
      </c>
      <c r="D175" s="29" t="s">
        <v>124</v>
      </c>
      <c r="E175" s="30" t="s">
        <v>125</v>
      </c>
      <c r="F175" s="30">
        <v>5</v>
      </c>
      <c r="G175" s="246">
        <f>60241.104/1000</f>
        <v>60.241104</v>
      </c>
      <c r="H175" s="45">
        <v>60241.103999999992</v>
      </c>
      <c r="I175" s="45">
        <v>0</v>
      </c>
      <c r="J175" s="397">
        <v>157.06528</v>
      </c>
      <c r="K175" s="495">
        <f t="shared" si="15"/>
        <v>217.30638400000001</v>
      </c>
      <c r="L175" s="578"/>
      <c r="M175" s="45">
        <f t="shared" si="16"/>
        <v>0</v>
      </c>
      <c r="N175" s="46">
        <f t="shared" si="14"/>
        <v>217.30638400000001</v>
      </c>
      <c r="O175" s="46">
        <f t="shared" si="19"/>
        <v>110</v>
      </c>
      <c r="P175" s="234" t="s">
        <v>247</v>
      </c>
      <c r="Q175" s="46">
        <v>2</v>
      </c>
      <c r="R175" s="450" t="s">
        <v>914</v>
      </c>
      <c r="S175" s="257">
        <f>20000+40000</f>
        <v>60000</v>
      </c>
      <c r="T175" s="46"/>
      <c r="U175" s="46"/>
      <c r="V175" s="46"/>
      <c r="W175" s="46"/>
      <c r="X175" s="196"/>
      <c r="Y175" s="46"/>
      <c r="Z175" s="46"/>
      <c r="AA175" s="46"/>
      <c r="AB175" s="46"/>
      <c r="AC175" s="46"/>
      <c r="AD175" s="46"/>
      <c r="AE175" s="46"/>
      <c r="AF175" s="196"/>
      <c r="AG175" s="46"/>
      <c r="AH175" s="46"/>
      <c r="AI175" s="46"/>
      <c r="AJ175" s="46"/>
      <c r="AK175" s="46"/>
      <c r="AL175" s="46"/>
      <c r="AM175" s="46"/>
      <c r="AN175" s="196"/>
      <c r="AO175" s="438"/>
      <c r="AP175" s="46"/>
      <c r="AQ175" s="368"/>
      <c r="AR175" s="257"/>
      <c r="AS175" s="196"/>
      <c r="AT175" s="46"/>
      <c r="AU175" s="46"/>
      <c r="AV175" s="196"/>
      <c r="AW175" s="257"/>
      <c r="AX175" s="196"/>
      <c r="AY175" s="191"/>
      <c r="AZ175" s="257"/>
      <c r="BA175" s="196"/>
      <c r="BB175" s="46"/>
      <c r="BC175" s="257"/>
      <c r="BD175" s="196"/>
      <c r="BE175" s="191"/>
      <c r="BF175" s="46"/>
      <c r="BG175" s="196"/>
      <c r="BH175" s="46"/>
      <c r="BI175" s="257"/>
      <c r="BJ175" s="196"/>
      <c r="BK175" s="191"/>
      <c r="BL175" s="257"/>
      <c r="BM175" s="196"/>
      <c r="BN175" s="46"/>
      <c r="BO175" s="257"/>
      <c r="BP175" s="196"/>
      <c r="BQ175" s="190"/>
      <c r="BR175" s="46"/>
      <c r="BS175" s="196"/>
      <c r="BT175" s="46"/>
      <c r="BU175" s="257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196"/>
      <c r="CI175" s="46"/>
      <c r="CJ175" s="46"/>
      <c r="CK175" s="46"/>
      <c r="CL175" s="46"/>
      <c r="CM175" s="46"/>
      <c r="CN175" s="196"/>
      <c r="CO175" s="191"/>
      <c r="CP175" s="257"/>
      <c r="CQ175" s="196"/>
      <c r="CR175" s="167"/>
      <c r="CS175" s="257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191"/>
      <c r="DN175" s="46"/>
      <c r="DO175" s="218"/>
      <c r="DP175" s="221" t="s">
        <v>571</v>
      </c>
      <c r="DQ175" s="257">
        <f>DW175+EC175+EJ175+ER175+EZ175+FH175+50000</f>
        <v>50000</v>
      </c>
      <c r="DR175" s="296"/>
      <c r="DS175" s="295"/>
      <c r="DT175" s="386">
        <f t="shared" si="18"/>
        <v>0</v>
      </c>
      <c r="DU175" s="41"/>
      <c r="DV175" s="41"/>
      <c r="DW175" s="256"/>
      <c r="DX175" s="41"/>
      <c r="DY175" s="41"/>
      <c r="DZ175" s="68"/>
      <c r="EA175" s="41"/>
      <c r="EB175" s="41"/>
      <c r="EC175" s="256"/>
      <c r="ED175" s="308"/>
      <c r="EE175" s="308"/>
      <c r="EF175" s="308"/>
      <c r="EG175" s="41"/>
      <c r="EH175" s="41"/>
      <c r="EI175" s="41"/>
      <c r="EJ175" s="69"/>
      <c r="EK175" s="308"/>
      <c r="EL175" s="308"/>
      <c r="EM175" s="308"/>
      <c r="EN175" s="308"/>
      <c r="EO175" s="41"/>
      <c r="EP175" s="41"/>
      <c r="EQ175" s="41"/>
      <c r="ER175" s="256"/>
      <c r="ES175" s="293"/>
      <c r="ET175" s="293"/>
      <c r="EU175" s="293"/>
      <c r="EV175" s="293"/>
      <c r="EW175" s="41"/>
      <c r="EX175" s="41"/>
      <c r="EY175" s="41"/>
      <c r="EZ175" s="256"/>
      <c r="FA175" s="308"/>
      <c r="FB175" s="308"/>
      <c r="FC175" s="308"/>
      <c r="FD175" s="308"/>
      <c r="FE175" s="46"/>
      <c r="FF175" s="41"/>
      <c r="FG175" s="41"/>
      <c r="FH175" s="256"/>
      <c r="FI175" s="41"/>
      <c r="FJ175" s="41"/>
      <c r="FK175" s="41"/>
      <c r="FL175" s="276"/>
    </row>
    <row r="176" spans="1:168">
      <c r="A176" s="45">
        <v>169</v>
      </c>
      <c r="B176" s="45" t="s">
        <v>210</v>
      </c>
      <c r="C176" s="45">
        <v>4</v>
      </c>
      <c r="D176" s="29" t="s">
        <v>126</v>
      </c>
      <c r="E176" s="30">
        <v>47</v>
      </c>
      <c r="F176" s="30">
        <v>5</v>
      </c>
      <c r="G176" s="246">
        <f>55974.996/1000</f>
        <v>55.974995999999997</v>
      </c>
      <c r="H176" s="45">
        <v>55974.996000000006</v>
      </c>
      <c r="I176" s="45">
        <v>0</v>
      </c>
      <c r="J176" s="397">
        <v>187.25799999999998</v>
      </c>
      <c r="K176" s="495">
        <f t="shared" si="15"/>
        <v>243.23299599999999</v>
      </c>
      <c r="L176" s="578"/>
      <c r="M176" s="45">
        <f t="shared" si="16"/>
        <v>0</v>
      </c>
      <c r="N176" s="46">
        <f t="shared" si="14"/>
        <v>243.23299599999999</v>
      </c>
      <c r="O176" s="46">
        <f t="shared" si="19"/>
        <v>206.8</v>
      </c>
      <c r="P176" s="234" t="s">
        <v>247</v>
      </c>
      <c r="Q176" s="46">
        <v>1</v>
      </c>
      <c r="R176" s="450">
        <v>1</v>
      </c>
      <c r="S176" s="257">
        <v>90000</v>
      </c>
      <c r="T176" s="46"/>
      <c r="U176" s="46"/>
      <c r="V176" s="46"/>
      <c r="W176" s="46"/>
      <c r="X176" s="196"/>
      <c r="Y176" s="46"/>
      <c r="Z176" s="46"/>
      <c r="AA176" s="46"/>
      <c r="AB176" s="46"/>
      <c r="AC176" s="46"/>
      <c r="AD176" s="46"/>
      <c r="AE176" s="46"/>
      <c r="AF176" s="196"/>
      <c r="AG176" s="46"/>
      <c r="AH176" s="46"/>
      <c r="AI176" s="46"/>
      <c r="AJ176" s="46"/>
      <c r="AK176" s="46"/>
      <c r="AL176" s="46"/>
      <c r="AM176" s="46"/>
      <c r="AN176" s="196"/>
      <c r="AO176" s="438"/>
      <c r="AP176" s="46"/>
      <c r="AQ176" s="368"/>
      <c r="AR176" s="257"/>
      <c r="AS176" s="196"/>
      <c r="AT176" s="46"/>
      <c r="AU176" s="46"/>
      <c r="AV176" s="196"/>
      <c r="AW176" s="257"/>
      <c r="AX176" s="196" t="s">
        <v>250</v>
      </c>
      <c r="AY176" s="191">
        <v>20</v>
      </c>
      <c r="AZ176" s="257">
        <f>AY176*2000</f>
        <v>40000</v>
      </c>
      <c r="BA176" s="196"/>
      <c r="BB176" s="46"/>
      <c r="BC176" s="257"/>
      <c r="BD176" s="196"/>
      <c r="BE176" s="191"/>
      <c r="BF176" s="46"/>
      <c r="BG176" s="196"/>
      <c r="BH176" s="46"/>
      <c r="BI176" s="257"/>
      <c r="BJ176" s="196"/>
      <c r="BK176" s="191"/>
      <c r="BL176" s="257"/>
      <c r="BM176" s="196"/>
      <c r="BN176" s="46"/>
      <c r="BO176" s="257"/>
      <c r="BP176" s="196"/>
      <c r="BQ176" s="190"/>
      <c r="BR176" s="46"/>
      <c r="BS176" s="196"/>
      <c r="BT176" s="46"/>
      <c r="BU176" s="257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196"/>
      <c r="CI176" s="46"/>
      <c r="CJ176" s="46"/>
      <c r="CK176" s="46"/>
      <c r="CL176" s="46"/>
      <c r="CM176" s="46"/>
      <c r="CN176" s="196"/>
      <c r="CO176" s="191"/>
      <c r="CP176" s="257"/>
      <c r="CQ176" s="196"/>
      <c r="CR176" s="167"/>
      <c r="CS176" s="257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191"/>
      <c r="DN176" s="46"/>
      <c r="DO176" s="196"/>
      <c r="DP176" s="221" t="s">
        <v>851</v>
      </c>
      <c r="DQ176" s="257">
        <f t="shared" si="17"/>
        <v>76800</v>
      </c>
      <c r="DR176" s="294"/>
      <c r="DS176" s="295"/>
      <c r="DT176" s="386">
        <f t="shared" si="18"/>
        <v>0</v>
      </c>
      <c r="DU176" s="41"/>
      <c r="DV176" s="41"/>
      <c r="DW176" s="256"/>
      <c r="DX176" s="41"/>
      <c r="DY176" s="41"/>
      <c r="DZ176" s="68"/>
      <c r="EA176" s="41">
        <v>8</v>
      </c>
      <c r="EB176" s="41">
        <v>96</v>
      </c>
      <c r="EC176" s="256">
        <f>EB176*800</f>
        <v>76800</v>
      </c>
      <c r="ED176" s="308"/>
      <c r="EE176" s="308"/>
      <c r="EF176" s="308"/>
      <c r="EG176" s="41"/>
      <c r="EH176" s="41"/>
      <c r="EI176" s="41"/>
      <c r="EJ176" s="69"/>
      <c r="EK176" s="308"/>
      <c r="EL176" s="308"/>
      <c r="EM176" s="308"/>
      <c r="EN176" s="308"/>
      <c r="EO176" s="41"/>
      <c r="EP176" s="41"/>
      <c r="EQ176" s="41"/>
      <c r="ER176" s="256"/>
      <c r="ES176" s="293"/>
      <c r="ET176" s="293"/>
      <c r="EU176" s="293"/>
      <c r="EV176" s="293"/>
      <c r="EW176" s="41"/>
      <c r="EX176" s="41"/>
      <c r="EY176" s="41"/>
      <c r="EZ176" s="256"/>
      <c r="FA176" s="308"/>
      <c r="FB176" s="308"/>
      <c r="FC176" s="308"/>
      <c r="FD176" s="308"/>
      <c r="FE176" s="46"/>
      <c r="FF176" s="41"/>
      <c r="FG176" s="41"/>
      <c r="FH176" s="256"/>
      <c r="FI176" s="41"/>
      <c r="FJ176" s="41"/>
      <c r="FK176" s="41"/>
      <c r="FL176" s="276"/>
    </row>
    <row r="177" spans="1:168">
      <c r="A177" s="45">
        <v>170</v>
      </c>
      <c r="B177" s="45" t="s">
        <v>210</v>
      </c>
      <c r="C177" s="45">
        <v>5</v>
      </c>
      <c r="D177" s="29" t="s">
        <v>127</v>
      </c>
      <c r="E177" s="30">
        <v>3</v>
      </c>
      <c r="F177" s="30">
        <v>5</v>
      </c>
      <c r="G177" s="246">
        <f>32473.98/1000</f>
        <v>32.473979999999997</v>
      </c>
      <c r="H177" s="45">
        <v>32473.98</v>
      </c>
      <c r="I177" s="45">
        <v>0</v>
      </c>
      <c r="J177" s="397">
        <v>18.191240000000001</v>
      </c>
      <c r="K177" s="495">
        <f t="shared" si="15"/>
        <v>50.665219999999998</v>
      </c>
      <c r="L177" s="578"/>
      <c r="M177" s="45">
        <f t="shared" si="16"/>
        <v>0</v>
      </c>
      <c r="N177" s="46">
        <f t="shared" si="14"/>
        <v>50.665219999999998</v>
      </c>
      <c r="O177" s="46">
        <f t="shared" si="19"/>
        <v>32</v>
      </c>
      <c r="P177" s="234"/>
      <c r="Q177" s="46"/>
      <c r="R177" s="450"/>
      <c r="S177" s="257"/>
      <c r="T177" s="46"/>
      <c r="U177" s="46"/>
      <c r="V177" s="46"/>
      <c r="W177" s="46"/>
      <c r="X177" s="196"/>
      <c r="Y177" s="46"/>
      <c r="Z177" s="46"/>
      <c r="AA177" s="46"/>
      <c r="AB177" s="46"/>
      <c r="AC177" s="46"/>
      <c r="AD177" s="46"/>
      <c r="AE177" s="46"/>
      <c r="AF177" s="196"/>
      <c r="AG177" s="46"/>
      <c r="AH177" s="46"/>
      <c r="AI177" s="46"/>
      <c r="AJ177" s="46"/>
      <c r="AK177" s="46"/>
      <c r="AL177" s="46"/>
      <c r="AM177" s="46"/>
      <c r="AN177" s="196"/>
      <c r="AO177" s="438"/>
      <c r="AP177" s="46"/>
      <c r="AQ177" s="368"/>
      <c r="AR177" s="257"/>
      <c r="AS177" s="196"/>
      <c r="AT177" s="46"/>
      <c r="AU177" s="46"/>
      <c r="AV177" s="196"/>
      <c r="AW177" s="257"/>
      <c r="AX177" s="196"/>
      <c r="AY177" s="191"/>
      <c r="AZ177" s="257"/>
      <c r="BA177" s="196"/>
      <c r="BB177" s="46"/>
      <c r="BC177" s="257"/>
      <c r="BD177" s="196"/>
      <c r="BE177" s="191"/>
      <c r="BF177" s="46"/>
      <c r="BG177" s="196"/>
      <c r="BH177" s="46"/>
      <c r="BI177" s="257"/>
      <c r="BJ177" s="196"/>
      <c r="BK177" s="191"/>
      <c r="BL177" s="257"/>
      <c r="BM177" s="196"/>
      <c r="BN177" s="167"/>
      <c r="BO177" s="257"/>
      <c r="BP177" s="196"/>
      <c r="BQ177" s="190"/>
      <c r="BR177" s="46"/>
      <c r="BS177" s="196"/>
      <c r="BT177" s="46"/>
      <c r="BU177" s="257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196"/>
      <c r="CI177" s="46"/>
      <c r="CJ177" s="46"/>
      <c r="CK177" s="46"/>
      <c r="CL177" s="46"/>
      <c r="CM177" s="46"/>
      <c r="CN177" s="196"/>
      <c r="CO177" s="191"/>
      <c r="CP177" s="257"/>
      <c r="CQ177" s="196"/>
      <c r="CR177" s="167"/>
      <c r="CS177" s="257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191"/>
      <c r="DN177" s="46"/>
      <c r="DO177" s="196"/>
      <c r="DP177" s="221" t="s">
        <v>915</v>
      </c>
      <c r="DQ177" s="257">
        <f t="shared" si="17"/>
        <v>32000</v>
      </c>
      <c r="DR177" s="294"/>
      <c r="DS177" s="295"/>
      <c r="DT177" s="386">
        <f t="shared" si="18"/>
        <v>0</v>
      </c>
      <c r="DU177" s="41"/>
      <c r="DV177" s="41"/>
      <c r="DW177" s="256"/>
      <c r="DX177" s="41"/>
      <c r="DY177" s="41"/>
      <c r="DZ177" s="68"/>
      <c r="EA177" s="41">
        <v>8</v>
      </c>
      <c r="EB177" s="41">
        <v>40</v>
      </c>
      <c r="EC177" s="256">
        <f>EB177*800</f>
        <v>32000</v>
      </c>
      <c r="ED177" s="308"/>
      <c r="EE177" s="308"/>
      <c r="EF177" s="308"/>
      <c r="EG177" s="41"/>
      <c r="EH177" s="41"/>
      <c r="EI177" s="41"/>
      <c r="EJ177" s="69"/>
      <c r="EK177" s="308"/>
      <c r="EL177" s="308"/>
      <c r="EM177" s="308"/>
      <c r="EN177" s="308"/>
      <c r="EO177" s="41"/>
      <c r="EP177" s="41"/>
      <c r="EQ177" s="41"/>
      <c r="ER177" s="256"/>
      <c r="ES177" s="293"/>
      <c r="ET177" s="293"/>
      <c r="EU177" s="293"/>
      <c r="EV177" s="293"/>
      <c r="EW177" s="41"/>
      <c r="EX177" s="41"/>
      <c r="EY177" s="41"/>
      <c r="EZ177" s="256"/>
      <c r="FA177" s="308"/>
      <c r="FB177" s="308"/>
      <c r="FC177" s="308"/>
      <c r="FD177" s="308"/>
      <c r="FE177" s="46"/>
      <c r="FF177" s="41"/>
      <c r="FG177" s="41"/>
      <c r="FH177" s="256"/>
      <c r="FI177" s="41"/>
      <c r="FJ177" s="41"/>
      <c r="FK177" s="41"/>
      <c r="FL177" s="276"/>
    </row>
    <row r="178" spans="1:168">
      <c r="A178" s="45">
        <v>171</v>
      </c>
      <c r="B178" s="45" t="s">
        <v>210</v>
      </c>
      <c r="C178" s="45">
        <v>5</v>
      </c>
      <c r="D178" s="29" t="s">
        <v>127</v>
      </c>
      <c r="E178" s="30">
        <v>5</v>
      </c>
      <c r="F178" s="30">
        <v>5</v>
      </c>
      <c r="G178" s="246">
        <f>32666.0796/1000</f>
        <v>32.666079600000003</v>
      </c>
      <c r="H178" s="45">
        <v>32666.079599999997</v>
      </c>
      <c r="I178" s="45">
        <v>0</v>
      </c>
      <c r="J178" s="397">
        <v>37.304479999999991</v>
      </c>
      <c r="K178" s="495">
        <f t="shared" si="15"/>
        <v>69.970559600000001</v>
      </c>
      <c r="L178" s="578"/>
      <c r="M178" s="45">
        <f t="shared" si="16"/>
        <v>0</v>
      </c>
      <c r="N178" s="46">
        <f t="shared" si="14"/>
        <v>69.970559600000001</v>
      </c>
      <c r="O178" s="46">
        <f t="shared" si="19"/>
        <v>49.6</v>
      </c>
      <c r="P178" s="234"/>
      <c r="Q178" s="46"/>
      <c r="R178" s="450"/>
      <c r="S178" s="257"/>
      <c r="T178" s="46"/>
      <c r="U178" s="46"/>
      <c r="V178" s="46"/>
      <c r="W178" s="46"/>
      <c r="X178" s="196"/>
      <c r="Y178" s="46"/>
      <c r="Z178" s="46"/>
      <c r="AA178" s="46"/>
      <c r="AB178" s="46"/>
      <c r="AC178" s="46"/>
      <c r="AD178" s="46"/>
      <c r="AE178" s="46"/>
      <c r="AF178" s="196"/>
      <c r="AG178" s="46"/>
      <c r="AH178" s="46"/>
      <c r="AI178" s="46"/>
      <c r="AJ178" s="46"/>
      <c r="AK178" s="46"/>
      <c r="AL178" s="46"/>
      <c r="AM178" s="46"/>
      <c r="AN178" s="196"/>
      <c r="AO178" s="438"/>
      <c r="AP178" s="46"/>
      <c r="AQ178" s="368"/>
      <c r="AR178" s="257"/>
      <c r="AS178" s="196"/>
      <c r="AT178" s="46"/>
      <c r="AU178" s="46"/>
      <c r="AV178" s="196"/>
      <c r="AW178" s="257"/>
      <c r="AX178" s="196"/>
      <c r="AY178" s="191"/>
      <c r="AZ178" s="257"/>
      <c r="BA178" s="196"/>
      <c r="BB178" s="46"/>
      <c r="BC178" s="257"/>
      <c r="BD178" s="196"/>
      <c r="BE178" s="191"/>
      <c r="BF178" s="46"/>
      <c r="BG178" s="196"/>
      <c r="BH178" s="46"/>
      <c r="BI178" s="257"/>
      <c r="BJ178" s="196"/>
      <c r="BK178" s="191"/>
      <c r="BL178" s="257"/>
      <c r="BM178" s="196"/>
      <c r="BN178" s="167"/>
      <c r="BO178" s="257"/>
      <c r="BP178" s="196"/>
      <c r="BQ178" s="190"/>
      <c r="BR178" s="46"/>
      <c r="BS178" s="196"/>
      <c r="BT178" s="46"/>
      <c r="BU178" s="257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196"/>
      <c r="CI178" s="46"/>
      <c r="CJ178" s="46"/>
      <c r="CK178" s="46"/>
      <c r="CL178" s="46"/>
      <c r="CM178" s="46"/>
      <c r="CN178" s="196"/>
      <c r="CO178" s="191"/>
      <c r="CP178" s="257"/>
      <c r="CQ178" s="196"/>
      <c r="CR178" s="167"/>
      <c r="CS178" s="257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191"/>
      <c r="DN178" s="46"/>
      <c r="DO178" s="196"/>
      <c r="DP178" s="221" t="s">
        <v>833</v>
      </c>
      <c r="DQ178" s="257">
        <f t="shared" si="17"/>
        <v>49600</v>
      </c>
      <c r="DR178" s="294"/>
      <c r="DS178" s="295"/>
      <c r="DT178" s="386">
        <f t="shared" si="18"/>
        <v>0</v>
      </c>
      <c r="DU178" s="41"/>
      <c r="DV178" s="41"/>
      <c r="DW178" s="256"/>
      <c r="DX178" s="41"/>
      <c r="DY178" s="41"/>
      <c r="DZ178" s="68"/>
      <c r="EA178" s="41">
        <v>8</v>
      </c>
      <c r="EB178" s="41">
        <v>62</v>
      </c>
      <c r="EC178" s="256">
        <f>EB178*800</f>
        <v>49600</v>
      </c>
      <c r="ED178" s="308"/>
      <c r="EE178" s="308"/>
      <c r="EF178" s="308"/>
      <c r="EG178" s="41"/>
      <c r="EH178" s="41"/>
      <c r="EI178" s="41"/>
      <c r="EJ178" s="69"/>
      <c r="EK178" s="308"/>
      <c r="EL178" s="308"/>
      <c r="EM178" s="308"/>
      <c r="EN178" s="308"/>
      <c r="EO178" s="41"/>
      <c r="EP178" s="41"/>
      <c r="EQ178" s="41"/>
      <c r="ER178" s="256"/>
      <c r="ES178" s="293"/>
      <c r="ET178" s="293"/>
      <c r="EU178" s="293"/>
      <c r="EV178" s="293"/>
      <c r="EW178" s="41"/>
      <c r="EX178" s="41"/>
      <c r="EY178" s="41"/>
      <c r="EZ178" s="256"/>
      <c r="FA178" s="308"/>
      <c r="FB178" s="308"/>
      <c r="FC178" s="308"/>
      <c r="FD178" s="308"/>
      <c r="FE178" s="46"/>
      <c r="FF178" s="41"/>
      <c r="FG178" s="41"/>
      <c r="FH178" s="256"/>
      <c r="FI178" s="41"/>
      <c r="FJ178" s="41"/>
      <c r="FK178" s="41"/>
      <c r="FL178" s="276"/>
    </row>
    <row r="179" spans="1:168">
      <c r="A179" s="45">
        <v>172</v>
      </c>
      <c r="B179" s="45" t="s">
        <v>210</v>
      </c>
      <c r="C179" s="45">
        <v>5</v>
      </c>
      <c r="D179" s="29" t="s">
        <v>127</v>
      </c>
      <c r="E179" s="30">
        <v>7</v>
      </c>
      <c r="F179" s="30">
        <v>6</v>
      </c>
      <c r="G179" s="246">
        <f>42665.52/1000</f>
        <v>42.665519999999994</v>
      </c>
      <c r="H179" s="45">
        <v>12066.78</v>
      </c>
      <c r="I179" s="45">
        <v>30598.740000000005</v>
      </c>
      <c r="J179" s="397">
        <v>130.61675</v>
      </c>
      <c r="K179" s="495">
        <f t="shared" si="15"/>
        <v>173.28226999999998</v>
      </c>
      <c r="L179" s="578"/>
      <c r="M179" s="45">
        <f t="shared" si="16"/>
        <v>0</v>
      </c>
      <c r="N179" s="46">
        <f t="shared" si="14"/>
        <v>173.28226999999998</v>
      </c>
      <c r="O179" s="46">
        <f t="shared" si="19"/>
        <v>90</v>
      </c>
      <c r="P179" s="234" t="s">
        <v>250</v>
      </c>
      <c r="Q179" s="46">
        <v>1</v>
      </c>
      <c r="R179" s="450">
        <v>1</v>
      </c>
      <c r="S179" s="257">
        <v>90000</v>
      </c>
      <c r="T179" s="46"/>
      <c r="U179" s="46"/>
      <c r="V179" s="46"/>
      <c r="W179" s="46"/>
      <c r="X179" s="196"/>
      <c r="Y179" s="46"/>
      <c r="Z179" s="46"/>
      <c r="AA179" s="46"/>
      <c r="AB179" s="46"/>
      <c r="AC179" s="46"/>
      <c r="AD179" s="46"/>
      <c r="AE179" s="46"/>
      <c r="AF179" s="196"/>
      <c r="AG179" s="46"/>
      <c r="AH179" s="46"/>
      <c r="AI179" s="46"/>
      <c r="AJ179" s="46"/>
      <c r="AK179" s="46"/>
      <c r="AL179" s="46"/>
      <c r="AM179" s="46"/>
      <c r="AN179" s="196"/>
      <c r="AO179" s="438"/>
      <c r="AP179" s="46"/>
      <c r="AQ179" s="368"/>
      <c r="AR179" s="257"/>
      <c r="AS179" s="196"/>
      <c r="AT179" s="46"/>
      <c r="AU179" s="46"/>
      <c r="AV179" s="196"/>
      <c r="AW179" s="257"/>
      <c r="AX179" s="196"/>
      <c r="AY179" s="191"/>
      <c r="AZ179" s="257"/>
      <c r="BA179" s="196"/>
      <c r="BB179" s="46"/>
      <c r="BC179" s="257"/>
      <c r="BD179" s="196"/>
      <c r="BE179" s="191"/>
      <c r="BF179" s="46"/>
      <c r="BG179" s="196"/>
      <c r="BH179" s="46"/>
      <c r="BI179" s="257"/>
      <c r="BJ179" s="196"/>
      <c r="BK179" s="191"/>
      <c r="BL179" s="257"/>
      <c r="BM179" s="196"/>
      <c r="BN179" s="46"/>
      <c r="BO179" s="257"/>
      <c r="BP179" s="196"/>
      <c r="BQ179" s="190"/>
      <c r="BR179" s="46"/>
      <c r="BS179" s="196"/>
      <c r="BT179" s="46"/>
      <c r="BU179" s="257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196"/>
      <c r="CI179" s="46"/>
      <c r="CJ179" s="46"/>
      <c r="CK179" s="46"/>
      <c r="CL179" s="46"/>
      <c r="CM179" s="46"/>
      <c r="CN179" s="196"/>
      <c r="CO179" s="191"/>
      <c r="CP179" s="257"/>
      <c r="CQ179" s="196"/>
      <c r="CR179" s="167"/>
      <c r="CS179" s="257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191"/>
      <c r="DN179" s="46"/>
      <c r="DO179" s="196"/>
      <c r="DP179" s="221"/>
      <c r="DQ179" s="257">
        <f t="shared" si="17"/>
        <v>0</v>
      </c>
      <c r="DR179" s="294"/>
      <c r="DS179" s="295"/>
      <c r="DT179" s="386">
        <f t="shared" si="18"/>
        <v>0</v>
      </c>
      <c r="DU179" s="41"/>
      <c r="DV179" s="41"/>
      <c r="DW179" s="256"/>
      <c r="DX179" s="41"/>
      <c r="DY179" s="41"/>
      <c r="DZ179" s="68"/>
      <c r="EA179" s="41"/>
      <c r="EB179" s="41"/>
      <c r="EC179" s="256"/>
      <c r="ED179" s="308"/>
      <c r="EE179" s="308"/>
      <c r="EF179" s="308"/>
      <c r="EG179" s="41"/>
      <c r="EH179" s="41"/>
      <c r="EI179" s="41"/>
      <c r="EJ179" s="69"/>
      <c r="EK179" s="308"/>
      <c r="EL179" s="308"/>
      <c r="EM179" s="308"/>
      <c r="EN179" s="308"/>
      <c r="EO179" s="41"/>
      <c r="EP179" s="41"/>
      <c r="EQ179" s="41"/>
      <c r="ER179" s="256"/>
      <c r="ES179" s="293"/>
      <c r="ET179" s="293"/>
      <c r="EU179" s="293"/>
      <c r="EV179" s="293"/>
      <c r="EW179" s="41"/>
      <c r="EX179" s="41"/>
      <c r="EY179" s="41"/>
      <c r="EZ179" s="256"/>
      <c r="FA179" s="308"/>
      <c r="FB179" s="308"/>
      <c r="FC179" s="308"/>
      <c r="FD179" s="308"/>
      <c r="FE179" s="60"/>
      <c r="FF179" s="41"/>
      <c r="FG179" s="41"/>
      <c r="FH179" s="256"/>
      <c r="FI179" s="60"/>
      <c r="FJ179" s="41"/>
      <c r="FK179" s="41"/>
      <c r="FL179" s="276"/>
    </row>
    <row r="180" spans="1:168">
      <c r="A180" s="45">
        <v>173</v>
      </c>
      <c r="B180" s="45" t="s">
        <v>210</v>
      </c>
      <c r="C180" s="45">
        <v>5</v>
      </c>
      <c r="D180" s="29" t="s">
        <v>127</v>
      </c>
      <c r="E180" s="30" t="s">
        <v>128</v>
      </c>
      <c r="F180" s="30">
        <v>5</v>
      </c>
      <c r="G180" s="246">
        <f>33355.476/1000</f>
        <v>33.355476000000003</v>
      </c>
      <c r="H180" s="45">
        <v>33355.476000000002</v>
      </c>
      <c r="I180" s="45">
        <v>0</v>
      </c>
      <c r="J180" s="397">
        <v>-194.94228999999999</v>
      </c>
      <c r="K180" s="495">
        <f t="shared" si="15"/>
        <v>-161.58681399999998</v>
      </c>
      <c r="L180" s="578"/>
      <c r="M180" s="45">
        <f t="shared" si="16"/>
        <v>0</v>
      </c>
      <c r="N180" s="46">
        <f t="shared" si="14"/>
        <v>-161.58681399999998</v>
      </c>
      <c r="O180" s="46">
        <f t="shared" si="19"/>
        <v>0</v>
      </c>
      <c r="P180" s="234"/>
      <c r="Q180" s="46"/>
      <c r="R180" s="450"/>
      <c r="S180" s="257"/>
      <c r="T180" s="46"/>
      <c r="U180" s="46"/>
      <c r="V180" s="46"/>
      <c r="W180" s="46"/>
      <c r="X180" s="196"/>
      <c r="Y180" s="46"/>
      <c r="Z180" s="46"/>
      <c r="AA180" s="46"/>
      <c r="AB180" s="46"/>
      <c r="AC180" s="46"/>
      <c r="AD180" s="46"/>
      <c r="AE180" s="46"/>
      <c r="AF180" s="196"/>
      <c r="AG180" s="46"/>
      <c r="AH180" s="46"/>
      <c r="AI180" s="46"/>
      <c r="AJ180" s="46"/>
      <c r="AK180" s="46"/>
      <c r="AL180" s="46"/>
      <c r="AM180" s="46"/>
      <c r="AN180" s="196"/>
      <c r="AO180" s="438"/>
      <c r="AP180" s="46"/>
      <c r="AQ180" s="368"/>
      <c r="AR180" s="257"/>
      <c r="AS180" s="196"/>
      <c r="AT180" s="46"/>
      <c r="AU180" s="46"/>
      <c r="AV180" s="196"/>
      <c r="AW180" s="257"/>
      <c r="AX180" s="196"/>
      <c r="AY180" s="191"/>
      <c r="AZ180" s="257"/>
      <c r="BA180" s="196"/>
      <c r="BB180" s="46"/>
      <c r="BC180" s="257"/>
      <c r="BD180" s="196"/>
      <c r="BE180" s="191"/>
      <c r="BF180" s="46"/>
      <c r="BG180" s="196"/>
      <c r="BH180" s="46"/>
      <c r="BI180" s="257"/>
      <c r="BJ180" s="196"/>
      <c r="BK180" s="191"/>
      <c r="BL180" s="257"/>
      <c r="BM180" s="196"/>
      <c r="BN180" s="167"/>
      <c r="BO180" s="257"/>
      <c r="BP180" s="196"/>
      <c r="BQ180" s="190"/>
      <c r="BR180" s="46"/>
      <c r="BS180" s="196"/>
      <c r="BT180" s="46"/>
      <c r="BU180" s="257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196"/>
      <c r="CI180" s="46"/>
      <c r="CJ180" s="46"/>
      <c r="CK180" s="46"/>
      <c r="CL180" s="46"/>
      <c r="CM180" s="46"/>
      <c r="CN180" s="196"/>
      <c r="CO180" s="191"/>
      <c r="CP180" s="257"/>
      <c r="CQ180" s="196"/>
      <c r="CR180" s="167"/>
      <c r="CS180" s="257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191"/>
      <c r="DN180" s="46"/>
      <c r="DO180" s="196"/>
      <c r="DP180" s="221"/>
      <c r="DQ180" s="257">
        <f t="shared" si="17"/>
        <v>0</v>
      </c>
      <c r="DR180" s="294"/>
      <c r="DS180" s="295"/>
      <c r="DT180" s="386">
        <f t="shared" si="18"/>
        <v>0</v>
      </c>
      <c r="DU180" s="41"/>
      <c r="DV180" s="41"/>
      <c r="DW180" s="256"/>
      <c r="DX180" s="41"/>
      <c r="DY180" s="41"/>
      <c r="DZ180" s="68"/>
      <c r="EA180" s="41"/>
      <c r="EB180" s="41"/>
      <c r="EC180" s="256"/>
      <c r="ED180" s="308"/>
      <c r="EE180" s="308"/>
      <c r="EF180" s="308"/>
      <c r="EG180" s="41"/>
      <c r="EH180" s="41"/>
      <c r="EI180" s="41"/>
      <c r="EJ180" s="69"/>
      <c r="EK180" s="308"/>
      <c r="EL180" s="308"/>
      <c r="EM180" s="308"/>
      <c r="EN180" s="308"/>
      <c r="EO180" s="41"/>
      <c r="EP180" s="41"/>
      <c r="EQ180" s="41"/>
      <c r="ER180" s="256"/>
      <c r="ES180" s="293"/>
      <c r="ET180" s="293"/>
      <c r="EU180" s="293"/>
      <c r="EV180" s="293"/>
      <c r="EW180" s="41"/>
      <c r="EX180" s="41"/>
      <c r="EY180" s="41"/>
      <c r="EZ180" s="256"/>
      <c r="FA180" s="308"/>
      <c r="FB180" s="308"/>
      <c r="FC180" s="308"/>
      <c r="FD180" s="308"/>
      <c r="FE180" s="46"/>
      <c r="FF180" s="41"/>
      <c r="FG180" s="41"/>
      <c r="FH180" s="256"/>
      <c r="FI180" s="41"/>
      <c r="FJ180" s="41"/>
      <c r="FK180" s="41"/>
      <c r="FL180" s="276"/>
    </row>
    <row r="181" spans="1:168">
      <c r="A181" s="45">
        <v>174</v>
      </c>
      <c r="B181" s="45" t="s">
        <v>210</v>
      </c>
      <c r="C181" s="45">
        <v>5</v>
      </c>
      <c r="D181" s="29" t="s">
        <v>502</v>
      </c>
      <c r="E181" s="175">
        <v>16</v>
      </c>
      <c r="F181" s="188">
        <v>7</v>
      </c>
      <c r="G181" s="246">
        <f>42794.136/1000</f>
        <v>42.794136000000002</v>
      </c>
      <c r="H181" s="45">
        <v>0</v>
      </c>
      <c r="I181" s="45">
        <v>42794.135999999999</v>
      </c>
      <c r="J181" s="397">
        <v>98.654410000000013</v>
      </c>
      <c r="K181" s="495">
        <f t="shared" si="15"/>
        <v>141.44854600000002</v>
      </c>
      <c r="L181" s="578"/>
      <c r="M181" s="45">
        <f t="shared" si="16"/>
        <v>0</v>
      </c>
      <c r="N181" s="46">
        <f>K181-M181</f>
        <v>141.44854600000002</v>
      </c>
      <c r="O181" s="46">
        <f t="shared" si="19"/>
        <v>95</v>
      </c>
      <c r="P181" s="234"/>
      <c r="Q181" s="46">
        <v>1</v>
      </c>
      <c r="R181" s="450">
        <v>1</v>
      </c>
      <c r="S181" s="257">
        <v>90000</v>
      </c>
      <c r="T181" s="46"/>
      <c r="U181" s="46"/>
      <c r="V181" s="46"/>
      <c r="W181" s="46"/>
      <c r="X181" s="196"/>
      <c r="Y181" s="46"/>
      <c r="Z181" s="46"/>
      <c r="AA181" s="46"/>
      <c r="AB181" s="46"/>
      <c r="AC181" s="46"/>
      <c r="AD181" s="46"/>
      <c r="AE181" s="46"/>
      <c r="AF181" s="196"/>
      <c r="AG181" s="46"/>
      <c r="AH181" s="46"/>
      <c r="AI181" s="46"/>
      <c r="AJ181" s="46"/>
      <c r="AK181" s="46"/>
      <c r="AL181" s="46"/>
      <c r="AM181" s="46"/>
      <c r="AN181" s="196"/>
      <c r="AO181" s="438"/>
      <c r="AP181" s="46"/>
      <c r="AQ181" s="368"/>
      <c r="AR181" s="257"/>
      <c r="AS181" s="196"/>
      <c r="AT181" s="46"/>
      <c r="AU181" s="46"/>
      <c r="AV181" s="196"/>
      <c r="AW181" s="257"/>
      <c r="AX181" s="196"/>
      <c r="AY181" s="191"/>
      <c r="AZ181" s="257"/>
      <c r="BA181" s="196"/>
      <c r="BB181" s="46"/>
      <c r="BC181" s="257"/>
      <c r="BD181" s="196"/>
      <c r="BE181" s="191"/>
      <c r="BF181" s="46"/>
      <c r="BG181" s="196"/>
      <c r="BH181" s="46"/>
      <c r="BI181" s="257"/>
      <c r="BJ181" s="196"/>
      <c r="BK181" s="191"/>
      <c r="BL181" s="257"/>
      <c r="BM181" s="196"/>
      <c r="BN181" s="46"/>
      <c r="BO181" s="257"/>
      <c r="BP181" s="196"/>
      <c r="BQ181" s="190"/>
      <c r="BR181" s="46"/>
      <c r="BS181" s="196"/>
      <c r="BT181" s="46"/>
      <c r="BU181" s="257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196"/>
      <c r="CI181" s="46"/>
      <c r="CJ181" s="46"/>
      <c r="CK181" s="46"/>
      <c r="CL181" s="46"/>
      <c r="CM181" s="46"/>
      <c r="CN181" s="196" t="s">
        <v>250</v>
      </c>
      <c r="CO181" s="191" t="s">
        <v>916</v>
      </c>
      <c r="CP181" s="257">
        <v>5000</v>
      </c>
      <c r="CQ181" s="196"/>
      <c r="CR181" s="167"/>
      <c r="CS181" s="257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191"/>
      <c r="DN181" s="46"/>
      <c r="DO181" s="196"/>
      <c r="DP181" s="221"/>
      <c r="DQ181" s="257">
        <f t="shared" si="17"/>
        <v>0</v>
      </c>
      <c r="DR181" s="294"/>
      <c r="DS181" s="295"/>
      <c r="DT181" s="386">
        <f t="shared" si="18"/>
        <v>0</v>
      </c>
      <c r="DU181" s="41"/>
      <c r="DV181" s="41"/>
      <c r="DW181" s="256"/>
      <c r="DX181" s="41"/>
      <c r="DY181" s="41"/>
      <c r="DZ181" s="68"/>
      <c r="EA181" s="41"/>
      <c r="EB181" s="41"/>
      <c r="EC181" s="256"/>
      <c r="ED181" s="308"/>
      <c r="EE181" s="308"/>
      <c r="EF181" s="308"/>
      <c r="EG181" s="41"/>
      <c r="EH181" s="41"/>
      <c r="EI181" s="41"/>
      <c r="EJ181" s="69"/>
      <c r="EK181" s="308"/>
      <c r="EL181" s="308"/>
      <c r="EM181" s="308"/>
      <c r="EN181" s="308"/>
      <c r="EO181" s="41"/>
      <c r="EP181" s="41"/>
      <c r="EQ181" s="41"/>
      <c r="ER181" s="256"/>
      <c r="ES181" s="293"/>
      <c r="ET181" s="293"/>
      <c r="EU181" s="293"/>
      <c r="EV181" s="293"/>
      <c r="EW181" s="41"/>
      <c r="EX181" s="41"/>
      <c r="EY181" s="41"/>
      <c r="EZ181" s="256"/>
      <c r="FA181" s="308"/>
      <c r="FB181" s="308"/>
      <c r="FC181" s="308"/>
      <c r="FD181" s="308"/>
      <c r="FE181" s="41"/>
      <c r="FF181" s="41"/>
      <c r="FG181" s="41"/>
      <c r="FH181" s="256"/>
      <c r="FI181" s="41"/>
      <c r="FJ181" s="41"/>
      <c r="FK181" s="41"/>
      <c r="FL181" s="276"/>
    </row>
    <row r="182" spans="1:168">
      <c r="A182" s="45">
        <v>175</v>
      </c>
      <c r="B182" s="45" t="s">
        <v>210</v>
      </c>
      <c r="C182" s="45">
        <v>5</v>
      </c>
      <c r="D182" s="29" t="s">
        <v>502</v>
      </c>
      <c r="E182" s="175">
        <v>18</v>
      </c>
      <c r="F182" s="188">
        <v>7</v>
      </c>
      <c r="G182" s="246">
        <f>43201.998/1000</f>
        <v>43.201997999999996</v>
      </c>
      <c r="H182" s="45">
        <v>0</v>
      </c>
      <c r="I182" s="45">
        <v>43201.998000000007</v>
      </c>
      <c r="J182" s="397">
        <v>43.330310000000026</v>
      </c>
      <c r="K182" s="495">
        <f t="shared" si="15"/>
        <v>86.532308000000029</v>
      </c>
      <c r="L182" s="578"/>
      <c r="M182" s="45">
        <f t="shared" si="16"/>
        <v>0</v>
      </c>
      <c r="N182" s="46">
        <f>K182-M182</f>
        <v>86.532308000000029</v>
      </c>
      <c r="O182" s="46">
        <f t="shared" si="19"/>
        <v>65</v>
      </c>
      <c r="P182" s="234"/>
      <c r="Q182" s="46"/>
      <c r="R182" s="450"/>
      <c r="S182" s="257"/>
      <c r="T182" s="46"/>
      <c r="U182" s="46"/>
      <c r="V182" s="46"/>
      <c r="W182" s="46"/>
      <c r="X182" s="196"/>
      <c r="Y182" s="46"/>
      <c r="Z182" s="46"/>
      <c r="AA182" s="46"/>
      <c r="AB182" s="46"/>
      <c r="AC182" s="46"/>
      <c r="AD182" s="46"/>
      <c r="AE182" s="46"/>
      <c r="AF182" s="196"/>
      <c r="AG182" s="46"/>
      <c r="AH182" s="46"/>
      <c r="AI182" s="46"/>
      <c r="AJ182" s="46"/>
      <c r="AK182" s="46"/>
      <c r="AL182" s="46"/>
      <c r="AM182" s="46"/>
      <c r="AN182" s="196" t="s">
        <v>248</v>
      </c>
      <c r="AO182" s="438" t="s">
        <v>324</v>
      </c>
      <c r="AP182" s="46">
        <v>50</v>
      </c>
      <c r="AQ182" s="368" t="s">
        <v>227</v>
      </c>
      <c r="AR182" s="257">
        <f>AP182*1300</f>
        <v>65000</v>
      </c>
      <c r="AS182" s="196"/>
      <c r="AT182" s="46"/>
      <c r="AU182" s="46"/>
      <c r="AV182" s="196"/>
      <c r="AW182" s="257"/>
      <c r="AX182" s="196"/>
      <c r="AY182" s="191"/>
      <c r="AZ182" s="257"/>
      <c r="BA182" s="196"/>
      <c r="BB182" s="46"/>
      <c r="BC182" s="257"/>
      <c r="BD182" s="196"/>
      <c r="BE182" s="191"/>
      <c r="BF182" s="46"/>
      <c r="BG182" s="196"/>
      <c r="BH182" s="46"/>
      <c r="BI182" s="257"/>
      <c r="BJ182" s="196"/>
      <c r="BK182" s="191"/>
      <c r="BL182" s="257"/>
      <c r="BM182" s="196"/>
      <c r="BN182" s="46"/>
      <c r="BO182" s="257"/>
      <c r="BP182" s="196"/>
      <c r="BQ182" s="190"/>
      <c r="BR182" s="46"/>
      <c r="BS182" s="196"/>
      <c r="BT182" s="46"/>
      <c r="BU182" s="257"/>
      <c r="BV182" s="46"/>
      <c r="BW182" s="46"/>
      <c r="BX182" s="46"/>
      <c r="BY182" s="46"/>
      <c r="BZ182" s="46"/>
      <c r="CA182" s="46"/>
      <c r="CB182" s="46"/>
      <c r="CC182" s="46"/>
      <c r="CD182" s="46"/>
      <c r="CE182" s="196"/>
      <c r="CF182" s="46"/>
      <c r="CG182" s="257"/>
      <c r="CH182" s="196"/>
      <c r="CI182" s="46"/>
      <c r="CJ182" s="46"/>
      <c r="CK182" s="46"/>
      <c r="CL182" s="46"/>
      <c r="CM182" s="46"/>
      <c r="CN182" s="196"/>
      <c r="CO182" s="191"/>
      <c r="CP182" s="257"/>
      <c r="CQ182" s="196"/>
      <c r="CR182" s="167"/>
      <c r="CS182" s="257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191"/>
      <c r="DN182" s="46"/>
      <c r="DO182" s="196"/>
      <c r="DP182" s="221"/>
      <c r="DQ182" s="257">
        <f t="shared" si="17"/>
        <v>0</v>
      </c>
      <c r="DR182" s="294"/>
      <c r="DS182" s="295"/>
      <c r="DT182" s="386">
        <f t="shared" si="18"/>
        <v>0</v>
      </c>
      <c r="DU182" s="41"/>
      <c r="DV182" s="41"/>
      <c r="DW182" s="256"/>
      <c r="DX182" s="41"/>
      <c r="DY182" s="41"/>
      <c r="DZ182" s="68"/>
      <c r="EA182" s="41"/>
      <c r="EB182" s="41"/>
      <c r="EC182" s="256"/>
      <c r="ED182" s="308"/>
      <c r="EE182" s="308"/>
      <c r="EF182" s="308"/>
      <c r="EG182" s="41"/>
      <c r="EH182" s="41"/>
      <c r="EI182" s="41"/>
      <c r="EJ182" s="69"/>
      <c r="EK182" s="308"/>
      <c r="EL182" s="308"/>
      <c r="EM182" s="308"/>
      <c r="EN182" s="308"/>
      <c r="EO182" s="41"/>
      <c r="EP182" s="41"/>
      <c r="EQ182" s="41"/>
      <c r="ER182" s="256"/>
      <c r="ES182" s="293"/>
      <c r="ET182" s="293"/>
      <c r="EU182" s="293"/>
      <c r="EV182" s="293"/>
      <c r="EW182" s="41"/>
      <c r="EX182" s="41"/>
      <c r="EY182" s="41"/>
      <c r="EZ182" s="256"/>
      <c r="FA182" s="308"/>
      <c r="FB182" s="308"/>
      <c r="FC182" s="308"/>
      <c r="FD182" s="308"/>
      <c r="FE182" s="41"/>
      <c r="FF182" s="41"/>
      <c r="FG182" s="41"/>
      <c r="FH182" s="256"/>
      <c r="FI182" s="41"/>
      <c r="FJ182" s="41"/>
      <c r="FK182" s="41"/>
      <c r="FL182" s="276"/>
    </row>
    <row r="183" spans="1:168">
      <c r="A183" s="45">
        <v>176</v>
      </c>
      <c r="B183" s="45" t="s">
        <v>210</v>
      </c>
      <c r="C183" s="45">
        <v>5</v>
      </c>
      <c r="D183" s="29" t="s">
        <v>502</v>
      </c>
      <c r="E183" s="175" t="s">
        <v>503</v>
      </c>
      <c r="F183" s="188">
        <v>7</v>
      </c>
      <c r="G183" s="246">
        <f>45314.514/1000</f>
        <v>45.314514000000003</v>
      </c>
      <c r="H183" s="45">
        <v>0</v>
      </c>
      <c r="I183" s="45">
        <v>45314.513999999996</v>
      </c>
      <c r="J183" s="397">
        <v>148.37512000000001</v>
      </c>
      <c r="K183" s="495">
        <f t="shared" si="15"/>
        <v>193.68963400000001</v>
      </c>
      <c r="L183" s="578"/>
      <c r="M183" s="45">
        <f t="shared" si="16"/>
        <v>0</v>
      </c>
      <c r="N183" s="46">
        <f>K183-M183</f>
        <v>193.68963400000001</v>
      </c>
      <c r="O183" s="46">
        <f t="shared" si="19"/>
        <v>168</v>
      </c>
      <c r="P183" s="234" t="s">
        <v>250</v>
      </c>
      <c r="Q183" s="46">
        <v>1</v>
      </c>
      <c r="R183" s="450">
        <v>1</v>
      </c>
      <c r="S183" s="257">
        <v>90000</v>
      </c>
      <c r="T183" s="46"/>
      <c r="U183" s="46"/>
      <c r="V183" s="46"/>
      <c r="W183" s="46"/>
      <c r="X183" s="196"/>
      <c r="Y183" s="46"/>
      <c r="Z183" s="46"/>
      <c r="AA183" s="46"/>
      <c r="AB183" s="46"/>
      <c r="AC183" s="46"/>
      <c r="AD183" s="46"/>
      <c r="AE183" s="46"/>
      <c r="AF183" s="196"/>
      <c r="AG183" s="46"/>
      <c r="AH183" s="46"/>
      <c r="AI183" s="46"/>
      <c r="AJ183" s="46"/>
      <c r="AK183" s="46"/>
      <c r="AL183" s="46"/>
      <c r="AM183" s="46"/>
      <c r="AN183" s="196" t="s">
        <v>228</v>
      </c>
      <c r="AO183" s="438" t="s">
        <v>335</v>
      </c>
      <c r="AP183" s="46">
        <v>60</v>
      </c>
      <c r="AQ183" s="368" t="s">
        <v>552</v>
      </c>
      <c r="AR183" s="257">
        <f>AP183*1300</f>
        <v>78000</v>
      </c>
      <c r="AS183" s="196"/>
      <c r="AT183" s="46"/>
      <c r="AU183" s="46"/>
      <c r="AV183" s="196"/>
      <c r="AW183" s="257"/>
      <c r="AX183" s="196"/>
      <c r="AY183" s="191"/>
      <c r="AZ183" s="257"/>
      <c r="BA183" s="196"/>
      <c r="BB183" s="46"/>
      <c r="BC183" s="257"/>
      <c r="BD183" s="196"/>
      <c r="BE183" s="191"/>
      <c r="BF183" s="46"/>
      <c r="BG183" s="196"/>
      <c r="BH183" s="46"/>
      <c r="BI183" s="257"/>
      <c r="BJ183" s="196"/>
      <c r="BK183" s="191"/>
      <c r="BL183" s="257"/>
      <c r="BM183" s="196"/>
      <c r="BN183" s="46"/>
      <c r="BO183" s="257"/>
      <c r="BP183" s="196"/>
      <c r="BQ183" s="190"/>
      <c r="BR183" s="46"/>
      <c r="BS183" s="196"/>
      <c r="BT183" s="46"/>
      <c r="BU183" s="257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196"/>
      <c r="CI183" s="46"/>
      <c r="CJ183" s="46"/>
      <c r="CK183" s="46"/>
      <c r="CL183" s="46"/>
      <c r="CM183" s="46"/>
      <c r="CN183" s="196"/>
      <c r="CO183" s="191"/>
      <c r="CP183" s="257"/>
      <c r="CQ183" s="196"/>
      <c r="CR183" s="167"/>
      <c r="CS183" s="257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191"/>
      <c r="DN183" s="46"/>
      <c r="DO183" s="218"/>
      <c r="DP183" s="221"/>
      <c r="DQ183" s="257">
        <f t="shared" si="17"/>
        <v>0</v>
      </c>
      <c r="DR183" s="294"/>
      <c r="DS183" s="295"/>
      <c r="DT183" s="386">
        <f t="shared" si="18"/>
        <v>0</v>
      </c>
      <c r="DU183" s="41"/>
      <c r="DV183" s="41"/>
      <c r="DW183" s="256"/>
      <c r="DX183" s="41"/>
      <c r="DY183" s="41"/>
      <c r="DZ183" s="68"/>
      <c r="EA183" s="41"/>
      <c r="EB183" s="41"/>
      <c r="EC183" s="256"/>
      <c r="ED183" s="308"/>
      <c r="EE183" s="308"/>
      <c r="EF183" s="308"/>
      <c r="EG183" s="41"/>
      <c r="EH183" s="41"/>
      <c r="EI183" s="41"/>
      <c r="EJ183" s="69"/>
      <c r="EK183" s="308"/>
      <c r="EL183" s="308"/>
      <c r="EM183" s="308"/>
      <c r="EN183" s="308"/>
      <c r="EO183" s="41"/>
      <c r="EP183" s="41"/>
      <c r="EQ183" s="41"/>
      <c r="ER183" s="256"/>
      <c r="ES183" s="293"/>
      <c r="ET183" s="293"/>
      <c r="EU183" s="293"/>
      <c r="EV183" s="293"/>
      <c r="EW183" s="41"/>
      <c r="EX183" s="41"/>
      <c r="EY183" s="41"/>
      <c r="EZ183" s="256"/>
      <c r="FA183" s="308"/>
      <c r="FB183" s="308"/>
      <c r="FC183" s="308"/>
      <c r="FD183" s="308"/>
      <c r="FE183" s="41"/>
      <c r="FF183" s="41"/>
      <c r="FG183" s="41"/>
      <c r="FH183" s="256"/>
      <c r="FI183" s="41"/>
      <c r="FJ183" s="41"/>
      <c r="FK183" s="41"/>
      <c r="FL183" s="276"/>
    </row>
    <row r="184" spans="1:168">
      <c r="A184" s="45">
        <v>177</v>
      </c>
      <c r="B184" s="45" t="s">
        <v>210</v>
      </c>
      <c r="C184" s="45">
        <v>4</v>
      </c>
      <c r="D184" s="29" t="s">
        <v>129</v>
      </c>
      <c r="E184" s="30">
        <v>145</v>
      </c>
      <c r="F184" s="30">
        <v>7</v>
      </c>
      <c r="G184" s="246">
        <v>0</v>
      </c>
      <c r="H184" s="45">
        <v>0</v>
      </c>
      <c r="I184" s="45">
        <v>0</v>
      </c>
      <c r="J184" s="397">
        <v>23.376719999999999</v>
      </c>
      <c r="K184" s="495">
        <f t="shared" si="15"/>
        <v>23.376719999999999</v>
      </c>
      <c r="L184" s="578"/>
      <c r="M184" s="45">
        <f t="shared" si="16"/>
        <v>0</v>
      </c>
      <c r="N184" s="46">
        <f t="shared" si="14"/>
        <v>23.376719999999999</v>
      </c>
      <c r="O184" s="46">
        <f t="shared" si="19"/>
        <v>23</v>
      </c>
      <c r="P184" s="234"/>
      <c r="Q184" s="46"/>
      <c r="R184" s="450"/>
      <c r="S184" s="257"/>
      <c r="T184" s="46"/>
      <c r="U184" s="46"/>
      <c r="V184" s="46"/>
      <c r="W184" s="46"/>
      <c r="X184" s="196"/>
      <c r="Y184" s="46"/>
      <c r="Z184" s="46"/>
      <c r="AA184" s="46"/>
      <c r="AB184" s="46"/>
      <c r="AC184" s="46"/>
      <c r="AD184" s="46"/>
      <c r="AE184" s="46"/>
      <c r="AF184" s="196"/>
      <c r="AG184" s="46"/>
      <c r="AH184" s="46"/>
      <c r="AI184" s="46"/>
      <c r="AJ184" s="46"/>
      <c r="AK184" s="46"/>
      <c r="AL184" s="46"/>
      <c r="AM184" s="46"/>
      <c r="AN184" s="196"/>
      <c r="AO184" s="438"/>
      <c r="AP184" s="46"/>
      <c r="AQ184" s="368"/>
      <c r="AR184" s="257"/>
      <c r="AS184" s="196"/>
      <c r="AT184" s="46"/>
      <c r="AU184" s="46"/>
      <c r="AV184" s="196"/>
      <c r="AW184" s="257"/>
      <c r="AX184" s="196"/>
      <c r="AY184" s="191"/>
      <c r="AZ184" s="257"/>
      <c r="BA184" s="196"/>
      <c r="BB184" s="46"/>
      <c r="BC184" s="257"/>
      <c r="BD184" s="196"/>
      <c r="BE184" s="191"/>
      <c r="BF184" s="46"/>
      <c r="BG184" s="196"/>
      <c r="BH184" s="46"/>
      <c r="BI184" s="257"/>
      <c r="BJ184" s="196"/>
      <c r="BK184" s="191"/>
      <c r="BL184" s="257"/>
      <c r="BM184" s="196"/>
      <c r="BN184" s="46"/>
      <c r="BO184" s="257"/>
      <c r="BP184" s="196"/>
      <c r="BQ184" s="190"/>
      <c r="BR184" s="46"/>
      <c r="BS184" s="196"/>
      <c r="BT184" s="46"/>
      <c r="BU184" s="257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196"/>
      <c r="CI184" s="46"/>
      <c r="CJ184" s="46"/>
      <c r="CK184" s="46"/>
      <c r="CL184" s="46"/>
      <c r="CM184" s="46"/>
      <c r="CN184" s="196"/>
      <c r="CO184" s="191"/>
      <c r="CP184" s="257"/>
      <c r="CQ184" s="196"/>
      <c r="CR184" s="167"/>
      <c r="CS184" s="257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191"/>
      <c r="DN184" s="46"/>
      <c r="DO184" s="196"/>
      <c r="DP184" s="221" t="s">
        <v>531</v>
      </c>
      <c r="DQ184" s="257">
        <f>DW184+EC184+EJ184+ER184+EZ184+FH184+23000</f>
        <v>23000</v>
      </c>
      <c r="DR184" s="294"/>
      <c r="DS184" s="295"/>
      <c r="DT184" s="386">
        <f t="shared" si="18"/>
        <v>0</v>
      </c>
      <c r="DU184" s="41"/>
      <c r="DV184" s="41"/>
      <c r="DW184" s="256"/>
      <c r="DX184" s="41"/>
      <c r="DY184" s="41"/>
      <c r="DZ184" s="68"/>
      <c r="EA184" s="41"/>
      <c r="EB184" s="41"/>
      <c r="EC184" s="256"/>
      <c r="ED184" s="308"/>
      <c r="EE184" s="308"/>
      <c r="EF184" s="308"/>
      <c r="EG184" s="41"/>
      <c r="EH184" s="41"/>
      <c r="EI184" s="41"/>
      <c r="EJ184" s="69"/>
      <c r="EK184" s="308"/>
      <c r="EL184" s="308"/>
      <c r="EM184" s="308"/>
      <c r="EN184" s="308"/>
      <c r="EO184" s="41"/>
      <c r="EP184" s="41"/>
      <c r="EQ184" s="41"/>
      <c r="ER184" s="256"/>
      <c r="ES184" s="293"/>
      <c r="ET184" s="293"/>
      <c r="EU184" s="293"/>
      <c r="EV184" s="293"/>
      <c r="EW184" s="41"/>
      <c r="EX184" s="41"/>
      <c r="EY184" s="41"/>
      <c r="EZ184" s="256"/>
      <c r="FA184" s="308"/>
      <c r="FB184" s="308"/>
      <c r="FC184" s="308"/>
      <c r="FD184" s="308"/>
      <c r="FE184" s="41"/>
      <c r="FF184" s="41"/>
      <c r="FG184" s="41"/>
      <c r="FH184" s="256"/>
      <c r="FI184" s="41"/>
      <c r="FJ184" s="41"/>
      <c r="FK184" s="41"/>
      <c r="FL184" s="276"/>
    </row>
    <row r="185" spans="1:168">
      <c r="A185" s="45">
        <v>178</v>
      </c>
      <c r="B185" s="45" t="s">
        <v>210</v>
      </c>
      <c r="C185" s="45">
        <v>4</v>
      </c>
      <c r="D185" s="29" t="s">
        <v>129</v>
      </c>
      <c r="E185" s="30">
        <v>161</v>
      </c>
      <c r="F185" s="30">
        <v>5</v>
      </c>
      <c r="G185" s="246">
        <f>45347.148/1000</f>
        <v>45.347148000000004</v>
      </c>
      <c r="H185" s="45">
        <v>45347.147999999994</v>
      </c>
      <c r="I185" s="45">
        <v>0</v>
      </c>
      <c r="J185" s="397">
        <v>138.32649000000001</v>
      </c>
      <c r="K185" s="495">
        <f t="shared" si="15"/>
        <v>183.67363800000001</v>
      </c>
      <c r="L185" s="578"/>
      <c r="M185" s="45">
        <f t="shared" si="16"/>
        <v>12.03828</v>
      </c>
      <c r="N185" s="46">
        <f t="shared" si="14"/>
        <v>171.635358</v>
      </c>
      <c r="O185" s="46">
        <f t="shared" si="19"/>
        <v>130</v>
      </c>
      <c r="P185" s="234"/>
      <c r="Q185" s="46"/>
      <c r="R185" s="450"/>
      <c r="S185" s="257"/>
      <c r="T185" s="46"/>
      <c r="U185" s="46"/>
      <c r="V185" s="46"/>
      <c r="W185" s="46"/>
      <c r="X185" s="196"/>
      <c r="Y185" s="46"/>
      <c r="Z185" s="46"/>
      <c r="AA185" s="46"/>
      <c r="AB185" s="46"/>
      <c r="AC185" s="46"/>
      <c r="AD185" s="46"/>
      <c r="AE185" s="46"/>
      <c r="AF185" s="196"/>
      <c r="AG185" s="46"/>
      <c r="AH185" s="46"/>
      <c r="AI185" s="46"/>
      <c r="AJ185" s="46"/>
      <c r="AK185" s="46"/>
      <c r="AL185" s="46"/>
      <c r="AM185" s="46"/>
      <c r="AN185" s="196"/>
      <c r="AO185" s="438"/>
      <c r="AP185" s="46"/>
      <c r="AQ185" s="368"/>
      <c r="AR185" s="257"/>
      <c r="AS185" s="196"/>
      <c r="AT185" s="46"/>
      <c r="AU185" s="46"/>
      <c r="AV185" s="196"/>
      <c r="AW185" s="257"/>
      <c r="AX185" s="196" t="s">
        <v>250</v>
      </c>
      <c r="AY185" s="191">
        <v>44</v>
      </c>
      <c r="AZ185" s="257">
        <f>AY185*2500</f>
        <v>110000</v>
      </c>
      <c r="BA185" s="196"/>
      <c r="BB185" s="46"/>
      <c r="BC185" s="257"/>
      <c r="BD185" s="196"/>
      <c r="BE185" s="191"/>
      <c r="BF185" s="46"/>
      <c r="BG185" s="196"/>
      <c r="BH185" s="46"/>
      <c r="BI185" s="257"/>
      <c r="BJ185" s="196" t="s">
        <v>226</v>
      </c>
      <c r="BK185" s="191" t="s">
        <v>917</v>
      </c>
      <c r="BL185" s="257">
        <f>40*500</f>
        <v>20000</v>
      </c>
      <c r="BM185" s="196"/>
      <c r="BN185" s="46"/>
      <c r="BO185" s="257"/>
      <c r="BP185" s="196"/>
      <c r="BQ185" s="190"/>
      <c r="BR185" s="46"/>
      <c r="BS185" s="196"/>
      <c r="BT185" s="46"/>
      <c r="BU185" s="257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196"/>
      <c r="CI185" s="46"/>
      <c r="CJ185" s="46"/>
      <c r="CK185" s="46"/>
      <c r="CL185" s="46"/>
      <c r="CM185" s="46"/>
      <c r="CN185" s="196"/>
      <c r="CO185" s="191"/>
      <c r="CP185" s="257"/>
      <c r="CQ185" s="196"/>
      <c r="CR185" s="167"/>
      <c r="CS185" s="257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191"/>
      <c r="DN185" s="46"/>
      <c r="DO185" s="218"/>
      <c r="DP185" s="221"/>
      <c r="DQ185" s="257">
        <f t="shared" si="17"/>
        <v>0</v>
      </c>
      <c r="DR185" s="294" t="s">
        <v>523</v>
      </c>
      <c r="DS185" s="295" t="s">
        <v>562</v>
      </c>
      <c r="DT185" s="386">
        <f>DZ185+EF185+EN185+EV185+FD185+FL185+12038.28</f>
        <v>12038.28</v>
      </c>
      <c r="DU185" s="41"/>
      <c r="DV185" s="41"/>
      <c r="DW185" s="256"/>
      <c r="DX185" s="41"/>
      <c r="DY185" s="41"/>
      <c r="DZ185" s="68"/>
      <c r="EA185" s="41"/>
      <c r="EB185" s="41"/>
      <c r="EC185" s="256"/>
      <c r="ED185" s="308"/>
      <c r="EE185" s="308"/>
      <c r="EF185" s="308"/>
      <c r="EG185" s="41"/>
      <c r="EH185" s="41"/>
      <c r="EI185" s="41"/>
      <c r="EJ185" s="69"/>
      <c r="EK185" s="308"/>
      <c r="EL185" s="308"/>
      <c r="EM185" s="308"/>
      <c r="EN185" s="308"/>
      <c r="EO185" s="41"/>
      <c r="EP185" s="41"/>
      <c r="EQ185" s="41"/>
      <c r="ER185" s="256"/>
      <c r="ES185" s="293"/>
      <c r="ET185" s="293"/>
      <c r="EU185" s="293"/>
      <c r="EV185" s="293"/>
      <c r="EW185" s="41"/>
      <c r="EX185" s="41"/>
      <c r="EY185" s="41"/>
      <c r="EZ185" s="256"/>
      <c r="FA185" s="308"/>
      <c r="FB185" s="308"/>
      <c r="FC185" s="308"/>
      <c r="FD185" s="308"/>
      <c r="FE185" s="46"/>
      <c r="FF185" s="41"/>
      <c r="FG185" s="41"/>
      <c r="FH185" s="256"/>
      <c r="FI185" s="41"/>
      <c r="FJ185" s="41"/>
      <c r="FK185" s="41"/>
      <c r="FL185" s="276"/>
    </row>
    <row r="186" spans="1:168" ht="30">
      <c r="A186" s="45">
        <v>179</v>
      </c>
      <c r="B186" s="45" t="s">
        <v>210</v>
      </c>
      <c r="C186" s="45">
        <v>4</v>
      </c>
      <c r="D186" s="29" t="s">
        <v>129</v>
      </c>
      <c r="E186" s="30">
        <v>163</v>
      </c>
      <c r="F186" s="30">
        <v>5</v>
      </c>
      <c r="G186" s="246">
        <f>46278.54/1000</f>
        <v>46.27854</v>
      </c>
      <c r="H186" s="45">
        <v>46278.54</v>
      </c>
      <c r="I186" s="45">
        <v>0</v>
      </c>
      <c r="J186" s="397">
        <v>94.918039999999991</v>
      </c>
      <c r="K186" s="495">
        <f t="shared" si="15"/>
        <v>141.19657999999998</v>
      </c>
      <c r="L186" s="578"/>
      <c r="M186" s="45">
        <f t="shared" si="16"/>
        <v>0</v>
      </c>
      <c r="N186" s="46">
        <f t="shared" si="14"/>
        <v>141.19657999999998</v>
      </c>
      <c r="O186" s="46">
        <f t="shared" si="19"/>
        <v>141.80000000000001</v>
      </c>
      <c r="P186" s="234"/>
      <c r="Q186" s="46"/>
      <c r="R186" s="450"/>
      <c r="S186" s="257"/>
      <c r="T186" s="46"/>
      <c r="U186" s="46"/>
      <c r="V186" s="46"/>
      <c r="W186" s="46"/>
      <c r="X186" s="196"/>
      <c r="Y186" s="46"/>
      <c r="Z186" s="46"/>
      <c r="AA186" s="46"/>
      <c r="AB186" s="46"/>
      <c r="AC186" s="46"/>
      <c r="AD186" s="46"/>
      <c r="AE186" s="46"/>
      <c r="AF186" s="196"/>
      <c r="AG186" s="46"/>
      <c r="AH186" s="46"/>
      <c r="AI186" s="46"/>
      <c r="AJ186" s="46"/>
      <c r="AK186" s="46"/>
      <c r="AL186" s="46"/>
      <c r="AM186" s="46"/>
      <c r="AN186" s="196"/>
      <c r="AO186" s="438"/>
      <c r="AP186" s="46"/>
      <c r="AQ186" s="368"/>
      <c r="AR186" s="257"/>
      <c r="AS186" s="196"/>
      <c r="AT186" s="46"/>
      <c r="AU186" s="46"/>
      <c r="AV186" s="196"/>
      <c r="AW186" s="257"/>
      <c r="AX186" s="196"/>
      <c r="AY186" s="191"/>
      <c r="AZ186" s="257"/>
      <c r="BA186" s="196"/>
      <c r="BB186" s="46"/>
      <c r="BC186" s="257"/>
      <c r="BD186" s="196"/>
      <c r="BE186" s="191"/>
      <c r="BF186" s="46"/>
      <c r="BG186" s="196"/>
      <c r="BH186" s="46"/>
      <c r="BI186" s="257"/>
      <c r="BJ186" s="196"/>
      <c r="BK186" s="190"/>
      <c r="BL186" s="257"/>
      <c r="BM186" s="196"/>
      <c r="BN186" s="46"/>
      <c r="BO186" s="257"/>
      <c r="BP186" s="196"/>
      <c r="BQ186" s="190"/>
      <c r="BR186" s="46"/>
      <c r="BS186" s="196"/>
      <c r="BT186" s="46"/>
      <c r="BU186" s="257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196"/>
      <c r="CI186" s="46"/>
      <c r="CJ186" s="46"/>
      <c r="CK186" s="46"/>
      <c r="CL186" s="46"/>
      <c r="CM186" s="46"/>
      <c r="CN186" s="196"/>
      <c r="CO186" s="191"/>
      <c r="CP186" s="257"/>
      <c r="CQ186" s="196"/>
      <c r="CR186" s="167"/>
      <c r="CS186" s="257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191"/>
      <c r="DN186" s="46"/>
      <c r="DO186" s="196"/>
      <c r="DP186" s="221" t="s">
        <v>918</v>
      </c>
      <c r="DQ186" s="257">
        <f t="shared" si="17"/>
        <v>141800</v>
      </c>
      <c r="DR186" s="294"/>
      <c r="DS186" s="295"/>
      <c r="DT186" s="386">
        <f t="shared" si="18"/>
        <v>0</v>
      </c>
      <c r="DU186" s="41">
        <v>9</v>
      </c>
      <c r="DV186" s="41">
        <v>8</v>
      </c>
      <c r="DW186" s="256">
        <f>25000+8*5000</f>
        <v>65000</v>
      </c>
      <c r="DX186" s="41"/>
      <c r="DY186" s="41"/>
      <c r="DZ186" s="68"/>
      <c r="EA186" s="41">
        <v>8</v>
      </c>
      <c r="EB186" s="41">
        <v>96</v>
      </c>
      <c r="EC186" s="256">
        <f>EB186*800</f>
        <v>76800</v>
      </c>
      <c r="ED186" s="308"/>
      <c r="EE186" s="308"/>
      <c r="EF186" s="308"/>
      <c r="EG186" s="41"/>
      <c r="EH186" s="41"/>
      <c r="EI186" s="41"/>
      <c r="EJ186" s="69"/>
      <c r="EK186" s="308"/>
      <c r="EL186" s="308"/>
      <c r="EM186" s="308"/>
      <c r="EN186" s="308"/>
      <c r="EO186" s="41"/>
      <c r="EP186" s="41"/>
      <c r="EQ186" s="41"/>
      <c r="ER186" s="256"/>
      <c r="ES186" s="293"/>
      <c r="ET186" s="293"/>
      <c r="EU186" s="293"/>
      <c r="EV186" s="293"/>
      <c r="EW186" s="41"/>
      <c r="EX186" s="41"/>
      <c r="EY186" s="41"/>
      <c r="EZ186" s="256"/>
      <c r="FA186" s="308"/>
      <c r="FB186" s="308"/>
      <c r="FC186" s="308"/>
      <c r="FD186" s="308"/>
      <c r="FE186" s="46"/>
      <c r="FF186" s="41"/>
      <c r="FG186" s="41"/>
      <c r="FH186" s="256"/>
      <c r="FI186" s="41"/>
      <c r="FJ186" s="41"/>
      <c r="FK186" s="41"/>
      <c r="FL186" s="276"/>
    </row>
    <row r="187" spans="1:168">
      <c r="A187" s="45">
        <v>180</v>
      </c>
      <c r="B187" s="45" t="s">
        <v>210</v>
      </c>
      <c r="C187" s="45">
        <v>4</v>
      </c>
      <c r="D187" s="29" t="s">
        <v>580</v>
      </c>
      <c r="E187" s="30">
        <v>165</v>
      </c>
      <c r="F187" s="30">
        <v>5</v>
      </c>
      <c r="G187" s="246">
        <f>24731.784/1000</f>
        <v>24.731784000000001</v>
      </c>
      <c r="H187" s="45">
        <v>24731.783999999992</v>
      </c>
      <c r="I187" s="45">
        <v>0</v>
      </c>
      <c r="J187" s="397">
        <v>6.6539100000000104</v>
      </c>
      <c r="K187" s="495">
        <f t="shared" si="15"/>
        <v>31.385694000000012</v>
      </c>
      <c r="L187" s="578"/>
      <c r="M187" s="45">
        <f t="shared" si="16"/>
        <v>0</v>
      </c>
      <c r="N187" s="46">
        <f t="shared" si="14"/>
        <v>31.385694000000012</v>
      </c>
      <c r="O187" s="46">
        <f t="shared" si="19"/>
        <v>0</v>
      </c>
      <c r="P187" s="234" t="s">
        <v>582</v>
      </c>
      <c r="Q187" s="46"/>
      <c r="R187" s="450"/>
      <c r="S187" s="257"/>
      <c r="T187" s="46"/>
      <c r="U187" s="46"/>
      <c r="V187" s="46"/>
      <c r="W187" s="46"/>
      <c r="X187" s="196"/>
      <c r="Y187" s="46"/>
      <c r="Z187" s="46"/>
      <c r="AA187" s="46"/>
      <c r="AB187" s="46"/>
      <c r="AC187" s="46"/>
      <c r="AD187" s="46"/>
      <c r="AE187" s="46"/>
      <c r="AF187" s="196"/>
      <c r="AG187" s="46"/>
      <c r="AH187" s="46"/>
      <c r="AI187" s="46"/>
      <c r="AJ187" s="46"/>
      <c r="AK187" s="46"/>
      <c r="AL187" s="46"/>
      <c r="AM187" s="46"/>
      <c r="AN187" s="196"/>
      <c r="AO187" s="438"/>
      <c r="AP187" s="46"/>
      <c r="AQ187" s="368"/>
      <c r="AR187" s="257"/>
      <c r="AS187" s="196"/>
      <c r="AT187" s="46"/>
      <c r="AU187" s="46"/>
      <c r="AV187" s="196"/>
      <c r="AW187" s="257"/>
      <c r="AX187" s="196"/>
      <c r="AY187" s="191"/>
      <c r="AZ187" s="257"/>
      <c r="BA187" s="196"/>
      <c r="BB187" s="46"/>
      <c r="BC187" s="257"/>
      <c r="BD187" s="196"/>
      <c r="BE187" s="191"/>
      <c r="BF187" s="46"/>
      <c r="BG187" s="196"/>
      <c r="BH187" s="46"/>
      <c r="BI187" s="257"/>
      <c r="BJ187" s="196"/>
      <c r="BK187" s="190"/>
      <c r="BL187" s="257"/>
      <c r="BM187" s="196"/>
      <c r="BN187" s="46"/>
      <c r="BO187" s="257"/>
      <c r="BP187" s="196"/>
      <c r="BQ187" s="190"/>
      <c r="BR187" s="46"/>
      <c r="BS187" s="196"/>
      <c r="BT187" s="46"/>
      <c r="BU187" s="257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196"/>
      <c r="CI187" s="46"/>
      <c r="CJ187" s="46"/>
      <c r="CK187" s="46"/>
      <c r="CL187" s="46"/>
      <c r="CM187" s="46"/>
      <c r="CN187" s="196"/>
      <c r="CO187" s="191"/>
      <c r="CP187" s="257"/>
      <c r="CQ187" s="196"/>
      <c r="CR187" s="167"/>
      <c r="CS187" s="257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191"/>
      <c r="DN187" s="46"/>
      <c r="DO187" s="196"/>
      <c r="DP187" s="221"/>
      <c r="DQ187" s="257">
        <f t="shared" si="17"/>
        <v>0</v>
      </c>
      <c r="DR187" s="294"/>
      <c r="DS187" s="295"/>
      <c r="DT187" s="386">
        <f t="shared" si="18"/>
        <v>0</v>
      </c>
      <c r="DU187" s="41"/>
      <c r="DV187" s="41"/>
      <c r="DW187" s="256"/>
      <c r="DX187" s="41"/>
      <c r="DY187" s="41"/>
      <c r="DZ187" s="68"/>
      <c r="EA187" s="41"/>
      <c r="EB187" s="41"/>
      <c r="EC187" s="256"/>
      <c r="ED187" s="308"/>
      <c r="EE187" s="308"/>
      <c r="EF187" s="308"/>
      <c r="EG187" s="41"/>
      <c r="EH187" s="41"/>
      <c r="EI187" s="41"/>
      <c r="EJ187" s="69"/>
      <c r="EK187" s="308"/>
      <c r="EL187" s="308"/>
      <c r="EM187" s="308"/>
      <c r="EN187" s="308"/>
      <c r="EO187" s="41"/>
      <c r="EP187" s="41"/>
      <c r="EQ187" s="41"/>
      <c r="ER187" s="256"/>
      <c r="ES187" s="293"/>
      <c r="ET187" s="293"/>
      <c r="EU187" s="293"/>
      <c r="EV187" s="293"/>
      <c r="EW187" s="41"/>
      <c r="EX187" s="41"/>
      <c r="EY187" s="41"/>
      <c r="EZ187" s="256"/>
      <c r="FA187" s="308"/>
      <c r="FB187" s="308"/>
      <c r="FC187" s="308"/>
      <c r="FD187" s="308"/>
      <c r="FE187" s="46"/>
      <c r="FF187" s="41"/>
      <c r="FG187" s="41"/>
      <c r="FH187" s="256"/>
      <c r="FI187" s="41"/>
      <c r="FJ187" s="41"/>
      <c r="FK187" s="41"/>
      <c r="FL187" s="276"/>
    </row>
    <row r="188" spans="1:168">
      <c r="A188" s="45">
        <v>181</v>
      </c>
      <c r="B188" s="45" t="s">
        <v>210</v>
      </c>
      <c r="C188" s="45">
        <v>4</v>
      </c>
      <c r="D188" s="29" t="s">
        <v>580</v>
      </c>
      <c r="E188" s="30">
        <v>167</v>
      </c>
      <c r="F188" s="30">
        <v>5</v>
      </c>
      <c r="G188" s="246">
        <f>44299.332/1000</f>
        <v>44.299332</v>
      </c>
      <c r="H188" s="45">
        <v>44299.331999999995</v>
      </c>
      <c r="I188" s="45">
        <v>0</v>
      </c>
      <c r="J188" s="397">
        <v>169.98156</v>
      </c>
      <c r="K188" s="495">
        <f t="shared" si="15"/>
        <v>214.28089199999999</v>
      </c>
      <c r="L188" s="578"/>
      <c r="M188" s="45">
        <f t="shared" si="16"/>
        <v>0</v>
      </c>
      <c r="N188" s="46">
        <f t="shared" si="14"/>
        <v>214.28089199999999</v>
      </c>
      <c r="O188" s="46">
        <f t="shared" si="19"/>
        <v>0</v>
      </c>
      <c r="P188" s="234" t="s">
        <v>582</v>
      </c>
      <c r="Q188" s="46"/>
      <c r="R188" s="450"/>
      <c r="S188" s="257"/>
      <c r="T188" s="46"/>
      <c r="U188" s="46"/>
      <c r="V188" s="46"/>
      <c r="W188" s="46"/>
      <c r="X188" s="196"/>
      <c r="Y188" s="46"/>
      <c r="Z188" s="46"/>
      <c r="AA188" s="46"/>
      <c r="AB188" s="46"/>
      <c r="AC188" s="46"/>
      <c r="AD188" s="46"/>
      <c r="AE188" s="46"/>
      <c r="AF188" s="196"/>
      <c r="AG188" s="46"/>
      <c r="AH188" s="46"/>
      <c r="AI188" s="46"/>
      <c r="AJ188" s="46"/>
      <c r="AK188" s="46"/>
      <c r="AL188" s="46"/>
      <c r="AM188" s="46"/>
      <c r="AN188" s="196"/>
      <c r="AO188" s="438"/>
      <c r="AP188" s="46"/>
      <c r="AQ188" s="368"/>
      <c r="AR188" s="257"/>
      <c r="AS188" s="196"/>
      <c r="AT188" s="46"/>
      <c r="AU188" s="46"/>
      <c r="AV188" s="196"/>
      <c r="AW188" s="257"/>
      <c r="AX188" s="196"/>
      <c r="AY188" s="191"/>
      <c r="AZ188" s="257"/>
      <c r="BA188" s="196"/>
      <c r="BB188" s="46"/>
      <c r="BC188" s="257"/>
      <c r="BD188" s="196"/>
      <c r="BE188" s="191"/>
      <c r="BF188" s="46"/>
      <c r="BG188" s="196"/>
      <c r="BH188" s="46"/>
      <c r="BI188" s="257"/>
      <c r="BJ188" s="196"/>
      <c r="BK188" s="190"/>
      <c r="BL188" s="257"/>
      <c r="BM188" s="196"/>
      <c r="BN188" s="46"/>
      <c r="BO188" s="257"/>
      <c r="BP188" s="196"/>
      <c r="BQ188" s="190"/>
      <c r="BR188" s="46"/>
      <c r="BS188" s="196"/>
      <c r="BT188" s="46"/>
      <c r="BU188" s="257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196"/>
      <c r="CI188" s="46"/>
      <c r="CJ188" s="46"/>
      <c r="CK188" s="46"/>
      <c r="CL188" s="46"/>
      <c r="CM188" s="46"/>
      <c r="CN188" s="196"/>
      <c r="CO188" s="191"/>
      <c r="CP188" s="257"/>
      <c r="CQ188" s="196"/>
      <c r="CR188" s="167"/>
      <c r="CS188" s="257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191"/>
      <c r="DN188" s="46"/>
      <c r="DO188" s="196"/>
      <c r="DP188" s="221"/>
      <c r="DQ188" s="257">
        <f t="shared" si="17"/>
        <v>0</v>
      </c>
      <c r="DR188" s="294"/>
      <c r="DS188" s="295"/>
      <c r="DT188" s="386">
        <f t="shared" si="18"/>
        <v>0</v>
      </c>
      <c r="DU188" s="41"/>
      <c r="DV188" s="41"/>
      <c r="DW188" s="256"/>
      <c r="DX188" s="41"/>
      <c r="DY188" s="41"/>
      <c r="DZ188" s="68"/>
      <c r="EA188" s="41"/>
      <c r="EB188" s="41"/>
      <c r="EC188" s="256"/>
      <c r="ED188" s="308"/>
      <c r="EE188" s="308"/>
      <c r="EF188" s="308"/>
      <c r="EG188" s="41"/>
      <c r="EH188" s="41"/>
      <c r="EI188" s="41"/>
      <c r="EJ188" s="69"/>
      <c r="EK188" s="308"/>
      <c r="EL188" s="308"/>
      <c r="EM188" s="308"/>
      <c r="EN188" s="308"/>
      <c r="EO188" s="41"/>
      <c r="EP188" s="41"/>
      <c r="EQ188" s="41"/>
      <c r="ER188" s="256"/>
      <c r="ES188" s="293"/>
      <c r="ET188" s="293"/>
      <c r="EU188" s="293"/>
      <c r="EV188" s="293"/>
      <c r="EW188" s="41"/>
      <c r="EX188" s="41"/>
      <c r="EY188" s="41"/>
      <c r="EZ188" s="256"/>
      <c r="FA188" s="308"/>
      <c r="FB188" s="308"/>
      <c r="FC188" s="308"/>
      <c r="FD188" s="308"/>
      <c r="FE188" s="46"/>
      <c r="FF188" s="41"/>
      <c r="FG188" s="41"/>
      <c r="FH188" s="256"/>
      <c r="FI188" s="41"/>
      <c r="FJ188" s="41"/>
      <c r="FK188" s="41"/>
      <c r="FL188" s="276"/>
    </row>
    <row r="189" spans="1:168">
      <c r="A189" s="45">
        <v>182</v>
      </c>
      <c r="B189" s="45" t="s">
        <v>210</v>
      </c>
      <c r="C189" s="45">
        <v>4</v>
      </c>
      <c r="D189" s="29" t="s">
        <v>504</v>
      </c>
      <c r="E189" s="175">
        <v>6</v>
      </c>
      <c r="F189" s="188">
        <v>7</v>
      </c>
      <c r="G189" s="246">
        <f>11859.372/1000</f>
        <v>11.859371999999999</v>
      </c>
      <c r="H189" s="45">
        <v>0</v>
      </c>
      <c r="I189" s="45">
        <v>11859.371999999999</v>
      </c>
      <c r="J189" s="397">
        <v>44.144350000000003</v>
      </c>
      <c r="K189" s="495">
        <f t="shared" si="15"/>
        <v>56.003722000000003</v>
      </c>
      <c r="L189" s="578"/>
      <c r="M189" s="45">
        <f t="shared" si="16"/>
        <v>0</v>
      </c>
      <c r="N189" s="46">
        <f>K189-M189</f>
        <v>56.003722000000003</v>
      </c>
      <c r="O189" s="46">
        <f t="shared" si="19"/>
        <v>56</v>
      </c>
      <c r="P189" s="234"/>
      <c r="Q189" s="46"/>
      <c r="R189" s="450"/>
      <c r="S189" s="257"/>
      <c r="T189" s="46"/>
      <c r="U189" s="46"/>
      <c r="V189" s="46"/>
      <c r="W189" s="46"/>
      <c r="X189" s="196"/>
      <c r="Y189" s="46"/>
      <c r="Z189" s="46"/>
      <c r="AA189" s="46"/>
      <c r="AB189" s="46"/>
      <c r="AC189" s="46"/>
      <c r="AD189" s="46"/>
      <c r="AE189" s="46"/>
      <c r="AF189" s="196"/>
      <c r="AG189" s="46"/>
      <c r="AH189" s="46"/>
      <c r="AI189" s="46"/>
      <c r="AJ189" s="46"/>
      <c r="AK189" s="46"/>
      <c r="AL189" s="46"/>
      <c r="AM189" s="46"/>
      <c r="AN189" s="196"/>
      <c r="AO189" s="438"/>
      <c r="AP189" s="46"/>
      <c r="AQ189" s="368"/>
      <c r="AR189" s="257"/>
      <c r="AS189" s="196"/>
      <c r="AT189" s="46"/>
      <c r="AU189" s="46"/>
      <c r="AV189" s="196"/>
      <c r="AW189" s="257"/>
      <c r="AX189" s="196"/>
      <c r="AY189" s="191"/>
      <c r="AZ189" s="257"/>
      <c r="BA189" s="196"/>
      <c r="BB189" s="46"/>
      <c r="BC189" s="257"/>
      <c r="BD189" s="196"/>
      <c r="BE189" s="191"/>
      <c r="BF189" s="46"/>
      <c r="BG189" s="196"/>
      <c r="BH189" s="46"/>
      <c r="BI189" s="257"/>
      <c r="BJ189" s="196"/>
      <c r="BK189" s="190"/>
      <c r="BL189" s="257"/>
      <c r="BM189" s="196"/>
      <c r="BN189" s="46"/>
      <c r="BO189" s="257"/>
      <c r="BP189" s="196"/>
      <c r="BQ189" s="190"/>
      <c r="BR189" s="46"/>
      <c r="BS189" s="196"/>
      <c r="BT189" s="46"/>
      <c r="BU189" s="257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196"/>
      <c r="CI189" s="46"/>
      <c r="CJ189" s="46"/>
      <c r="CK189" s="46"/>
      <c r="CL189" s="46"/>
      <c r="CM189" s="46"/>
      <c r="CN189" s="196"/>
      <c r="CO189" s="191"/>
      <c r="CP189" s="257"/>
      <c r="CQ189" s="196"/>
      <c r="CR189" s="167"/>
      <c r="CS189" s="257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191"/>
      <c r="DN189" s="46"/>
      <c r="DO189" s="196"/>
      <c r="DP189" s="221" t="s">
        <v>531</v>
      </c>
      <c r="DQ189" s="257">
        <f>DW189+EC189+EJ189+ER189+EZ189+FH189+56000</f>
        <v>56000</v>
      </c>
      <c r="DR189" s="294"/>
      <c r="DS189" s="295"/>
      <c r="DT189" s="386">
        <f t="shared" si="18"/>
        <v>0</v>
      </c>
      <c r="DU189" s="41"/>
      <c r="DV189" s="41"/>
      <c r="DW189" s="256"/>
      <c r="DX189" s="41"/>
      <c r="DY189" s="41"/>
      <c r="DZ189" s="68"/>
      <c r="EA189" s="41"/>
      <c r="EB189" s="41"/>
      <c r="EC189" s="256"/>
      <c r="ED189" s="308"/>
      <c r="EE189" s="308"/>
      <c r="EF189" s="308"/>
      <c r="EG189" s="41"/>
      <c r="EH189" s="41"/>
      <c r="EI189" s="41"/>
      <c r="EJ189" s="69"/>
      <c r="EK189" s="308"/>
      <c r="EL189" s="308"/>
      <c r="EM189" s="308"/>
      <c r="EN189" s="308"/>
      <c r="EO189" s="41"/>
      <c r="EP189" s="41"/>
      <c r="EQ189" s="41"/>
      <c r="ER189" s="256"/>
      <c r="ES189" s="293"/>
      <c r="ET189" s="293"/>
      <c r="EU189" s="293"/>
      <c r="EV189" s="293"/>
      <c r="EW189" s="41"/>
      <c r="EX189" s="41"/>
      <c r="EY189" s="41"/>
      <c r="EZ189" s="256"/>
      <c r="FA189" s="308"/>
      <c r="FB189" s="308"/>
      <c r="FC189" s="308"/>
      <c r="FD189" s="308"/>
      <c r="FE189" s="41"/>
      <c r="FF189" s="41"/>
      <c r="FG189" s="41"/>
      <c r="FH189" s="256"/>
      <c r="FI189" s="41"/>
      <c r="FJ189" s="41"/>
      <c r="FK189" s="41"/>
      <c r="FL189" s="276"/>
    </row>
    <row r="190" spans="1:168">
      <c r="A190" s="45">
        <v>183</v>
      </c>
      <c r="B190" s="45" t="s">
        <v>210</v>
      </c>
      <c r="C190" s="45">
        <v>4</v>
      </c>
      <c r="D190" s="29" t="s">
        <v>504</v>
      </c>
      <c r="E190" s="175">
        <v>15</v>
      </c>
      <c r="F190" s="188">
        <v>7</v>
      </c>
      <c r="G190" s="246">
        <f>8983.422/1000</f>
        <v>8.9834220000000009</v>
      </c>
      <c r="H190" s="45">
        <v>0</v>
      </c>
      <c r="I190" s="45">
        <v>8983.4220000000005</v>
      </c>
      <c r="J190" s="397">
        <v>33.439150000000005</v>
      </c>
      <c r="K190" s="495">
        <f t="shared" si="15"/>
        <v>42.422572000000002</v>
      </c>
      <c r="L190" s="578"/>
      <c r="M190" s="45">
        <f t="shared" si="16"/>
        <v>0</v>
      </c>
      <c r="N190" s="46">
        <f>K190-M190</f>
        <v>42.422572000000002</v>
      </c>
      <c r="O190" s="46">
        <f t="shared" si="19"/>
        <v>42</v>
      </c>
      <c r="P190" s="234"/>
      <c r="Q190" s="46"/>
      <c r="R190" s="450"/>
      <c r="S190" s="257"/>
      <c r="T190" s="46"/>
      <c r="U190" s="46"/>
      <c r="V190" s="46"/>
      <c r="W190" s="46"/>
      <c r="X190" s="196"/>
      <c r="Y190" s="46"/>
      <c r="Z190" s="46"/>
      <c r="AA190" s="46"/>
      <c r="AB190" s="46"/>
      <c r="AC190" s="46"/>
      <c r="AD190" s="46"/>
      <c r="AE190" s="46"/>
      <c r="AF190" s="196"/>
      <c r="AG190" s="46"/>
      <c r="AH190" s="46"/>
      <c r="AI190" s="46"/>
      <c r="AJ190" s="46"/>
      <c r="AK190" s="46"/>
      <c r="AL190" s="46"/>
      <c r="AM190" s="46"/>
      <c r="AN190" s="196"/>
      <c r="AO190" s="438"/>
      <c r="AP190" s="46"/>
      <c r="AQ190" s="368"/>
      <c r="AR190" s="257"/>
      <c r="AS190" s="196"/>
      <c r="AT190" s="46"/>
      <c r="AU190" s="46"/>
      <c r="AV190" s="196"/>
      <c r="AW190" s="257"/>
      <c r="AX190" s="196"/>
      <c r="AY190" s="191"/>
      <c r="AZ190" s="257"/>
      <c r="BA190" s="196"/>
      <c r="BB190" s="46"/>
      <c r="BC190" s="257"/>
      <c r="BD190" s="196"/>
      <c r="BE190" s="191"/>
      <c r="BF190" s="46"/>
      <c r="BG190" s="196"/>
      <c r="BH190" s="46"/>
      <c r="BI190" s="257"/>
      <c r="BJ190" s="196"/>
      <c r="BK190" s="190"/>
      <c r="BL190" s="257"/>
      <c r="BM190" s="196"/>
      <c r="BN190" s="46"/>
      <c r="BO190" s="257"/>
      <c r="BP190" s="196"/>
      <c r="BQ190" s="190"/>
      <c r="BR190" s="46"/>
      <c r="BS190" s="196"/>
      <c r="BT190" s="46"/>
      <c r="BU190" s="257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196"/>
      <c r="CI190" s="46"/>
      <c r="CJ190" s="46"/>
      <c r="CK190" s="46"/>
      <c r="CL190" s="46"/>
      <c r="CM190" s="46"/>
      <c r="CN190" s="196"/>
      <c r="CO190" s="191"/>
      <c r="CP190" s="257"/>
      <c r="CQ190" s="196"/>
      <c r="CR190" s="167"/>
      <c r="CS190" s="257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191"/>
      <c r="DN190" s="46"/>
      <c r="DO190" s="196"/>
      <c r="DP190" s="221" t="s">
        <v>531</v>
      </c>
      <c r="DQ190" s="257">
        <f>DW190+EC190+EJ190+ER190+EZ190+FH190+42000</f>
        <v>42000</v>
      </c>
      <c r="DR190" s="294"/>
      <c r="DS190" s="295"/>
      <c r="DT190" s="386">
        <f t="shared" si="18"/>
        <v>0</v>
      </c>
      <c r="DU190" s="41"/>
      <c r="DV190" s="41"/>
      <c r="DW190" s="256"/>
      <c r="DX190" s="41"/>
      <c r="DY190" s="41"/>
      <c r="DZ190" s="68"/>
      <c r="EA190" s="41"/>
      <c r="EB190" s="41"/>
      <c r="EC190" s="256"/>
      <c r="ED190" s="308"/>
      <c r="EE190" s="308"/>
      <c r="EF190" s="308"/>
      <c r="EG190" s="41"/>
      <c r="EH190" s="41"/>
      <c r="EI190" s="41"/>
      <c r="EJ190" s="69"/>
      <c r="EK190" s="308"/>
      <c r="EL190" s="308"/>
      <c r="EM190" s="308"/>
      <c r="EN190" s="308"/>
      <c r="EO190" s="41"/>
      <c r="EP190" s="41"/>
      <c r="EQ190" s="41"/>
      <c r="ER190" s="256"/>
      <c r="ES190" s="293"/>
      <c r="ET190" s="293"/>
      <c r="EU190" s="293"/>
      <c r="EV190" s="293"/>
      <c r="EW190" s="41"/>
      <c r="EX190" s="41"/>
      <c r="EY190" s="41"/>
      <c r="EZ190" s="256"/>
      <c r="FA190" s="308"/>
      <c r="FB190" s="308"/>
      <c r="FC190" s="308"/>
      <c r="FD190" s="308"/>
      <c r="FE190" s="41"/>
      <c r="FF190" s="41"/>
      <c r="FG190" s="41"/>
      <c r="FH190" s="256"/>
      <c r="FI190" s="41"/>
      <c r="FJ190" s="41"/>
      <c r="FK190" s="41"/>
      <c r="FL190" s="276"/>
    </row>
    <row r="191" spans="1:168">
      <c r="A191" s="45">
        <v>184</v>
      </c>
      <c r="B191" s="45" t="s">
        <v>210</v>
      </c>
      <c r="C191" s="45">
        <v>4</v>
      </c>
      <c r="D191" s="29" t="s">
        <v>504</v>
      </c>
      <c r="E191" s="175">
        <v>20</v>
      </c>
      <c r="F191" s="188">
        <v>7</v>
      </c>
      <c r="G191" s="246">
        <f>9579.528/1000</f>
        <v>9.5795279999999998</v>
      </c>
      <c r="H191" s="45">
        <v>0</v>
      </c>
      <c r="I191" s="45">
        <v>9579.5279999999984</v>
      </c>
      <c r="J191" s="397">
        <v>35.658049999999996</v>
      </c>
      <c r="K191" s="495">
        <f t="shared" si="15"/>
        <v>45.237577999999999</v>
      </c>
      <c r="L191" s="578"/>
      <c r="M191" s="45">
        <f t="shared" si="16"/>
        <v>0</v>
      </c>
      <c r="N191" s="46">
        <f>K191-M191</f>
        <v>45.237577999999999</v>
      </c>
      <c r="O191" s="46">
        <f t="shared" si="19"/>
        <v>45</v>
      </c>
      <c r="P191" s="234"/>
      <c r="Q191" s="46"/>
      <c r="R191" s="450"/>
      <c r="S191" s="257"/>
      <c r="T191" s="46"/>
      <c r="U191" s="46"/>
      <c r="V191" s="46"/>
      <c r="W191" s="46"/>
      <c r="X191" s="196"/>
      <c r="Y191" s="46"/>
      <c r="Z191" s="46"/>
      <c r="AA191" s="46"/>
      <c r="AB191" s="46"/>
      <c r="AC191" s="46"/>
      <c r="AD191" s="46"/>
      <c r="AE191" s="46"/>
      <c r="AF191" s="196"/>
      <c r="AG191" s="46"/>
      <c r="AH191" s="46"/>
      <c r="AI191" s="46"/>
      <c r="AJ191" s="46"/>
      <c r="AK191" s="46"/>
      <c r="AL191" s="46"/>
      <c r="AM191" s="46"/>
      <c r="AN191" s="196"/>
      <c r="AO191" s="438"/>
      <c r="AP191" s="46"/>
      <c r="AQ191" s="368"/>
      <c r="AR191" s="257"/>
      <c r="AS191" s="196"/>
      <c r="AT191" s="46"/>
      <c r="AU191" s="46"/>
      <c r="AV191" s="196"/>
      <c r="AW191" s="257"/>
      <c r="AX191" s="196"/>
      <c r="AY191" s="191"/>
      <c r="AZ191" s="257"/>
      <c r="BA191" s="196"/>
      <c r="BB191" s="46"/>
      <c r="BC191" s="257"/>
      <c r="BD191" s="196"/>
      <c r="BE191" s="191"/>
      <c r="BF191" s="46"/>
      <c r="BG191" s="196"/>
      <c r="BH191" s="46"/>
      <c r="BI191" s="257"/>
      <c r="BJ191" s="196"/>
      <c r="BK191" s="190"/>
      <c r="BL191" s="257"/>
      <c r="BM191" s="196"/>
      <c r="BN191" s="46"/>
      <c r="BO191" s="257"/>
      <c r="BP191" s="196"/>
      <c r="BQ191" s="190"/>
      <c r="BR191" s="46"/>
      <c r="BS191" s="196"/>
      <c r="BT191" s="46"/>
      <c r="BU191" s="257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196"/>
      <c r="CI191" s="46"/>
      <c r="CJ191" s="46"/>
      <c r="CK191" s="46"/>
      <c r="CL191" s="46"/>
      <c r="CM191" s="46"/>
      <c r="CN191" s="196"/>
      <c r="CO191" s="191"/>
      <c r="CP191" s="257"/>
      <c r="CQ191" s="196"/>
      <c r="CR191" s="167"/>
      <c r="CS191" s="257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191"/>
      <c r="DN191" s="46"/>
      <c r="DO191" s="196"/>
      <c r="DP191" s="221" t="s">
        <v>531</v>
      </c>
      <c r="DQ191" s="257">
        <f>DW191+EC191+EJ191+ER191+EZ191+FH191+45000</f>
        <v>45000</v>
      </c>
      <c r="DR191" s="294"/>
      <c r="DS191" s="295"/>
      <c r="DT191" s="386">
        <f t="shared" si="18"/>
        <v>0</v>
      </c>
      <c r="DU191" s="41"/>
      <c r="DV191" s="41"/>
      <c r="DW191" s="256"/>
      <c r="DX191" s="41"/>
      <c r="DY191" s="41"/>
      <c r="DZ191" s="68"/>
      <c r="EA191" s="41"/>
      <c r="EB191" s="41"/>
      <c r="EC191" s="256"/>
      <c r="ED191" s="308"/>
      <c r="EE191" s="308"/>
      <c r="EF191" s="308"/>
      <c r="EG191" s="41"/>
      <c r="EH191" s="41"/>
      <c r="EI191" s="41"/>
      <c r="EJ191" s="69"/>
      <c r="EK191" s="308"/>
      <c r="EL191" s="308"/>
      <c r="EM191" s="308"/>
      <c r="EN191" s="308"/>
      <c r="EO191" s="41"/>
      <c r="EP191" s="41"/>
      <c r="EQ191" s="41"/>
      <c r="ER191" s="256"/>
      <c r="ES191" s="293"/>
      <c r="ET191" s="293"/>
      <c r="EU191" s="293"/>
      <c r="EV191" s="293"/>
      <c r="EW191" s="41"/>
      <c r="EX191" s="41"/>
      <c r="EY191" s="41"/>
      <c r="EZ191" s="256"/>
      <c r="FA191" s="308"/>
      <c r="FB191" s="308"/>
      <c r="FC191" s="308"/>
      <c r="FD191" s="308"/>
      <c r="FE191" s="41"/>
      <c r="FF191" s="41"/>
      <c r="FG191" s="41"/>
      <c r="FH191" s="256"/>
      <c r="FI191" s="41"/>
      <c r="FJ191" s="41"/>
      <c r="FK191" s="41"/>
      <c r="FL191" s="276"/>
    </row>
    <row r="192" spans="1:168">
      <c r="A192" s="45">
        <v>185</v>
      </c>
      <c r="B192" s="45" t="s">
        <v>210</v>
      </c>
      <c r="C192" s="45">
        <v>4</v>
      </c>
      <c r="D192" s="29" t="s">
        <v>504</v>
      </c>
      <c r="E192" s="175">
        <v>25</v>
      </c>
      <c r="F192" s="188">
        <v>7</v>
      </c>
      <c r="G192" s="246">
        <f>9391.284/1000</f>
        <v>9.3912839999999989</v>
      </c>
      <c r="H192" s="45">
        <v>0</v>
      </c>
      <c r="I192" s="45">
        <v>9391.2839999999997</v>
      </c>
      <c r="J192" s="397">
        <v>23.392739999999996</v>
      </c>
      <c r="K192" s="495">
        <f t="shared" si="15"/>
        <v>32.784023999999995</v>
      </c>
      <c r="L192" s="578"/>
      <c r="M192" s="45">
        <f t="shared" si="16"/>
        <v>0</v>
      </c>
      <c r="N192" s="46">
        <f>K192-M192</f>
        <v>32.784023999999995</v>
      </c>
      <c r="O192" s="46">
        <f t="shared" si="19"/>
        <v>32</v>
      </c>
      <c r="P192" s="234"/>
      <c r="Q192" s="46"/>
      <c r="R192" s="450"/>
      <c r="S192" s="257"/>
      <c r="T192" s="46"/>
      <c r="U192" s="46"/>
      <c r="V192" s="46"/>
      <c r="W192" s="46"/>
      <c r="X192" s="196"/>
      <c r="Y192" s="46"/>
      <c r="Z192" s="46"/>
      <c r="AA192" s="46"/>
      <c r="AB192" s="46"/>
      <c r="AC192" s="46"/>
      <c r="AD192" s="46"/>
      <c r="AE192" s="46"/>
      <c r="AF192" s="196"/>
      <c r="AG192" s="46"/>
      <c r="AH192" s="46"/>
      <c r="AI192" s="46"/>
      <c r="AJ192" s="46"/>
      <c r="AK192" s="46"/>
      <c r="AL192" s="46"/>
      <c r="AM192" s="46"/>
      <c r="AN192" s="196"/>
      <c r="AO192" s="438"/>
      <c r="AP192" s="46"/>
      <c r="AQ192" s="368"/>
      <c r="AR192" s="257"/>
      <c r="AS192" s="196"/>
      <c r="AT192" s="46"/>
      <c r="AU192" s="46"/>
      <c r="AV192" s="196"/>
      <c r="AW192" s="257"/>
      <c r="AX192" s="196"/>
      <c r="AY192" s="191"/>
      <c r="AZ192" s="257"/>
      <c r="BA192" s="196"/>
      <c r="BB192" s="46"/>
      <c r="BC192" s="257"/>
      <c r="BD192" s="196"/>
      <c r="BE192" s="191"/>
      <c r="BF192" s="46"/>
      <c r="BG192" s="196"/>
      <c r="BH192" s="46"/>
      <c r="BI192" s="257"/>
      <c r="BJ192" s="196"/>
      <c r="BK192" s="190"/>
      <c r="BL192" s="257"/>
      <c r="BM192" s="196"/>
      <c r="BN192" s="46"/>
      <c r="BO192" s="257"/>
      <c r="BP192" s="196"/>
      <c r="BQ192" s="190"/>
      <c r="BR192" s="46"/>
      <c r="BS192" s="196"/>
      <c r="BT192" s="46"/>
      <c r="BU192" s="257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196"/>
      <c r="CI192" s="46"/>
      <c r="CJ192" s="46"/>
      <c r="CK192" s="46"/>
      <c r="CL192" s="46"/>
      <c r="CM192" s="46"/>
      <c r="CN192" s="196"/>
      <c r="CO192" s="191"/>
      <c r="CP192" s="257"/>
      <c r="CQ192" s="196"/>
      <c r="CR192" s="167"/>
      <c r="CS192" s="257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191"/>
      <c r="DN192" s="46"/>
      <c r="DO192" s="196"/>
      <c r="DP192" s="221" t="s">
        <v>531</v>
      </c>
      <c r="DQ192" s="257">
        <f>DW192+EC192+EJ192+ER192+EZ192+FH192+32000</f>
        <v>32000</v>
      </c>
      <c r="DR192" s="294"/>
      <c r="DS192" s="295"/>
      <c r="DT192" s="386">
        <f t="shared" si="18"/>
        <v>0</v>
      </c>
      <c r="DU192" s="41"/>
      <c r="DV192" s="41"/>
      <c r="DW192" s="256"/>
      <c r="DX192" s="41"/>
      <c r="DY192" s="41"/>
      <c r="DZ192" s="68"/>
      <c r="EA192" s="41"/>
      <c r="EB192" s="41"/>
      <c r="EC192" s="256"/>
      <c r="ED192" s="308"/>
      <c r="EE192" s="308"/>
      <c r="EF192" s="308"/>
      <c r="EG192" s="41"/>
      <c r="EH192" s="41"/>
      <c r="EI192" s="41"/>
      <c r="EJ192" s="69"/>
      <c r="EK192" s="308"/>
      <c r="EL192" s="308"/>
      <c r="EM192" s="308"/>
      <c r="EN192" s="308"/>
      <c r="EO192" s="41"/>
      <c r="EP192" s="41"/>
      <c r="EQ192" s="41"/>
      <c r="ER192" s="256"/>
      <c r="ES192" s="293"/>
      <c r="ET192" s="293"/>
      <c r="EU192" s="293"/>
      <c r="EV192" s="293"/>
      <c r="EW192" s="41"/>
      <c r="EX192" s="41"/>
      <c r="EY192" s="41"/>
      <c r="EZ192" s="256"/>
      <c r="FA192" s="308"/>
      <c r="FB192" s="308"/>
      <c r="FC192" s="308"/>
      <c r="FD192" s="308"/>
      <c r="FE192" s="41"/>
      <c r="FF192" s="41"/>
      <c r="FG192" s="41"/>
      <c r="FH192" s="256"/>
      <c r="FI192" s="41"/>
      <c r="FJ192" s="41"/>
      <c r="FK192" s="41"/>
      <c r="FL192" s="276"/>
    </row>
    <row r="193" spans="1:168">
      <c r="A193" s="45">
        <v>186</v>
      </c>
      <c r="B193" s="45" t="s">
        <v>210</v>
      </c>
      <c r="C193" s="45">
        <v>4</v>
      </c>
      <c r="D193" s="29" t="s">
        <v>130</v>
      </c>
      <c r="E193" s="30">
        <v>29</v>
      </c>
      <c r="F193" s="30">
        <v>5</v>
      </c>
      <c r="G193" s="246">
        <f>53081.028/1000</f>
        <v>53.081027999999996</v>
      </c>
      <c r="H193" s="45">
        <v>53081.027999999998</v>
      </c>
      <c r="I193" s="45">
        <v>0</v>
      </c>
      <c r="J193" s="397">
        <v>125.02907999999999</v>
      </c>
      <c r="K193" s="495">
        <f t="shared" si="15"/>
        <v>178.110108</v>
      </c>
      <c r="L193" s="578"/>
      <c r="M193" s="45">
        <f t="shared" si="16"/>
        <v>0</v>
      </c>
      <c r="N193" s="46">
        <f t="shared" ref="N193:N253" si="20">K193-M193</f>
        <v>178.110108</v>
      </c>
      <c r="O193" s="46">
        <f t="shared" si="19"/>
        <v>180</v>
      </c>
      <c r="P193" s="234" t="s">
        <v>250</v>
      </c>
      <c r="Q193" s="46">
        <v>2</v>
      </c>
      <c r="R193" s="450">
        <v>1.2</v>
      </c>
      <c r="S193" s="257">
        <v>180000</v>
      </c>
      <c r="T193" s="46"/>
      <c r="U193" s="46"/>
      <c r="V193" s="46"/>
      <c r="W193" s="46"/>
      <c r="X193" s="196"/>
      <c r="Y193" s="46"/>
      <c r="Z193" s="46"/>
      <c r="AA193" s="46"/>
      <c r="AB193" s="46"/>
      <c r="AC193" s="46"/>
      <c r="AD193" s="46"/>
      <c r="AE193" s="46"/>
      <c r="AF193" s="196"/>
      <c r="AG193" s="46"/>
      <c r="AH193" s="46"/>
      <c r="AI193" s="46"/>
      <c r="AJ193" s="46"/>
      <c r="AK193" s="46"/>
      <c r="AL193" s="46"/>
      <c r="AM193" s="46"/>
      <c r="AN193" s="196"/>
      <c r="AO193" s="438"/>
      <c r="AP193" s="46"/>
      <c r="AQ193" s="368"/>
      <c r="AR193" s="257"/>
      <c r="AS193" s="196"/>
      <c r="AT193" s="46"/>
      <c r="AU193" s="46"/>
      <c r="AV193" s="196"/>
      <c r="AW193" s="257"/>
      <c r="AX193" s="196"/>
      <c r="AY193" s="191"/>
      <c r="AZ193" s="257"/>
      <c r="BA193" s="196"/>
      <c r="BB193" s="46"/>
      <c r="BC193" s="257"/>
      <c r="BD193" s="196"/>
      <c r="BE193" s="191"/>
      <c r="BF193" s="46"/>
      <c r="BG193" s="196"/>
      <c r="BH193" s="46"/>
      <c r="BI193" s="257"/>
      <c r="BJ193" s="196"/>
      <c r="BK193" s="190"/>
      <c r="BL193" s="257"/>
      <c r="BM193" s="196"/>
      <c r="BN193" s="46"/>
      <c r="BO193" s="257"/>
      <c r="BP193" s="196"/>
      <c r="BQ193" s="190"/>
      <c r="BR193" s="46"/>
      <c r="BS193" s="196"/>
      <c r="BT193" s="46"/>
      <c r="BU193" s="257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196"/>
      <c r="CI193" s="46"/>
      <c r="CJ193" s="46"/>
      <c r="CK193" s="46"/>
      <c r="CL193" s="46"/>
      <c r="CM193" s="46"/>
      <c r="CN193" s="196"/>
      <c r="CO193" s="191"/>
      <c r="CP193" s="257"/>
      <c r="CQ193" s="196"/>
      <c r="CR193" s="167"/>
      <c r="CS193" s="257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191"/>
      <c r="DN193" s="46"/>
      <c r="DO193" s="218"/>
      <c r="DP193" s="221"/>
      <c r="DQ193" s="257">
        <f t="shared" si="17"/>
        <v>0</v>
      </c>
      <c r="DR193" s="294"/>
      <c r="DS193" s="295"/>
      <c r="DT193" s="386">
        <f t="shared" si="18"/>
        <v>0</v>
      </c>
      <c r="DU193" s="41"/>
      <c r="DV193" s="41"/>
      <c r="DW193" s="256"/>
      <c r="DX193" s="41"/>
      <c r="DY193" s="41"/>
      <c r="DZ193" s="68"/>
      <c r="EA193" s="41"/>
      <c r="EB193" s="41"/>
      <c r="EC193" s="256"/>
      <c r="ED193" s="308"/>
      <c r="EE193" s="308"/>
      <c r="EF193" s="308"/>
      <c r="EG193" s="41"/>
      <c r="EH193" s="41"/>
      <c r="EI193" s="41"/>
      <c r="EJ193" s="69"/>
      <c r="EK193" s="308"/>
      <c r="EL193" s="308"/>
      <c r="EM193" s="308"/>
      <c r="EN193" s="308"/>
      <c r="EO193" s="41"/>
      <c r="EP193" s="41"/>
      <c r="EQ193" s="41"/>
      <c r="ER193" s="256"/>
      <c r="ES193" s="293"/>
      <c r="ET193" s="293"/>
      <c r="EU193" s="293"/>
      <c r="EV193" s="293"/>
      <c r="EW193" s="41"/>
      <c r="EX193" s="41"/>
      <c r="EY193" s="41"/>
      <c r="EZ193" s="256"/>
      <c r="FA193" s="308"/>
      <c r="FB193" s="308"/>
      <c r="FC193" s="308"/>
      <c r="FD193" s="308"/>
      <c r="FE193" s="46"/>
      <c r="FF193" s="41"/>
      <c r="FG193" s="41"/>
      <c r="FH193" s="256"/>
      <c r="FI193" s="60"/>
      <c r="FJ193" s="41"/>
      <c r="FK193" s="41"/>
      <c r="FL193" s="276"/>
    </row>
    <row r="194" spans="1:168" ht="20.25">
      <c r="A194" s="45">
        <v>187</v>
      </c>
      <c r="B194" s="45" t="s">
        <v>210</v>
      </c>
      <c r="C194" s="45">
        <v>4</v>
      </c>
      <c r="D194" s="29" t="s">
        <v>130</v>
      </c>
      <c r="E194" s="30">
        <v>30</v>
      </c>
      <c r="F194" s="30">
        <v>5</v>
      </c>
      <c r="G194" s="246">
        <f>53546.724/1000</f>
        <v>53.546724000000005</v>
      </c>
      <c r="H194" s="45">
        <v>53546.724000000002</v>
      </c>
      <c r="I194" s="45">
        <v>0</v>
      </c>
      <c r="J194" s="397">
        <v>48.867870000000011</v>
      </c>
      <c r="K194" s="495">
        <f t="shared" si="15"/>
        <v>102.41459400000002</v>
      </c>
      <c r="L194" s="578"/>
      <c r="M194" s="45">
        <f t="shared" si="16"/>
        <v>0</v>
      </c>
      <c r="N194" s="46">
        <f t="shared" si="20"/>
        <v>102.41459400000002</v>
      </c>
      <c r="O194" s="46">
        <f t="shared" si="19"/>
        <v>110</v>
      </c>
      <c r="P194" s="234"/>
      <c r="Q194" s="46">
        <v>1</v>
      </c>
      <c r="R194" s="450">
        <v>1</v>
      </c>
      <c r="S194" s="257">
        <v>90000</v>
      </c>
      <c r="T194" s="46"/>
      <c r="U194" s="46"/>
      <c r="V194" s="46"/>
      <c r="W194" s="46"/>
      <c r="X194" s="196"/>
      <c r="Y194" s="46"/>
      <c r="Z194" s="46"/>
      <c r="AA194" s="46"/>
      <c r="AB194" s="46"/>
      <c r="AC194" s="46"/>
      <c r="AD194" s="46"/>
      <c r="AE194" s="46"/>
      <c r="AF194" s="196"/>
      <c r="AG194" s="46"/>
      <c r="AH194" s="46"/>
      <c r="AI194" s="46"/>
      <c r="AJ194" s="46"/>
      <c r="AK194" s="46"/>
      <c r="AL194" s="46"/>
      <c r="AM194" s="46"/>
      <c r="AN194" s="196"/>
      <c r="AO194" s="438"/>
      <c r="AP194" s="46"/>
      <c r="AQ194" s="368"/>
      <c r="AR194" s="257"/>
      <c r="AS194" s="196"/>
      <c r="AT194" s="46"/>
      <c r="AU194" s="46"/>
      <c r="AV194" s="196"/>
      <c r="AW194" s="257"/>
      <c r="AX194" s="196"/>
      <c r="AY194" s="191"/>
      <c r="AZ194" s="257"/>
      <c r="BA194" s="196"/>
      <c r="BB194" s="46"/>
      <c r="BC194" s="257"/>
      <c r="BD194" s="196"/>
      <c r="BE194" s="191"/>
      <c r="BF194" s="46"/>
      <c r="BG194" s="196"/>
      <c r="BH194" s="46"/>
      <c r="BI194" s="257"/>
      <c r="BJ194" s="196"/>
      <c r="BK194" s="190"/>
      <c r="BL194" s="257"/>
      <c r="BM194" s="196"/>
      <c r="BN194" s="46"/>
      <c r="BO194" s="257"/>
      <c r="BP194" s="196"/>
      <c r="BQ194" s="190"/>
      <c r="BR194" s="46"/>
      <c r="BS194" s="196"/>
      <c r="BT194" s="46"/>
      <c r="BU194" s="257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196"/>
      <c r="CI194" s="46"/>
      <c r="CJ194" s="46"/>
      <c r="CK194" s="46"/>
      <c r="CL194" s="46"/>
      <c r="CM194" s="46"/>
      <c r="CN194" s="196"/>
      <c r="CO194" s="191"/>
      <c r="CP194" s="257"/>
      <c r="CQ194" s="196"/>
      <c r="CR194" s="167"/>
      <c r="CS194" s="257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191"/>
      <c r="DN194" s="46"/>
      <c r="DO194" s="196"/>
      <c r="DP194" s="221" t="s">
        <v>919</v>
      </c>
      <c r="DQ194" s="257">
        <f>DW194+EC194+EJ194+ER194+EZ194+FH194+20000</f>
        <v>20000</v>
      </c>
      <c r="DR194" s="294"/>
      <c r="DS194" s="295"/>
      <c r="DT194" s="386">
        <f t="shared" si="18"/>
        <v>0</v>
      </c>
      <c r="DU194" s="41"/>
      <c r="DV194" s="41"/>
      <c r="DW194" s="256"/>
      <c r="DX194" s="41"/>
      <c r="DY194" s="41"/>
      <c r="DZ194" s="68"/>
      <c r="EA194" s="41"/>
      <c r="EB194" s="41"/>
      <c r="EC194" s="256"/>
      <c r="ED194" s="308"/>
      <c r="EE194" s="308"/>
      <c r="EF194" s="308"/>
      <c r="EG194" s="41"/>
      <c r="EH194" s="41"/>
      <c r="EI194" s="41"/>
      <c r="EJ194" s="69"/>
      <c r="EK194" s="308"/>
      <c r="EL194" s="308"/>
      <c r="EM194" s="308"/>
      <c r="EN194" s="308"/>
      <c r="EO194" s="41"/>
      <c r="EP194" s="41"/>
      <c r="EQ194" s="41"/>
      <c r="ER194" s="256"/>
      <c r="ES194" s="293"/>
      <c r="ET194" s="293"/>
      <c r="EU194" s="293"/>
      <c r="EV194" s="293"/>
      <c r="EW194" s="41"/>
      <c r="EX194" s="41"/>
      <c r="EY194" s="41"/>
      <c r="EZ194" s="256"/>
      <c r="FA194" s="308"/>
      <c r="FB194" s="308"/>
      <c r="FC194" s="308"/>
      <c r="FD194" s="308"/>
      <c r="FE194" s="46"/>
      <c r="FF194" s="41"/>
      <c r="FG194" s="41"/>
      <c r="FH194" s="256"/>
      <c r="FI194" s="41"/>
      <c r="FJ194" s="41"/>
      <c r="FK194" s="41"/>
      <c r="FL194" s="276"/>
    </row>
    <row r="195" spans="1:168">
      <c r="A195" s="45">
        <v>188</v>
      </c>
      <c r="B195" s="45" t="s">
        <v>210</v>
      </c>
      <c r="C195" s="45">
        <v>4</v>
      </c>
      <c r="D195" s="29" t="s">
        <v>130</v>
      </c>
      <c r="E195" s="30">
        <v>31</v>
      </c>
      <c r="F195" s="30">
        <v>5</v>
      </c>
      <c r="G195" s="246">
        <f>61530.084/1000</f>
        <v>61.530084000000002</v>
      </c>
      <c r="H195" s="45">
        <v>61530.083999999995</v>
      </c>
      <c r="I195" s="45">
        <v>0</v>
      </c>
      <c r="J195" s="397">
        <v>77.701260000000005</v>
      </c>
      <c r="K195" s="495">
        <f t="shared" si="15"/>
        <v>139.23134400000001</v>
      </c>
      <c r="L195" s="578"/>
      <c r="M195" s="45">
        <f t="shared" si="16"/>
        <v>0</v>
      </c>
      <c r="N195" s="46">
        <f t="shared" si="20"/>
        <v>139.23134400000001</v>
      </c>
      <c r="O195" s="46">
        <f t="shared" si="19"/>
        <v>100</v>
      </c>
      <c r="P195" s="234"/>
      <c r="Q195" s="46"/>
      <c r="R195" s="450"/>
      <c r="S195" s="257"/>
      <c r="T195" s="46"/>
      <c r="U195" s="46"/>
      <c r="V195" s="46"/>
      <c r="W195" s="46"/>
      <c r="X195" s="196"/>
      <c r="Y195" s="46"/>
      <c r="Z195" s="46"/>
      <c r="AA195" s="46"/>
      <c r="AB195" s="46"/>
      <c r="AC195" s="46"/>
      <c r="AD195" s="46"/>
      <c r="AE195" s="46"/>
      <c r="AF195" s="196"/>
      <c r="AG195" s="46"/>
      <c r="AH195" s="46"/>
      <c r="AI195" s="46"/>
      <c r="AJ195" s="46"/>
      <c r="AK195" s="46"/>
      <c r="AL195" s="46"/>
      <c r="AM195" s="46"/>
      <c r="AN195" s="196"/>
      <c r="AO195" s="438"/>
      <c r="AP195" s="46"/>
      <c r="AQ195" s="368"/>
      <c r="AR195" s="257"/>
      <c r="AS195" s="196"/>
      <c r="AT195" s="46"/>
      <c r="AU195" s="46"/>
      <c r="AV195" s="196"/>
      <c r="AW195" s="257"/>
      <c r="AX195" s="196"/>
      <c r="AY195" s="191"/>
      <c r="AZ195" s="257"/>
      <c r="BA195" s="196"/>
      <c r="BB195" s="46"/>
      <c r="BC195" s="257"/>
      <c r="BD195" s="196" t="s">
        <v>227</v>
      </c>
      <c r="BE195" s="191" t="s">
        <v>920</v>
      </c>
      <c r="BF195" s="46">
        <v>100000</v>
      </c>
      <c r="BG195" s="196"/>
      <c r="BH195" s="46"/>
      <c r="BI195" s="257"/>
      <c r="BJ195" s="196"/>
      <c r="BK195" s="190"/>
      <c r="BL195" s="257"/>
      <c r="BM195" s="196"/>
      <c r="BN195" s="46"/>
      <c r="BO195" s="257"/>
      <c r="BP195" s="196"/>
      <c r="BQ195" s="190"/>
      <c r="BR195" s="46"/>
      <c r="BS195" s="196"/>
      <c r="BT195" s="46"/>
      <c r="BU195" s="257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196"/>
      <c r="CI195" s="46"/>
      <c r="CJ195" s="46"/>
      <c r="CK195" s="46"/>
      <c r="CL195" s="46"/>
      <c r="CM195" s="46"/>
      <c r="CN195" s="196"/>
      <c r="CO195" s="191"/>
      <c r="CP195" s="257"/>
      <c r="CQ195" s="196"/>
      <c r="CR195" s="167"/>
      <c r="CS195" s="257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191"/>
      <c r="DN195" s="46"/>
      <c r="DO195" s="196"/>
      <c r="DP195" s="221"/>
      <c r="DQ195" s="257">
        <f t="shared" si="17"/>
        <v>0</v>
      </c>
      <c r="DR195" s="296"/>
      <c r="DS195" s="295"/>
      <c r="DT195" s="386">
        <f t="shared" si="18"/>
        <v>0</v>
      </c>
      <c r="DU195" s="41"/>
      <c r="DV195" s="41"/>
      <c r="DW195" s="256"/>
      <c r="DX195" s="41"/>
      <c r="DY195" s="41"/>
      <c r="DZ195" s="68"/>
      <c r="EA195" s="41"/>
      <c r="EB195" s="41"/>
      <c r="EC195" s="256"/>
      <c r="ED195" s="308"/>
      <c r="EE195" s="308"/>
      <c r="EF195" s="308"/>
      <c r="EG195" s="41"/>
      <c r="EH195" s="41"/>
      <c r="EI195" s="41"/>
      <c r="EJ195" s="69"/>
      <c r="EK195" s="308"/>
      <c r="EL195" s="308"/>
      <c r="EM195" s="308"/>
      <c r="EN195" s="308"/>
      <c r="EO195" s="41"/>
      <c r="EP195" s="41"/>
      <c r="EQ195" s="41"/>
      <c r="ER195" s="256"/>
      <c r="ES195" s="293"/>
      <c r="ET195" s="293"/>
      <c r="EU195" s="293"/>
      <c r="EV195" s="293"/>
      <c r="EW195" s="41"/>
      <c r="EX195" s="41"/>
      <c r="EY195" s="41"/>
      <c r="EZ195" s="256"/>
      <c r="FA195" s="308"/>
      <c r="FB195" s="308"/>
      <c r="FC195" s="308"/>
      <c r="FD195" s="308"/>
      <c r="FE195" s="46"/>
      <c r="FF195" s="41"/>
      <c r="FG195" s="41"/>
      <c r="FH195" s="256"/>
      <c r="FI195" s="41"/>
      <c r="FJ195" s="41"/>
      <c r="FK195" s="41"/>
      <c r="FL195" s="276"/>
    </row>
    <row r="196" spans="1:168">
      <c r="A196" s="45">
        <v>189</v>
      </c>
      <c r="B196" s="45" t="s">
        <v>210</v>
      </c>
      <c r="C196" s="45">
        <v>4</v>
      </c>
      <c r="D196" s="29" t="s">
        <v>130</v>
      </c>
      <c r="E196" s="30">
        <v>33</v>
      </c>
      <c r="F196" s="30">
        <v>5</v>
      </c>
      <c r="G196" s="246">
        <f>71143.38/1000</f>
        <v>71.143380000000008</v>
      </c>
      <c r="H196" s="45">
        <v>71143.38</v>
      </c>
      <c r="I196" s="45">
        <v>0</v>
      </c>
      <c r="J196" s="397">
        <v>43.827139999999986</v>
      </c>
      <c r="K196" s="495">
        <f t="shared" si="15"/>
        <v>114.97051999999999</v>
      </c>
      <c r="L196" s="578"/>
      <c r="M196" s="45">
        <f t="shared" si="16"/>
        <v>0</v>
      </c>
      <c r="N196" s="46">
        <f t="shared" si="20"/>
        <v>114.97051999999999</v>
      </c>
      <c r="O196" s="46">
        <f t="shared" si="19"/>
        <v>91.2</v>
      </c>
      <c r="P196" s="234"/>
      <c r="Q196" s="46"/>
      <c r="R196" s="450"/>
      <c r="S196" s="257"/>
      <c r="T196" s="46"/>
      <c r="U196" s="46"/>
      <c r="V196" s="46"/>
      <c r="W196" s="46"/>
      <c r="X196" s="196"/>
      <c r="Y196" s="46">
        <v>24</v>
      </c>
      <c r="Z196" s="46">
        <v>1</v>
      </c>
      <c r="AA196" s="46">
        <f>Y196*3800</f>
        <v>91200</v>
      </c>
      <c r="AB196" s="46"/>
      <c r="AC196" s="46"/>
      <c r="AD196" s="46"/>
      <c r="AE196" s="46"/>
      <c r="AF196" s="196"/>
      <c r="AG196" s="46"/>
      <c r="AH196" s="46"/>
      <c r="AI196" s="46"/>
      <c r="AJ196" s="46"/>
      <c r="AK196" s="46"/>
      <c r="AL196" s="46"/>
      <c r="AM196" s="46"/>
      <c r="AN196" s="196"/>
      <c r="AO196" s="438"/>
      <c r="AP196" s="46"/>
      <c r="AQ196" s="368"/>
      <c r="AR196" s="257"/>
      <c r="AS196" s="196"/>
      <c r="AT196" s="46"/>
      <c r="AU196" s="46"/>
      <c r="AV196" s="196"/>
      <c r="AW196" s="257"/>
      <c r="AX196" s="196"/>
      <c r="AY196" s="191"/>
      <c r="AZ196" s="257"/>
      <c r="BA196" s="196"/>
      <c r="BB196" s="46"/>
      <c r="BC196" s="257"/>
      <c r="BD196" s="196"/>
      <c r="BE196" s="191"/>
      <c r="BF196" s="46"/>
      <c r="BG196" s="196"/>
      <c r="BH196" s="46"/>
      <c r="BI196" s="257"/>
      <c r="BJ196" s="196"/>
      <c r="BK196" s="191"/>
      <c r="BL196" s="257"/>
      <c r="BM196" s="196"/>
      <c r="BN196" s="46"/>
      <c r="BO196" s="257"/>
      <c r="BP196" s="196"/>
      <c r="BQ196" s="190"/>
      <c r="BR196" s="46"/>
      <c r="BS196" s="196"/>
      <c r="BT196" s="46"/>
      <c r="BU196" s="257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196"/>
      <c r="CI196" s="46"/>
      <c r="CJ196" s="46"/>
      <c r="CK196" s="46"/>
      <c r="CL196" s="46"/>
      <c r="CM196" s="46"/>
      <c r="CN196" s="196"/>
      <c r="CO196" s="191"/>
      <c r="CP196" s="257"/>
      <c r="CQ196" s="196"/>
      <c r="CR196" s="167"/>
      <c r="CS196" s="257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191"/>
      <c r="DN196" s="46"/>
      <c r="DO196" s="196"/>
      <c r="DP196" s="221"/>
      <c r="DQ196" s="257">
        <f t="shared" si="17"/>
        <v>0</v>
      </c>
      <c r="DR196" s="296"/>
      <c r="DS196" s="295"/>
      <c r="DT196" s="386">
        <f t="shared" si="18"/>
        <v>0</v>
      </c>
      <c r="DU196" s="41"/>
      <c r="DV196" s="41"/>
      <c r="DW196" s="256"/>
      <c r="DX196" s="41"/>
      <c r="DY196" s="41"/>
      <c r="DZ196" s="68"/>
      <c r="EA196" s="41"/>
      <c r="EB196" s="41"/>
      <c r="EC196" s="256"/>
      <c r="ED196" s="308"/>
      <c r="EE196" s="308"/>
      <c r="EF196" s="308"/>
      <c r="EG196" s="41"/>
      <c r="EH196" s="41"/>
      <c r="EI196" s="41"/>
      <c r="EJ196" s="69"/>
      <c r="EK196" s="308"/>
      <c r="EL196" s="308"/>
      <c r="EM196" s="308"/>
      <c r="EN196" s="308"/>
      <c r="EO196" s="41"/>
      <c r="EP196" s="41"/>
      <c r="EQ196" s="41"/>
      <c r="ER196" s="256"/>
      <c r="ES196" s="293"/>
      <c r="ET196" s="293"/>
      <c r="EU196" s="293"/>
      <c r="EV196" s="293"/>
      <c r="EW196" s="41"/>
      <c r="EX196" s="41"/>
      <c r="EY196" s="41"/>
      <c r="EZ196" s="256"/>
      <c r="FA196" s="308"/>
      <c r="FB196" s="308"/>
      <c r="FC196" s="308"/>
      <c r="FD196" s="308"/>
      <c r="FE196" s="46"/>
      <c r="FF196" s="41"/>
      <c r="FG196" s="41"/>
      <c r="FH196" s="256"/>
      <c r="FI196" s="41"/>
      <c r="FJ196" s="41"/>
      <c r="FK196" s="41"/>
      <c r="FL196" s="276"/>
    </row>
    <row r="197" spans="1:168" ht="20.25">
      <c r="A197" s="45">
        <v>190</v>
      </c>
      <c r="B197" s="45" t="s">
        <v>210</v>
      </c>
      <c r="C197" s="45">
        <v>4</v>
      </c>
      <c r="D197" s="29" t="s">
        <v>130</v>
      </c>
      <c r="E197" s="30">
        <v>34</v>
      </c>
      <c r="F197" s="30">
        <v>5</v>
      </c>
      <c r="G197" s="246">
        <f>102769.128/1000</f>
        <v>102.76912799999999</v>
      </c>
      <c r="H197" s="45">
        <v>102769.128</v>
      </c>
      <c r="I197" s="45">
        <v>0</v>
      </c>
      <c r="J197" s="397">
        <v>294.90935000000002</v>
      </c>
      <c r="K197" s="495">
        <f t="shared" si="15"/>
        <v>397.67847800000004</v>
      </c>
      <c r="L197" s="578"/>
      <c r="M197" s="45">
        <f t="shared" si="16"/>
        <v>0</v>
      </c>
      <c r="N197" s="46">
        <f t="shared" si="20"/>
        <v>397.67847800000004</v>
      </c>
      <c r="O197" s="46">
        <f t="shared" si="19"/>
        <v>391.8</v>
      </c>
      <c r="P197" s="234"/>
      <c r="Q197" s="46"/>
      <c r="R197" s="450"/>
      <c r="S197" s="257"/>
      <c r="T197" s="46"/>
      <c r="U197" s="46"/>
      <c r="V197" s="46"/>
      <c r="W197" s="46"/>
      <c r="X197" s="196"/>
      <c r="Y197" s="46"/>
      <c r="Z197" s="46"/>
      <c r="AA197" s="46"/>
      <c r="AB197" s="46"/>
      <c r="AC197" s="46"/>
      <c r="AD197" s="46"/>
      <c r="AE197" s="46"/>
      <c r="AF197" s="196" t="s">
        <v>226</v>
      </c>
      <c r="AG197" s="46">
        <v>96</v>
      </c>
      <c r="AH197" s="190" t="s">
        <v>921</v>
      </c>
      <c r="AI197" s="46">
        <f>AG197*750</f>
        <v>72000</v>
      </c>
      <c r="AJ197" s="46"/>
      <c r="AK197" s="46"/>
      <c r="AL197" s="46"/>
      <c r="AM197" s="46"/>
      <c r="AN197" s="196"/>
      <c r="AO197" s="438"/>
      <c r="AP197" s="46"/>
      <c r="AQ197" s="368"/>
      <c r="AR197" s="257"/>
      <c r="AS197" s="196"/>
      <c r="AT197" s="46"/>
      <c r="AU197" s="46"/>
      <c r="AV197" s="196"/>
      <c r="AW197" s="257"/>
      <c r="AX197" s="237"/>
      <c r="AY197" s="191"/>
      <c r="AZ197" s="257"/>
      <c r="BA197" s="196"/>
      <c r="BB197" s="46"/>
      <c r="BC197" s="257"/>
      <c r="BD197" s="237"/>
      <c r="BE197" s="191"/>
      <c r="BF197" s="46"/>
      <c r="BG197" s="196"/>
      <c r="BH197" s="46"/>
      <c r="BI197" s="257"/>
      <c r="BJ197" s="237"/>
      <c r="BK197" s="191"/>
      <c r="BL197" s="257"/>
      <c r="BM197" s="196"/>
      <c r="BN197" s="46"/>
      <c r="BO197" s="257"/>
      <c r="BP197" s="237"/>
      <c r="BQ197" s="190"/>
      <c r="BR197" s="46"/>
      <c r="BS197" s="196"/>
      <c r="BT197" s="46"/>
      <c r="BU197" s="257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196"/>
      <c r="CI197" s="46"/>
      <c r="CJ197" s="46"/>
      <c r="CK197" s="46"/>
      <c r="CL197" s="46"/>
      <c r="CM197" s="46"/>
      <c r="CN197" s="218"/>
      <c r="CO197" s="190"/>
      <c r="CP197" s="257"/>
      <c r="CQ197" s="196"/>
      <c r="CR197" s="167"/>
      <c r="CS197" s="257"/>
      <c r="CT197" s="249"/>
      <c r="CU197" s="46"/>
      <c r="CV197" s="46"/>
      <c r="CW197" s="46"/>
      <c r="CX197" s="46"/>
      <c r="CY197" s="46"/>
      <c r="CZ197" s="46">
        <v>4</v>
      </c>
      <c r="DA197" s="46">
        <v>161</v>
      </c>
      <c r="DB197" s="46">
        <f>DA197*1800</f>
        <v>289800</v>
      </c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191"/>
      <c r="DN197" s="46"/>
      <c r="DO197" s="196"/>
      <c r="DP197" s="221" t="s">
        <v>922</v>
      </c>
      <c r="DQ197" s="257">
        <f t="shared" si="17"/>
        <v>30000</v>
      </c>
      <c r="DR197" s="294"/>
      <c r="DS197" s="295"/>
      <c r="DT197" s="386">
        <f t="shared" si="18"/>
        <v>0</v>
      </c>
      <c r="DU197" s="41"/>
      <c r="DV197" s="41"/>
      <c r="DW197" s="256"/>
      <c r="DX197" s="41"/>
      <c r="DY197" s="41"/>
      <c r="DZ197" s="68"/>
      <c r="EA197" s="41"/>
      <c r="EB197" s="41"/>
      <c r="EC197" s="256"/>
      <c r="ED197" s="308"/>
      <c r="EE197" s="308"/>
      <c r="EF197" s="308"/>
      <c r="EG197" s="41"/>
      <c r="EH197" s="41"/>
      <c r="EI197" s="41"/>
      <c r="EJ197" s="69"/>
      <c r="EK197" s="308"/>
      <c r="EL197" s="308"/>
      <c r="EM197" s="308"/>
      <c r="EN197" s="308"/>
      <c r="EO197" s="41">
        <v>7</v>
      </c>
      <c r="EP197" s="41">
        <v>3</v>
      </c>
      <c r="EQ197" s="41" t="s">
        <v>529</v>
      </c>
      <c r="ER197" s="256">
        <v>30000</v>
      </c>
      <c r="ES197" s="293"/>
      <c r="ET197" s="293"/>
      <c r="EU197" s="293"/>
      <c r="EV197" s="293"/>
      <c r="EW197" s="41"/>
      <c r="EX197" s="41"/>
      <c r="EY197" s="41"/>
      <c r="EZ197" s="256"/>
      <c r="FA197" s="308"/>
      <c r="FB197" s="308"/>
      <c r="FC197" s="308"/>
      <c r="FD197" s="308"/>
      <c r="FE197" s="46"/>
      <c r="FF197" s="41"/>
      <c r="FG197" s="41"/>
      <c r="FH197" s="256"/>
      <c r="FI197" s="41"/>
      <c r="FJ197" s="41"/>
      <c r="FK197" s="41"/>
      <c r="FL197" s="276"/>
    </row>
    <row r="198" spans="1:168">
      <c r="A198" s="45">
        <v>191</v>
      </c>
      <c r="B198" s="45" t="s">
        <v>210</v>
      </c>
      <c r="C198" s="45">
        <v>4</v>
      </c>
      <c r="D198" s="29" t="s">
        <v>130</v>
      </c>
      <c r="E198" s="30">
        <v>35</v>
      </c>
      <c r="F198" s="30">
        <v>5</v>
      </c>
      <c r="G198" s="246">
        <f>108540.432/1000</f>
        <v>108.540432</v>
      </c>
      <c r="H198" s="45">
        <v>108540.432</v>
      </c>
      <c r="I198" s="45">
        <v>0</v>
      </c>
      <c r="J198" s="397">
        <f t="shared" ref="J198" si="21">G198-I198</f>
        <v>108.540432</v>
      </c>
      <c r="K198" s="495">
        <f t="shared" ref="K198:K257" si="22">G198+J198</f>
        <v>217.08086399999999</v>
      </c>
      <c r="L198" s="578"/>
      <c r="M198" s="45">
        <f t="shared" si="16"/>
        <v>0</v>
      </c>
      <c r="N198" s="46">
        <f t="shared" si="20"/>
        <v>217.08086399999999</v>
      </c>
      <c r="O198" s="46">
        <f t="shared" si="19"/>
        <v>215</v>
      </c>
      <c r="P198" s="234" t="s">
        <v>250</v>
      </c>
      <c r="Q198" s="46">
        <v>1</v>
      </c>
      <c r="R198" s="450">
        <v>1</v>
      </c>
      <c r="S198" s="257">
        <v>125000</v>
      </c>
      <c r="T198" s="46"/>
      <c r="U198" s="46"/>
      <c r="V198" s="46"/>
      <c r="W198" s="46"/>
      <c r="X198" s="196"/>
      <c r="Y198" s="46"/>
      <c r="Z198" s="46"/>
      <c r="AA198" s="46"/>
      <c r="AB198" s="46"/>
      <c r="AC198" s="46"/>
      <c r="AD198" s="46"/>
      <c r="AE198" s="46"/>
      <c r="AF198" s="196" t="s">
        <v>226</v>
      </c>
      <c r="AG198" s="46">
        <v>120</v>
      </c>
      <c r="AH198" s="46"/>
      <c r="AI198" s="46">
        <f>AG198*750</f>
        <v>90000</v>
      </c>
      <c r="AJ198" s="46"/>
      <c r="AK198" s="46"/>
      <c r="AL198" s="46"/>
      <c r="AM198" s="46"/>
      <c r="AN198" s="196"/>
      <c r="AO198" s="438"/>
      <c r="AP198" s="46"/>
      <c r="AQ198" s="368"/>
      <c r="AR198" s="257"/>
      <c r="AS198" s="196"/>
      <c r="AT198" s="46"/>
      <c r="AU198" s="46"/>
      <c r="AV198" s="196"/>
      <c r="AW198" s="257"/>
      <c r="AX198" s="237"/>
      <c r="AY198" s="191"/>
      <c r="AZ198" s="257"/>
      <c r="BA198" s="196"/>
      <c r="BB198" s="46"/>
      <c r="BC198" s="257"/>
      <c r="BD198" s="237"/>
      <c r="BE198" s="191"/>
      <c r="BF198" s="46"/>
      <c r="BG198" s="196"/>
      <c r="BH198" s="46"/>
      <c r="BI198" s="257"/>
      <c r="BJ198" s="237"/>
      <c r="BK198" s="191"/>
      <c r="BL198" s="257"/>
      <c r="BM198" s="196"/>
      <c r="BN198" s="46"/>
      <c r="BO198" s="257"/>
      <c r="BP198" s="237"/>
      <c r="BQ198" s="190"/>
      <c r="BR198" s="46"/>
      <c r="BS198" s="196"/>
      <c r="BT198" s="46"/>
      <c r="BU198" s="257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196"/>
      <c r="CI198" s="46"/>
      <c r="CJ198" s="46"/>
      <c r="CK198" s="46"/>
      <c r="CL198" s="46"/>
      <c r="CM198" s="46"/>
      <c r="CN198" s="196"/>
      <c r="CO198" s="191"/>
      <c r="CP198" s="257"/>
      <c r="CQ198" s="196"/>
      <c r="CR198" s="167"/>
      <c r="CS198" s="257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191"/>
      <c r="DN198" s="46"/>
      <c r="DO198" s="196"/>
      <c r="DP198" s="221"/>
      <c r="DQ198" s="257">
        <f t="shared" si="17"/>
        <v>0</v>
      </c>
      <c r="DR198" s="294"/>
      <c r="DS198" s="295"/>
      <c r="DT198" s="386">
        <f t="shared" si="18"/>
        <v>0</v>
      </c>
      <c r="DU198" s="41"/>
      <c r="DV198" s="41"/>
      <c r="DW198" s="256"/>
      <c r="DX198" s="41"/>
      <c r="DY198" s="41"/>
      <c r="DZ198" s="68"/>
      <c r="EA198" s="41"/>
      <c r="EB198" s="41"/>
      <c r="EC198" s="256"/>
      <c r="ED198" s="308"/>
      <c r="EE198" s="308"/>
      <c r="EF198" s="308"/>
      <c r="EG198" s="41"/>
      <c r="EH198" s="41"/>
      <c r="EI198" s="41"/>
      <c r="EJ198" s="69"/>
      <c r="EK198" s="308"/>
      <c r="EL198" s="308"/>
      <c r="EM198" s="308"/>
      <c r="EN198" s="308"/>
      <c r="EO198" s="41"/>
      <c r="EP198" s="41"/>
      <c r="EQ198" s="41"/>
      <c r="ER198" s="256"/>
      <c r="ES198" s="293"/>
      <c r="ET198" s="293"/>
      <c r="EU198" s="293"/>
      <c r="EV198" s="293"/>
      <c r="EW198" s="41"/>
      <c r="EX198" s="41"/>
      <c r="EY198" s="41"/>
      <c r="EZ198" s="256"/>
      <c r="FA198" s="308"/>
      <c r="FB198" s="308"/>
      <c r="FC198" s="308"/>
      <c r="FD198" s="308"/>
      <c r="FE198" s="46"/>
      <c r="FF198" s="41"/>
      <c r="FG198" s="41"/>
      <c r="FH198" s="256"/>
      <c r="FI198" s="41"/>
      <c r="FJ198" s="41"/>
      <c r="FK198" s="41"/>
      <c r="FL198" s="276"/>
    </row>
    <row r="199" spans="1:168" ht="34.5">
      <c r="A199" s="45">
        <v>192</v>
      </c>
      <c r="B199" s="45" t="s">
        <v>210</v>
      </c>
      <c r="C199" s="45">
        <v>4</v>
      </c>
      <c r="D199" s="29" t="s">
        <v>130</v>
      </c>
      <c r="E199" s="30">
        <v>36</v>
      </c>
      <c r="F199" s="30">
        <v>5</v>
      </c>
      <c r="G199" s="246">
        <f>106577.856/1000</f>
        <v>106.577856</v>
      </c>
      <c r="H199" s="45">
        <v>106577.85599999997</v>
      </c>
      <c r="I199" s="45">
        <v>0</v>
      </c>
      <c r="J199" s="397">
        <v>255.76015999999998</v>
      </c>
      <c r="K199" s="495">
        <f t="shared" si="22"/>
        <v>362.33801599999998</v>
      </c>
      <c r="L199" s="578"/>
      <c r="M199" s="45">
        <f t="shared" si="16"/>
        <v>0</v>
      </c>
      <c r="N199" s="46">
        <f t="shared" si="20"/>
        <v>362.33801599999998</v>
      </c>
      <c r="O199" s="46">
        <f t="shared" si="19"/>
        <v>291</v>
      </c>
      <c r="P199" s="234" t="s">
        <v>226</v>
      </c>
      <c r="Q199" s="46">
        <v>1</v>
      </c>
      <c r="R199" s="450" t="s">
        <v>556</v>
      </c>
      <c r="S199" s="257">
        <f>135000+60000</f>
        <v>195000</v>
      </c>
      <c r="T199" s="46"/>
      <c r="U199" s="46"/>
      <c r="V199" s="46"/>
      <c r="W199" s="46"/>
      <c r="X199" s="196"/>
      <c r="Y199" s="46"/>
      <c r="Z199" s="46"/>
      <c r="AA199" s="46"/>
      <c r="AB199" s="46"/>
      <c r="AC199" s="46"/>
      <c r="AD199" s="46"/>
      <c r="AE199" s="46"/>
      <c r="AF199" s="196"/>
      <c r="AG199" s="46"/>
      <c r="AH199" s="167"/>
      <c r="AI199" s="46"/>
      <c r="AJ199" s="46"/>
      <c r="AK199" s="46"/>
      <c r="AL199" s="46"/>
      <c r="AM199" s="46"/>
      <c r="AN199" s="196" t="s">
        <v>248</v>
      </c>
      <c r="AO199" s="438" t="s">
        <v>310</v>
      </c>
      <c r="AP199" s="46">
        <v>120</v>
      </c>
      <c r="AQ199" s="368" t="s">
        <v>251</v>
      </c>
      <c r="AR199" s="257">
        <f>AP199*800</f>
        <v>96000</v>
      </c>
      <c r="AS199" s="196"/>
      <c r="AT199" s="46"/>
      <c r="AU199" s="46"/>
      <c r="AV199" s="196"/>
      <c r="AW199" s="257"/>
      <c r="AX199" s="237"/>
      <c r="AY199" s="191"/>
      <c r="AZ199" s="257"/>
      <c r="BA199" s="196"/>
      <c r="BB199" s="46"/>
      <c r="BC199" s="257"/>
      <c r="BD199" s="237"/>
      <c r="BE199" s="191"/>
      <c r="BF199" s="46"/>
      <c r="BG199" s="196"/>
      <c r="BH199" s="46"/>
      <c r="BI199" s="257"/>
      <c r="BJ199" s="237"/>
      <c r="BK199" s="191"/>
      <c r="BL199" s="257"/>
      <c r="BM199" s="196"/>
      <c r="BN199" s="46"/>
      <c r="BO199" s="257"/>
      <c r="BP199" s="237"/>
      <c r="BQ199" s="190"/>
      <c r="BR199" s="46"/>
      <c r="BS199" s="196"/>
      <c r="BT199" s="46"/>
      <c r="BU199" s="257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196"/>
      <c r="CI199" s="46"/>
      <c r="CJ199" s="46"/>
      <c r="CK199" s="46"/>
      <c r="CL199" s="46"/>
      <c r="CM199" s="46"/>
      <c r="CN199" s="196"/>
      <c r="CO199" s="191"/>
      <c r="CP199" s="257"/>
      <c r="CQ199" s="196"/>
      <c r="CR199" s="167"/>
      <c r="CS199" s="257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191"/>
      <c r="DN199" s="46"/>
      <c r="DO199" s="196"/>
      <c r="DP199" s="221"/>
      <c r="DQ199" s="257">
        <f t="shared" si="17"/>
        <v>0</v>
      </c>
      <c r="DR199" s="294"/>
      <c r="DS199" s="295"/>
      <c r="DT199" s="386">
        <f t="shared" si="18"/>
        <v>0</v>
      </c>
      <c r="DU199" s="41"/>
      <c r="DV199" s="41"/>
      <c r="DW199" s="256"/>
      <c r="DX199" s="41"/>
      <c r="DY199" s="41"/>
      <c r="DZ199" s="68"/>
      <c r="EA199" s="41"/>
      <c r="EB199" s="41"/>
      <c r="EC199" s="256"/>
      <c r="ED199" s="308"/>
      <c r="EE199" s="308"/>
      <c r="EF199" s="308"/>
      <c r="EG199" s="41"/>
      <c r="EH199" s="41"/>
      <c r="EI199" s="41"/>
      <c r="EJ199" s="69"/>
      <c r="EK199" s="308"/>
      <c r="EL199" s="308"/>
      <c r="EM199" s="308"/>
      <c r="EN199" s="308"/>
      <c r="EO199" s="41"/>
      <c r="EP199" s="41"/>
      <c r="EQ199" s="41"/>
      <c r="ER199" s="256"/>
      <c r="ES199" s="293"/>
      <c r="ET199" s="293"/>
      <c r="EU199" s="293"/>
      <c r="EV199" s="293"/>
      <c r="EW199" s="41"/>
      <c r="EX199" s="41"/>
      <c r="EY199" s="41"/>
      <c r="EZ199" s="256"/>
      <c r="FA199" s="308"/>
      <c r="FB199" s="308"/>
      <c r="FC199" s="308"/>
      <c r="FD199" s="308"/>
      <c r="FE199" s="46"/>
      <c r="FF199" s="41"/>
      <c r="FG199" s="41"/>
      <c r="FH199" s="256"/>
      <c r="FI199" s="41"/>
      <c r="FJ199" s="41"/>
      <c r="FK199" s="41"/>
      <c r="FL199" s="276"/>
    </row>
    <row r="200" spans="1:168">
      <c r="A200" s="45">
        <v>193</v>
      </c>
      <c r="B200" s="45" t="s">
        <v>210</v>
      </c>
      <c r="C200" s="45">
        <v>4</v>
      </c>
      <c r="D200" s="29" t="s">
        <v>130</v>
      </c>
      <c r="E200" s="30">
        <v>37</v>
      </c>
      <c r="F200" s="30">
        <v>5</v>
      </c>
      <c r="G200" s="246">
        <f>276265.836/1000</f>
        <v>276.26583600000004</v>
      </c>
      <c r="H200" s="45">
        <v>276265.83600000001</v>
      </c>
      <c r="I200" s="45">
        <v>0</v>
      </c>
      <c r="J200" s="397">
        <v>514.25646999999992</v>
      </c>
      <c r="K200" s="495">
        <f t="shared" si="22"/>
        <v>790.52230599999996</v>
      </c>
      <c r="L200" s="578"/>
      <c r="M200" s="45">
        <f t="shared" si="16"/>
        <v>0</v>
      </c>
      <c r="N200" s="46">
        <f t="shared" si="20"/>
        <v>790.52230599999996</v>
      </c>
      <c r="O200" s="46">
        <f t="shared" si="19"/>
        <v>443</v>
      </c>
      <c r="P200" s="234"/>
      <c r="Q200" s="46"/>
      <c r="R200" s="450"/>
      <c r="S200" s="257"/>
      <c r="T200" s="46"/>
      <c r="U200" s="46"/>
      <c r="V200" s="46"/>
      <c r="W200" s="46"/>
      <c r="X200" s="196"/>
      <c r="Y200" s="46"/>
      <c r="Z200" s="46"/>
      <c r="AA200" s="46"/>
      <c r="AB200" s="46"/>
      <c r="AC200" s="46"/>
      <c r="AD200" s="46"/>
      <c r="AE200" s="46"/>
      <c r="AF200" s="196"/>
      <c r="AG200" s="46"/>
      <c r="AH200" s="167"/>
      <c r="AI200" s="46"/>
      <c r="AJ200" s="46"/>
      <c r="AK200" s="46"/>
      <c r="AL200" s="46"/>
      <c r="AM200" s="46"/>
      <c r="AN200" s="196"/>
      <c r="AO200" s="438"/>
      <c r="AP200" s="46"/>
      <c r="AQ200" s="368"/>
      <c r="AR200" s="257"/>
      <c r="AS200" s="196"/>
      <c r="AT200" s="46"/>
      <c r="AU200" s="46"/>
      <c r="AV200" s="196"/>
      <c r="AW200" s="257"/>
      <c r="AX200" s="196" t="s">
        <v>250</v>
      </c>
      <c r="AY200" s="191">
        <v>66</v>
      </c>
      <c r="AZ200" s="257">
        <f>AY200*2500</f>
        <v>165000</v>
      </c>
      <c r="BA200" s="196"/>
      <c r="BB200" s="46"/>
      <c r="BC200" s="257"/>
      <c r="BD200" s="196" t="s">
        <v>226</v>
      </c>
      <c r="BE200" s="191">
        <v>66</v>
      </c>
      <c r="BF200" s="46">
        <f>BE200*2500</f>
        <v>165000</v>
      </c>
      <c r="BG200" s="196"/>
      <c r="BH200" s="167"/>
      <c r="BI200" s="257"/>
      <c r="BJ200" s="196" t="s">
        <v>226</v>
      </c>
      <c r="BK200" s="191" t="s">
        <v>551</v>
      </c>
      <c r="BL200" s="257">
        <v>50000</v>
      </c>
      <c r="BM200" s="196"/>
      <c r="BN200" s="46"/>
      <c r="BO200" s="257"/>
      <c r="BP200" s="196"/>
      <c r="BQ200" s="190"/>
      <c r="BR200" s="46"/>
      <c r="BS200" s="196"/>
      <c r="BT200" s="46"/>
      <c r="BU200" s="257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196"/>
      <c r="CI200" s="46"/>
      <c r="CJ200" s="46"/>
      <c r="CK200" s="46"/>
      <c r="CL200" s="46"/>
      <c r="CM200" s="46"/>
      <c r="CN200" s="196"/>
      <c r="CO200" s="191"/>
      <c r="CP200" s="257"/>
      <c r="CQ200" s="196"/>
      <c r="CR200" s="167"/>
      <c r="CS200" s="257"/>
      <c r="CT200" s="46"/>
      <c r="CU200" s="46"/>
      <c r="CV200" s="46"/>
      <c r="CW200" s="46"/>
      <c r="CX200" s="46"/>
      <c r="CY200" s="46"/>
      <c r="CZ200" s="46">
        <v>4</v>
      </c>
      <c r="DA200" s="46">
        <v>35</v>
      </c>
      <c r="DB200" s="46">
        <f>DA200*1800</f>
        <v>63000</v>
      </c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191"/>
      <c r="DN200" s="46"/>
      <c r="DO200" s="196"/>
      <c r="DP200" s="221"/>
      <c r="DQ200" s="257">
        <f t="shared" si="17"/>
        <v>0</v>
      </c>
      <c r="DR200" s="294"/>
      <c r="DS200" s="295"/>
      <c r="DT200" s="386">
        <f t="shared" si="18"/>
        <v>0</v>
      </c>
      <c r="DU200" s="41"/>
      <c r="DV200" s="41"/>
      <c r="DW200" s="256"/>
      <c r="DX200" s="41"/>
      <c r="DY200" s="41"/>
      <c r="DZ200" s="68"/>
      <c r="EA200" s="41"/>
      <c r="EB200" s="41"/>
      <c r="EC200" s="256"/>
      <c r="ED200" s="308"/>
      <c r="EE200" s="308"/>
      <c r="EF200" s="308"/>
      <c r="EG200" s="41"/>
      <c r="EH200" s="41"/>
      <c r="EI200" s="41"/>
      <c r="EJ200" s="69"/>
      <c r="EK200" s="308"/>
      <c r="EL200" s="308"/>
      <c r="EM200" s="308"/>
      <c r="EN200" s="308"/>
      <c r="EO200" s="41"/>
      <c r="EP200" s="41"/>
      <c r="EQ200" s="41"/>
      <c r="ER200" s="256"/>
      <c r="ES200" s="293"/>
      <c r="ET200" s="293"/>
      <c r="EU200" s="293"/>
      <c r="EV200" s="293"/>
      <c r="EW200" s="41"/>
      <c r="EX200" s="41"/>
      <c r="EY200" s="41"/>
      <c r="EZ200" s="256"/>
      <c r="FA200" s="308"/>
      <c r="FB200" s="308"/>
      <c r="FC200" s="308"/>
      <c r="FD200" s="308"/>
      <c r="FE200" s="46"/>
      <c r="FF200" s="41"/>
      <c r="FG200" s="41"/>
      <c r="FH200" s="256"/>
      <c r="FI200" s="41"/>
      <c r="FJ200" s="41"/>
      <c r="FK200" s="41"/>
      <c r="FL200" s="276"/>
    </row>
    <row r="201" spans="1:168" ht="69">
      <c r="A201" s="45">
        <v>194</v>
      </c>
      <c r="B201" s="45" t="s">
        <v>210</v>
      </c>
      <c r="C201" s="45">
        <v>4</v>
      </c>
      <c r="D201" s="29" t="s">
        <v>131</v>
      </c>
      <c r="E201" s="30">
        <v>1</v>
      </c>
      <c r="F201" s="30">
        <v>2</v>
      </c>
      <c r="G201" s="246">
        <f>386853.792/1000</f>
        <v>386.853792</v>
      </c>
      <c r="H201" s="45">
        <v>386853.79200000002</v>
      </c>
      <c r="I201" s="45">
        <v>0</v>
      </c>
      <c r="J201" s="397">
        <v>1077.7252599999999</v>
      </c>
      <c r="K201" s="495">
        <f t="shared" si="22"/>
        <v>1464.579052</v>
      </c>
      <c r="L201" s="578"/>
      <c r="M201" s="45">
        <f t="shared" ref="M201:M264" si="23">(W201+AE201+AM201+AW201+BC201+BI201+BO201+BU201+CA201+CG201+CM201+CS201+CY201+DE201+DK201+DT201)/1000</f>
        <v>573.60218000000009</v>
      </c>
      <c r="N201" s="46">
        <f t="shared" si="20"/>
        <v>890.97687199999996</v>
      </c>
      <c r="O201" s="46">
        <f t="shared" si="19"/>
        <v>1143</v>
      </c>
      <c r="P201" s="234" t="s">
        <v>523</v>
      </c>
      <c r="Q201" s="46">
        <v>1</v>
      </c>
      <c r="R201" s="450">
        <v>1</v>
      </c>
      <c r="S201" s="257">
        <v>700000</v>
      </c>
      <c r="T201" s="46">
        <v>1</v>
      </c>
      <c r="U201" s="46">
        <v>1</v>
      </c>
      <c r="V201" s="167">
        <v>1</v>
      </c>
      <c r="W201" s="46">
        <f>573602.18</f>
        <v>573602.18000000005</v>
      </c>
      <c r="X201" s="196"/>
      <c r="Y201" s="46"/>
      <c r="Z201" s="46"/>
      <c r="AA201" s="46"/>
      <c r="AB201" s="46"/>
      <c r="AC201" s="46"/>
      <c r="AD201" s="46"/>
      <c r="AE201" s="46"/>
      <c r="AF201" s="196"/>
      <c r="AG201" s="46"/>
      <c r="AH201" s="46"/>
      <c r="AI201" s="46"/>
      <c r="AJ201" s="46"/>
      <c r="AK201" s="46"/>
      <c r="AL201" s="46"/>
      <c r="AM201" s="46"/>
      <c r="AN201" s="196"/>
      <c r="AO201" s="438"/>
      <c r="AP201" s="46"/>
      <c r="AQ201" s="368"/>
      <c r="AR201" s="257"/>
      <c r="AS201" s="196"/>
      <c r="AT201" s="46"/>
      <c r="AU201" s="46"/>
      <c r="AV201" s="196"/>
      <c r="AW201" s="257"/>
      <c r="AX201" s="196"/>
      <c r="AY201" s="191"/>
      <c r="AZ201" s="257"/>
      <c r="BA201" s="196"/>
      <c r="BB201" s="46"/>
      <c r="BC201" s="257"/>
      <c r="BD201" s="196" t="s">
        <v>248</v>
      </c>
      <c r="BE201" s="191">
        <v>40</v>
      </c>
      <c r="BF201" s="46">
        <f>BE201*2500</f>
        <v>100000</v>
      </c>
      <c r="BG201" s="196"/>
      <c r="BH201" s="46"/>
      <c r="BI201" s="257"/>
      <c r="BJ201" s="196"/>
      <c r="BK201" s="191"/>
      <c r="BL201" s="257"/>
      <c r="BM201" s="196"/>
      <c r="BN201" s="167"/>
      <c r="BO201" s="257"/>
      <c r="BP201" s="196" t="s">
        <v>249</v>
      </c>
      <c r="BQ201" s="190" t="s">
        <v>925</v>
      </c>
      <c r="BR201" s="46">
        <f>64*1300</f>
        <v>83200</v>
      </c>
      <c r="BS201" s="196"/>
      <c r="BT201" s="46"/>
      <c r="BU201" s="257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196"/>
      <c r="CI201" s="46"/>
      <c r="CJ201" s="46"/>
      <c r="CK201" s="46"/>
      <c r="CL201" s="46"/>
      <c r="CM201" s="46"/>
      <c r="CN201" s="196"/>
      <c r="CO201" s="191"/>
      <c r="CP201" s="257"/>
      <c r="CQ201" s="196"/>
      <c r="CR201" s="167"/>
      <c r="CS201" s="257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>
        <v>8</v>
      </c>
      <c r="DM201" s="191" t="s">
        <v>923</v>
      </c>
      <c r="DN201" s="46">
        <v>90000</v>
      </c>
      <c r="DO201" s="196"/>
      <c r="DP201" s="221" t="s">
        <v>924</v>
      </c>
      <c r="DQ201" s="257">
        <f>DW201+EC201+EJ201+ER201+EZ201+FH201+15000+50000+3000</f>
        <v>169800</v>
      </c>
      <c r="DR201" s="294"/>
      <c r="DS201" s="295"/>
      <c r="DT201" s="386">
        <f t="shared" ref="DT201:DT264" si="24">DZ201+EF201+EN201+EV201+FD201+FL201</f>
        <v>0</v>
      </c>
      <c r="DU201" s="41"/>
      <c r="DV201" s="41"/>
      <c r="DW201" s="256"/>
      <c r="DX201" s="41"/>
      <c r="DY201" s="41"/>
      <c r="DZ201" s="68"/>
      <c r="EA201" s="41">
        <v>7</v>
      </c>
      <c r="EB201" s="41">
        <v>96</v>
      </c>
      <c r="EC201" s="256">
        <f>EB201*800+25000</f>
        <v>101800</v>
      </c>
      <c r="ED201" s="308"/>
      <c r="EE201" s="308"/>
      <c r="EF201" s="308"/>
      <c r="EG201" s="41"/>
      <c r="EH201" s="41"/>
      <c r="EI201" s="41"/>
      <c r="EJ201" s="69"/>
      <c r="EK201" s="308"/>
      <c r="EL201" s="308"/>
      <c r="EM201" s="308"/>
      <c r="EN201" s="308"/>
      <c r="EO201" s="41"/>
      <c r="EP201" s="41"/>
      <c r="EQ201" s="41"/>
      <c r="ER201" s="256"/>
      <c r="ES201" s="293"/>
      <c r="ET201" s="293"/>
      <c r="EU201" s="293"/>
      <c r="EV201" s="293"/>
      <c r="EW201" s="41"/>
      <c r="EX201" s="41"/>
      <c r="EY201" s="41"/>
      <c r="EZ201" s="256"/>
      <c r="FA201" s="308"/>
      <c r="FB201" s="308"/>
      <c r="FC201" s="308"/>
      <c r="FD201" s="308"/>
      <c r="FE201" s="46"/>
      <c r="FF201" s="41"/>
      <c r="FG201" s="41"/>
      <c r="FH201" s="256"/>
      <c r="FI201" s="41"/>
      <c r="FJ201" s="41"/>
      <c r="FK201" s="41"/>
      <c r="FL201" s="276"/>
    </row>
    <row r="202" spans="1:168">
      <c r="A202" s="45">
        <v>195</v>
      </c>
      <c r="B202" s="45" t="s">
        <v>210</v>
      </c>
      <c r="C202" s="45">
        <v>4</v>
      </c>
      <c r="D202" s="29" t="s">
        <v>131</v>
      </c>
      <c r="E202" s="30" t="s">
        <v>132</v>
      </c>
      <c r="F202" s="30">
        <v>2</v>
      </c>
      <c r="G202" s="246">
        <f>322079.5872/1000</f>
        <v>322.07958719999999</v>
      </c>
      <c r="H202" s="45">
        <v>322079.58720000007</v>
      </c>
      <c r="I202" s="45">
        <v>0</v>
      </c>
      <c r="J202" s="397">
        <v>580.49451999999985</v>
      </c>
      <c r="K202" s="495">
        <f t="shared" si="22"/>
        <v>902.57410719999984</v>
      </c>
      <c r="L202" s="578"/>
      <c r="M202" s="45">
        <f t="shared" si="23"/>
        <v>0</v>
      </c>
      <c r="N202" s="46">
        <f t="shared" si="20"/>
        <v>902.57410719999984</v>
      </c>
      <c r="O202" s="46">
        <f t="shared" si="19"/>
        <v>870.8</v>
      </c>
      <c r="P202" s="234"/>
      <c r="Q202" s="46"/>
      <c r="R202" s="450"/>
      <c r="S202" s="257"/>
      <c r="T202" s="46"/>
      <c r="U202" s="46"/>
      <c r="V202" s="46"/>
      <c r="W202" s="46"/>
      <c r="X202" s="196"/>
      <c r="Y202" s="46"/>
      <c r="Z202" s="46"/>
      <c r="AA202" s="46"/>
      <c r="AB202" s="46"/>
      <c r="AC202" s="46"/>
      <c r="AD202" s="46"/>
      <c r="AE202" s="46"/>
      <c r="AF202" s="196"/>
      <c r="AG202" s="46"/>
      <c r="AH202" s="46"/>
      <c r="AI202" s="46"/>
      <c r="AJ202" s="46"/>
      <c r="AK202" s="46"/>
      <c r="AL202" s="46"/>
      <c r="AM202" s="46"/>
      <c r="AN202" s="196" t="s">
        <v>249</v>
      </c>
      <c r="AO202" s="438" t="s">
        <v>310</v>
      </c>
      <c r="AP202" s="46">
        <v>126</v>
      </c>
      <c r="AQ202" s="368" t="s">
        <v>593</v>
      </c>
      <c r="AR202" s="257">
        <f>AP202*800</f>
        <v>100800</v>
      </c>
      <c r="AS202" s="196"/>
      <c r="AT202" s="46"/>
      <c r="AU202" s="46"/>
      <c r="AV202" s="196"/>
      <c r="AW202" s="257"/>
      <c r="AX202" s="196" t="s">
        <v>249</v>
      </c>
      <c r="AY202" s="190" t="s">
        <v>551</v>
      </c>
      <c r="AZ202" s="257">
        <v>25000</v>
      </c>
      <c r="BA202" s="196"/>
      <c r="BB202" s="46"/>
      <c r="BC202" s="257"/>
      <c r="BD202" s="196" t="s">
        <v>248</v>
      </c>
      <c r="BE202" s="190" t="s">
        <v>551</v>
      </c>
      <c r="BF202" s="46">
        <v>25000</v>
      </c>
      <c r="BG202" s="196"/>
      <c r="BH202" s="167"/>
      <c r="BI202" s="257"/>
      <c r="BJ202" s="196"/>
      <c r="BK202" s="191"/>
      <c r="BL202" s="257"/>
      <c r="BM202" s="196"/>
      <c r="BN202" s="46"/>
      <c r="BO202" s="257"/>
      <c r="BP202" s="196"/>
      <c r="BQ202" s="580"/>
      <c r="BR202" s="46"/>
      <c r="BS202" s="196"/>
      <c r="BT202" s="46"/>
      <c r="BU202" s="257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196"/>
      <c r="CI202" s="46"/>
      <c r="CJ202" s="46"/>
      <c r="CK202" s="46"/>
      <c r="CL202" s="46"/>
      <c r="CM202" s="46"/>
      <c r="CN202" s="196"/>
      <c r="CO202" s="191"/>
      <c r="CP202" s="257"/>
      <c r="CQ202" s="196"/>
      <c r="CR202" s="167"/>
      <c r="CS202" s="257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191"/>
      <c r="DN202" s="46"/>
      <c r="DO202" s="196"/>
      <c r="DP202" s="221" t="s">
        <v>926</v>
      </c>
      <c r="DQ202" s="257">
        <f t="shared" ref="DQ202:DQ264" si="25">DW202+EC202+EJ202+ER202+EZ202+FH202</f>
        <v>720000</v>
      </c>
      <c r="DR202" s="296"/>
      <c r="DS202" s="295"/>
      <c r="DT202" s="386">
        <f t="shared" si="24"/>
        <v>0</v>
      </c>
      <c r="DU202" s="41"/>
      <c r="DV202" s="41"/>
      <c r="DW202" s="256"/>
      <c r="DX202" s="41"/>
      <c r="DY202" s="41"/>
      <c r="DZ202" s="68"/>
      <c r="EA202" s="41"/>
      <c r="EB202" s="41"/>
      <c r="EC202" s="256"/>
      <c r="ED202" s="308"/>
      <c r="EE202" s="308"/>
      <c r="EF202" s="308"/>
      <c r="EG202" s="41"/>
      <c r="EH202" s="41"/>
      <c r="EI202" s="41"/>
      <c r="EJ202" s="69"/>
      <c r="EK202" s="308"/>
      <c r="EL202" s="308"/>
      <c r="EM202" s="308"/>
      <c r="EN202" s="308"/>
      <c r="EO202" s="41"/>
      <c r="EP202" s="41"/>
      <c r="EQ202" s="41"/>
      <c r="ER202" s="256"/>
      <c r="ES202" s="293"/>
      <c r="ET202" s="293"/>
      <c r="EU202" s="293"/>
      <c r="EV202" s="293"/>
      <c r="EW202" s="41">
        <v>9.1</v>
      </c>
      <c r="EX202" s="41">
        <v>4</v>
      </c>
      <c r="EY202" s="86" t="s">
        <v>927</v>
      </c>
      <c r="EZ202" s="256">
        <f>EX202*180000</f>
        <v>720000</v>
      </c>
      <c r="FA202" s="308"/>
      <c r="FB202" s="308"/>
      <c r="FC202" s="308"/>
      <c r="FD202" s="308"/>
      <c r="FE202" s="46"/>
      <c r="FF202" s="41"/>
      <c r="FG202" s="41"/>
      <c r="FH202" s="256"/>
      <c r="FI202" s="41"/>
      <c r="FJ202" s="41"/>
      <c r="FK202" s="41"/>
      <c r="FL202" s="276"/>
    </row>
    <row r="203" spans="1:168">
      <c r="A203" s="45">
        <v>196</v>
      </c>
      <c r="B203" s="45" t="s">
        <v>210</v>
      </c>
      <c r="C203" s="45">
        <v>4</v>
      </c>
      <c r="D203" s="29" t="s">
        <v>131</v>
      </c>
      <c r="E203" s="175">
        <v>5</v>
      </c>
      <c r="F203" s="188">
        <v>7</v>
      </c>
      <c r="G203" s="246">
        <f>10560.4884/1000</f>
        <v>10.560488400000001</v>
      </c>
      <c r="H203" s="45">
        <v>0</v>
      </c>
      <c r="I203" s="45">
        <v>10560.4884</v>
      </c>
      <c r="J203" s="397">
        <v>-18.596073999999994</v>
      </c>
      <c r="K203" s="495">
        <f t="shared" si="22"/>
        <v>-8.0355855999999939</v>
      </c>
      <c r="L203" s="578"/>
      <c r="M203" s="45">
        <f t="shared" si="23"/>
        <v>0</v>
      </c>
      <c r="N203" s="46">
        <f>K203-M203</f>
        <v>-8.0355855999999939</v>
      </c>
      <c r="O203" s="46">
        <f t="shared" ref="O203:O262" si="26">(S203+AA203+AI203+AR203+AZ203+BF203+BL203+BR203+BX203+CD203+CJ203+CP203+CV203+DB203+DH203+DN203+DQ203)/1000</f>
        <v>0</v>
      </c>
      <c r="P203" s="234"/>
      <c r="Q203" s="46"/>
      <c r="R203" s="450"/>
      <c r="S203" s="257"/>
      <c r="T203" s="46"/>
      <c r="U203" s="46"/>
      <c r="V203" s="46"/>
      <c r="W203" s="46"/>
      <c r="X203" s="196"/>
      <c r="Y203" s="46"/>
      <c r="Z203" s="46"/>
      <c r="AA203" s="46"/>
      <c r="AB203" s="46"/>
      <c r="AC203" s="46"/>
      <c r="AD203" s="46"/>
      <c r="AE203" s="46"/>
      <c r="AF203" s="196"/>
      <c r="AG203" s="46"/>
      <c r="AH203" s="46"/>
      <c r="AI203" s="46"/>
      <c r="AJ203" s="46"/>
      <c r="AK203" s="46"/>
      <c r="AL203" s="46"/>
      <c r="AM203" s="46"/>
      <c r="AN203" s="196"/>
      <c r="AO203" s="438"/>
      <c r="AP203" s="46"/>
      <c r="AQ203" s="368"/>
      <c r="AR203" s="257"/>
      <c r="AS203" s="196"/>
      <c r="AT203" s="46"/>
      <c r="AU203" s="46"/>
      <c r="AV203" s="196"/>
      <c r="AW203" s="257"/>
      <c r="AX203" s="196"/>
      <c r="AY203" s="191"/>
      <c r="AZ203" s="257"/>
      <c r="BA203" s="196"/>
      <c r="BB203" s="46"/>
      <c r="BC203" s="257"/>
      <c r="BD203" s="196"/>
      <c r="BE203" s="191"/>
      <c r="BF203" s="46"/>
      <c r="BG203" s="196"/>
      <c r="BH203" s="46"/>
      <c r="BI203" s="257"/>
      <c r="BJ203" s="196"/>
      <c r="BK203" s="191"/>
      <c r="BL203" s="257"/>
      <c r="BM203" s="196"/>
      <c r="BN203" s="46"/>
      <c r="BO203" s="257"/>
      <c r="BP203" s="196"/>
      <c r="BQ203" s="190"/>
      <c r="BR203" s="46"/>
      <c r="BS203" s="196"/>
      <c r="BT203" s="46"/>
      <c r="BU203" s="257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196"/>
      <c r="CI203" s="46"/>
      <c r="CJ203" s="46"/>
      <c r="CK203" s="46"/>
      <c r="CL203" s="46"/>
      <c r="CM203" s="46"/>
      <c r="CN203" s="196"/>
      <c r="CO203" s="191"/>
      <c r="CP203" s="257"/>
      <c r="CQ203" s="196"/>
      <c r="CR203" s="167"/>
      <c r="CS203" s="257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191"/>
      <c r="DN203" s="46"/>
      <c r="DO203" s="196"/>
      <c r="DP203" s="221"/>
      <c r="DQ203" s="257">
        <f t="shared" si="25"/>
        <v>0</v>
      </c>
      <c r="DR203" s="294"/>
      <c r="DS203" s="295"/>
      <c r="DT203" s="386">
        <f t="shared" si="24"/>
        <v>0</v>
      </c>
      <c r="DU203" s="41"/>
      <c r="DV203" s="41"/>
      <c r="DW203" s="256"/>
      <c r="DX203" s="41"/>
      <c r="DY203" s="41"/>
      <c r="DZ203" s="68"/>
      <c r="EA203" s="41"/>
      <c r="EB203" s="41"/>
      <c r="EC203" s="256"/>
      <c r="ED203" s="308"/>
      <c r="EE203" s="308"/>
      <c r="EF203" s="308"/>
      <c r="EG203" s="41"/>
      <c r="EH203" s="41"/>
      <c r="EI203" s="41"/>
      <c r="EJ203" s="69"/>
      <c r="EK203" s="308"/>
      <c r="EL203" s="308"/>
      <c r="EM203" s="308"/>
      <c r="EN203" s="308"/>
      <c r="EO203" s="41"/>
      <c r="EP203" s="41"/>
      <c r="EQ203" s="41"/>
      <c r="ER203" s="256"/>
      <c r="ES203" s="293"/>
      <c r="ET203" s="293"/>
      <c r="EU203" s="293"/>
      <c r="EV203" s="293"/>
      <c r="EW203" s="41"/>
      <c r="EX203" s="41"/>
      <c r="EY203" s="41"/>
      <c r="EZ203" s="256"/>
      <c r="FA203" s="308"/>
      <c r="FB203" s="308"/>
      <c r="FC203" s="308"/>
      <c r="FD203" s="308"/>
      <c r="FE203" s="41"/>
      <c r="FF203" s="41"/>
      <c r="FG203" s="41"/>
      <c r="FH203" s="256"/>
      <c r="FI203" s="41"/>
      <c r="FJ203" s="41"/>
      <c r="FK203" s="41"/>
      <c r="FL203" s="276"/>
    </row>
    <row r="204" spans="1:168">
      <c r="A204" s="45">
        <v>197</v>
      </c>
      <c r="B204" s="45" t="s">
        <v>210</v>
      </c>
      <c r="C204" s="45">
        <v>4</v>
      </c>
      <c r="D204" s="29" t="s">
        <v>1002</v>
      </c>
      <c r="E204" s="30">
        <v>8</v>
      </c>
      <c r="F204" s="30">
        <v>5</v>
      </c>
      <c r="G204" s="246">
        <f>266087.052/1000</f>
        <v>266.08705200000003</v>
      </c>
      <c r="H204" s="45">
        <v>266087.05199999997</v>
      </c>
      <c r="I204" s="45">
        <v>0</v>
      </c>
      <c r="J204" s="397">
        <v>62.439059999999927</v>
      </c>
      <c r="K204" s="495">
        <f t="shared" si="22"/>
        <v>328.52611199999996</v>
      </c>
      <c r="L204" s="578"/>
      <c r="M204" s="45">
        <f t="shared" si="23"/>
        <v>0</v>
      </c>
      <c r="N204" s="46">
        <f t="shared" si="20"/>
        <v>328.52611199999996</v>
      </c>
      <c r="O204" s="46">
        <f t="shared" si="26"/>
        <v>0</v>
      </c>
      <c r="P204" s="234" t="s">
        <v>582</v>
      </c>
      <c r="Q204" s="46"/>
      <c r="R204" s="450"/>
      <c r="S204" s="257"/>
      <c r="T204" s="46"/>
      <c r="U204" s="46"/>
      <c r="V204" s="46"/>
      <c r="W204" s="46"/>
      <c r="X204" s="196"/>
      <c r="Y204" s="46"/>
      <c r="Z204" s="46"/>
      <c r="AA204" s="46"/>
      <c r="AB204" s="46"/>
      <c r="AC204" s="46"/>
      <c r="AD204" s="46"/>
      <c r="AE204" s="46"/>
      <c r="AF204" s="196"/>
      <c r="AG204" s="46"/>
      <c r="AH204" s="46"/>
      <c r="AI204" s="46"/>
      <c r="AJ204" s="46"/>
      <c r="AK204" s="46"/>
      <c r="AL204" s="46"/>
      <c r="AM204" s="46"/>
      <c r="AN204" s="196"/>
      <c r="AO204" s="438"/>
      <c r="AP204" s="46"/>
      <c r="AQ204" s="368"/>
      <c r="AR204" s="257"/>
      <c r="AS204" s="196"/>
      <c r="AT204" s="46"/>
      <c r="AU204" s="46"/>
      <c r="AV204" s="196"/>
      <c r="AW204" s="257"/>
      <c r="AX204" s="196"/>
      <c r="AY204" s="191"/>
      <c r="AZ204" s="257"/>
      <c r="BA204" s="196"/>
      <c r="BB204" s="46"/>
      <c r="BC204" s="257"/>
      <c r="BD204" s="196"/>
      <c r="BE204" s="191"/>
      <c r="BF204" s="46"/>
      <c r="BG204" s="196"/>
      <c r="BH204" s="46"/>
      <c r="BI204" s="257"/>
      <c r="BJ204" s="196"/>
      <c r="BK204" s="191"/>
      <c r="BL204" s="257"/>
      <c r="BM204" s="196"/>
      <c r="BN204" s="46"/>
      <c r="BO204" s="257"/>
      <c r="BP204" s="196"/>
      <c r="BQ204" s="190"/>
      <c r="BR204" s="46"/>
      <c r="BS204" s="196"/>
      <c r="BT204" s="46"/>
      <c r="BU204" s="257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196"/>
      <c r="CI204" s="46"/>
      <c r="CJ204" s="46"/>
      <c r="CK204" s="46"/>
      <c r="CL204" s="46"/>
      <c r="CM204" s="46"/>
      <c r="CN204" s="196"/>
      <c r="CO204" s="191"/>
      <c r="CP204" s="257"/>
      <c r="CQ204" s="196"/>
      <c r="CR204" s="167"/>
      <c r="CS204" s="257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191"/>
      <c r="DN204" s="46"/>
      <c r="DO204" s="196"/>
      <c r="DP204" s="221"/>
      <c r="DQ204" s="257">
        <f t="shared" si="25"/>
        <v>0</v>
      </c>
      <c r="DR204" s="294"/>
      <c r="DS204" s="295"/>
      <c r="DT204" s="386">
        <f t="shared" si="24"/>
        <v>0</v>
      </c>
      <c r="DU204" s="41"/>
      <c r="DV204" s="41"/>
      <c r="DW204" s="256"/>
      <c r="DX204" s="41"/>
      <c r="DY204" s="41"/>
      <c r="DZ204" s="68"/>
      <c r="EA204" s="41"/>
      <c r="EB204" s="41"/>
      <c r="EC204" s="256"/>
      <c r="ED204" s="308"/>
      <c r="EE204" s="308"/>
      <c r="EF204" s="308"/>
      <c r="EG204" s="41"/>
      <c r="EH204" s="41"/>
      <c r="EI204" s="41"/>
      <c r="EJ204" s="69"/>
      <c r="EK204" s="317"/>
      <c r="EL204" s="308"/>
      <c r="EM204" s="308"/>
      <c r="EN204" s="308"/>
      <c r="EO204" s="41"/>
      <c r="EP204" s="41"/>
      <c r="EQ204" s="41"/>
      <c r="ER204" s="256"/>
      <c r="ES204" s="293"/>
      <c r="ET204" s="293"/>
      <c r="EU204" s="293"/>
      <c r="EV204" s="293"/>
      <c r="EW204" s="41"/>
      <c r="EX204" s="41"/>
      <c r="EY204" s="41"/>
      <c r="EZ204" s="256"/>
      <c r="FA204" s="308"/>
      <c r="FB204" s="308"/>
      <c r="FC204" s="308"/>
      <c r="FD204" s="308"/>
      <c r="FE204" s="46"/>
      <c r="FF204" s="41"/>
      <c r="FG204" s="41"/>
      <c r="FH204" s="256"/>
      <c r="FI204" s="41"/>
      <c r="FJ204" s="41"/>
      <c r="FK204" s="41"/>
      <c r="FL204" s="276"/>
    </row>
    <row r="205" spans="1:168" ht="30">
      <c r="A205" s="45">
        <v>198</v>
      </c>
      <c r="B205" s="45" t="s">
        <v>210</v>
      </c>
      <c r="C205" s="45">
        <v>4</v>
      </c>
      <c r="D205" s="29" t="s">
        <v>131</v>
      </c>
      <c r="E205" s="30">
        <v>12</v>
      </c>
      <c r="F205" s="30">
        <v>5</v>
      </c>
      <c r="G205" s="246">
        <f>205554.888/1000</f>
        <v>205.55488800000001</v>
      </c>
      <c r="H205" s="45">
        <v>205554.88800000001</v>
      </c>
      <c r="I205" s="45">
        <v>0</v>
      </c>
      <c r="J205" s="397">
        <v>457.04977000000002</v>
      </c>
      <c r="K205" s="495">
        <f t="shared" si="22"/>
        <v>662.60465799999997</v>
      </c>
      <c r="L205" s="578"/>
      <c r="M205" s="45">
        <f t="shared" si="23"/>
        <v>20</v>
      </c>
      <c r="N205" s="46">
        <f t="shared" si="20"/>
        <v>642.60465799999997</v>
      </c>
      <c r="O205" s="46">
        <f t="shared" si="26"/>
        <v>262</v>
      </c>
      <c r="P205" s="234" t="s">
        <v>226</v>
      </c>
      <c r="Q205" s="46">
        <v>1</v>
      </c>
      <c r="R205" s="450">
        <v>3</v>
      </c>
      <c r="S205" s="257">
        <v>150000</v>
      </c>
      <c r="T205" s="46"/>
      <c r="U205" s="46"/>
      <c r="V205" s="46"/>
      <c r="W205" s="46"/>
      <c r="X205" s="196"/>
      <c r="Y205" s="46"/>
      <c r="Z205" s="46"/>
      <c r="AA205" s="46"/>
      <c r="AB205" s="46"/>
      <c r="AC205" s="46"/>
      <c r="AD205" s="46"/>
      <c r="AE205" s="46"/>
      <c r="AF205" s="196"/>
      <c r="AG205" s="46"/>
      <c r="AH205" s="46"/>
      <c r="AI205" s="46"/>
      <c r="AJ205" s="46"/>
      <c r="AK205" s="46"/>
      <c r="AL205" s="46"/>
      <c r="AM205" s="46"/>
      <c r="AN205" s="196"/>
      <c r="AO205" s="438"/>
      <c r="AP205" s="46"/>
      <c r="AQ205" s="368"/>
      <c r="AR205" s="257"/>
      <c r="AS205" s="196"/>
      <c r="AT205" s="46"/>
      <c r="AU205" s="46"/>
      <c r="AV205" s="196"/>
      <c r="AW205" s="257"/>
      <c r="AX205" s="196"/>
      <c r="AY205" s="190"/>
      <c r="AZ205" s="257"/>
      <c r="BA205" s="196"/>
      <c r="BB205" s="46"/>
      <c r="BC205" s="257"/>
      <c r="BD205" s="196"/>
      <c r="BE205" s="191"/>
      <c r="BF205" s="46"/>
      <c r="BG205" s="196"/>
      <c r="BH205" s="46"/>
      <c r="BI205" s="257"/>
      <c r="BJ205" s="196"/>
      <c r="BK205" s="191"/>
      <c r="BL205" s="257"/>
      <c r="BM205" s="196"/>
      <c r="BN205" s="46"/>
      <c r="BO205" s="257"/>
      <c r="BP205" s="196"/>
      <c r="BQ205" s="190"/>
      <c r="BR205" s="46"/>
      <c r="BS205" s="196"/>
      <c r="BT205" s="46"/>
      <c r="BU205" s="257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196"/>
      <c r="CI205" s="46"/>
      <c r="CJ205" s="46"/>
      <c r="CK205" s="46"/>
      <c r="CL205" s="46"/>
      <c r="CM205" s="46"/>
      <c r="CN205" s="196" t="s">
        <v>226</v>
      </c>
      <c r="CO205" s="191" t="s">
        <v>804</v>
      </c>
      <c r="CP205" s="257">
        <f>100*400</f>
        <v>40000</v>
      </c>
      <c r="CQ205" s="196"/>
      <c r="CR205" s="167"/>
      <c r="CS205" s="257"/>
      <c r="CT205" s="46"/>
      <c r="CU205" s="46"/>
      <c r="CV205" s="46"/>
      <c r="CW205" s="46"/>
      <c r="CX205" s="46"/>
      <c r="CY205" s="46"/>
      <c r="CZ205" s="46">
        <v>6</v>
      </c>
      <c r="DA205" s="167" t="s">
        <v>805</v>
      </c>
      <c r="DB205" s="46">
        <f>40*1800</f>
        <v>72000</v>
      </c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191"/>
      <c r="DN205" s="46"/>
      <c r="DO205" s="196"/>
      <c r="DP205" s="221"/>
      <c r="DQ205" s="257">
        <f t="shared" si="25"/>
        <v>0</v>
      </c>
      <c r="DR205" s="296"/>
      <c r="DS205" s="295" t="s">
        <v>806</v>
      </c>
      <c r="DT205" s="386">
        <f>DZ205+EF205+EN205+EV205+FD205+FL205+4*5000</f>
        <v>20000</v>
      </c>
      <c r="DU205" s="41"/>
      <c r="DV205" s="41"/>
      <c r="DW205" s="256"/>
      <c r="DX205" s="41"/>
      <c r="DY205" s="41"/>
      <c r="DZ205" s="68"/>
      <c r="EA205" s="41"/>
      <c r="EB205" s="41"/>
      <c r="EC205" s="256"/>
      <c r="ED205" s="308"/>
      <c r="EE205" s="308"/>
      <c r="EF205" s="308"/>
      <c r="EG205" s="41"/>
      <c r="EH205" s="41"/>
      <c r="EI205" s="41"/>
      <c r="EJ205" s="69"/>
      <c r="EK205" s="308"/>
      <c r="EL205" s="308"/>
      <c r="EM205" s="308"/>
      <c r="EN205" s="308"/>
      <c r="EO205" s="41"/>
      <c r="EP205" s="41"/>
      <c r="EQ205" s="41"/>
      <c r="ER205" s="256"/>
      <c r="ES205" s="293"/>
      <c r="ET205" s="293"/>
      <c r="EU205" s="293"/>
      <c r="EV205" s="293"/>
      <c r="EW205" s="41"/>
      <c r="EX205" s="41"/>
      <c r="EY205" s="41"/>
      <c r="EZ205" s="256"/>
      <c r="FA205" s="308"/>
      <c r="FB205" s="308"/>
      <c r="FC205" s="308"/>
      <c r="FD205" s="308"/>
      <c r="FE205" s="46"/>
      <c r="FF205" s="41"/>
      <c r="FG205" s="41"/>
      <c r="FH205" s="256"/>
      <c r="FI205" s="41"/>
      <c r="FJ205" s="41"/>
      <c r="FK205" s="41"/>
      <c r="FL205" s="276"/>
    </row>
    <row r="206" spans="1:168">
      <c r="A206" s="45">
        <v>199</v>
      </c>
      <c r="B206" s="45" t="s">
        <v>210</v>
      </c>
      <c r="C206" s="45">
        <v>4</v>
      </c>
      <c r="D206" s="29" t="s">
        <v>135</v>
      </c>
      <c r="E206" s="30">
        <v>100</v>
      </c>
      <c r="F206" s="30">
        <v>7</v>
      </c>
      <c r="G206" s="246">
        <v>0</v>
      </c>
      <c r="H206" s="45">
        <v>0</v>
      </c>
      <c r="I206" s="45">
        <v>0</v>
      </c>
      <c r="J206" s="397">
        <v>16.342479999999998</v>
      </c>
      <c r="K206" s="495">
        <f t="shared" si="22"/>
        <v>16.342479999999998</v>
      </c>
      <c r="L206" s="578"/>
      <c r="M206" s="45">
        <f t="shared" si="23"/>
        <v>0</v>
      </c>
      <c r="N206" s="46">
        <f t="shared" si="20"/>
        <v>16.342479999999998</v>
      </c>
      <c r="O206" s="46">
        <f t="shared" si="26"/>
        <v>16</v>
      </c>
      <c r="P206" s="234"/>
      <c r="Q206" s="46"/>
      <c r="R206" s="450"/>
      <c r="S206" s="257"/>
      <c r="T206" s="46"/>
      <c r="U206" s="46"/>
      <c r="V206" s="46"/>
      <c r="W206" s="46"/>
      <c r="X206" s="196"/>
      <c r="Y206" s="46"/>
      <c r="Z206" s="46"/>
      <c r="AA206" s="46"/>
      <c r="AB206" s="46"/>
      <c r="AC206" s="46"/>
      <c r="AD206" s="46"/>
      <c r="AE206" s="46"/>
      <c r="AF206" s="196"/>
      <c r="AG206" s="46"/>
      <c r="AH206" s="46"/>
      <c r="AI206" s="46"/>
      <c r="AJ206" s="46"/>
      <c r="AK206" s="46"/>
      <c r="AL206" s="46"/>
      <c r="AM206" s="46"/>
      <c r="AN206" s="196"/>
      <c r="AO206" s="438"/>
      <c r="AP206" s="46"/>
      <c r="AQ206" s="368"/>
      <c r="AR206" s="257"/>
      <c r="AS206" s="196"/>
      <c r="AT206" s="46"/>
      <c r="AU206" s="46"/>
      <c r="AV206" s="196"/>
      <c r="AW206" s="257"/>
      <c r="AX206" s="196"/>
      <c r="AY206" s="191"/>
      <c r="AZ206" s="257"/>
      <c r="BA206" s="196"/>
      <c r="BB206" s="46"/>
      <c r="BC206" s="257"/>
      <c r="BD206" s="196"/>
      <c r="BE206" s="191"/>
      <c r="BF206" s="46"/>
      <c r="BG206" s="196"/>
      <c r="BH206" s="46"/>
      <c r="BI206" s="257"/>
      <c r="BJ206" s="196"/>
      <c r="BK206" s="191"/>
      <c r="BL206" s="257"/>
      <c r="BM206" s="196"/>
      <c r="BN206" s="46"/>
      <c r="BO206" s="257"/>
      <c r="BP206" s="196"/>
      <c r="BQ206" s="190"/>
      <c r="BR206" s="46"/>
      <c r="BS206" s="196"/>
      <c r="BT206" s="46"/>
      <c r="BU206" s="257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196"/>
      <c r="CI206" s="46"/>
      <c r="CJ206" s="46"/>
      <c r="CK206" s="46"/>
      <c r="CL206" s="46"/>
      <c r="CM206" s="46"/>
      <c r="CN206" s="196"/>
      <c r="CO206" s="191"/>
      <c r="CP206" s="257"/>
      <c r="CQ206" s="196"/>
      <c r="CR206" s="167"/>
      <c r="CS206" s="257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191"/>
      <c r="DN206" s="46"/>
      <c r="DO206" s="196"/>
      <c r="DP206" s="221" t="s">
        <v>531</v>
      </c>
      <c r="DQ206" s="257">
        <f>DW206+EC206+EJ206+ER206+EZ206+FH206+16000</f>
        <v>16000</v>
      </c>
      <c r="DR206" s="294"/>
      <c r="DS206" s="295"/>
      <c r="DT206" s="386">
        <f t="shared" si="24"/>
        <v>0</v>
      </c>
      <c r="DU206" s="41"/>
      <c r="DV206" s="41"/>
      <c r="DW206" s="256"/>
      <c r="DX206" s="41"/>
      <c r="DY206" s="41"/>
      <c r="DZ206" s="68"/>
      <c r="EA206" s="41"/>
      <c r="EB206" s="41"/>
      <c r="EC206" s="256"/>
      <c r="ED206" s="308"/>
      <c r="EE206" s="308"/>
      <c r="EF206" s="308"/>
      <c r="EG206" s="41"/>
      <c r="EH206" s="41"/>
      <c r="EI206" s="41"/>
      <c r="EJ206" s="69"/>
      <c r="EK206" s="308"/>
      <c r="EL206" s="308"/>
      <c r="EM206" s="308"/>
      <c r="EN206" s="308"/>
      <c r="EO206" s="41"/>
      <c r="EP206" s="41"/>
      <c r="EQ206" s="41"/>
      <c r="ER206" s="256"/>
      <c r="ES206" s="293"/>
      <c r="ET206" s="293"/>
      <c r="EU206" s="293"/>
      <c r="EV206" s="293"/>
      <c r="EW206" s="41"/>
      <c r="EX206" s="41"/>
      <c r="EY206" s="41"/>
      <c r="EZ206" s="256"/>
      <c r="FA206" s="308"/>
      <c r="FB206" s="308"/>
      <c r="FC206" s="308"/>
      <c r="FD206" s="308"/>
      <c r="FE206" s="41"/>
      <c r="FF206" s="41"/>
      <c r="FG206" s="41"/>
      <c r="FH206" s="256"/>
      <c r="FI206" s="41"/>
      <c r="FJ206" s="41"/>
      <c r="FK206" s="41"/>
      <c r="FL206" s="276"/>
    </row>
    <row r="207" spans="1:168">
      <c r="A207" s="45">
        <v>200</v>
      </c>
      <c r="B207" s="45" t="s">
        <v>210</v>
      </c>
      <c r="C207" s="45">
        <v>4</v>
      </c>
      <c r="D207" s="29" t="s">
        <v>135</v>
      </c>
      <c r="E207" s="30">
        <v>101</v>
      </c>
      <c r="F207" s="30">
        <v>7</v>
      </c>
      <c r="G207" s="246">
        <f>12486.852/1000</f>
        <v>12.486852000000001</v>
      </c>
      <c r="H207" s="45">
        <v>0</v>
      </c>
      <c r="I207" s="45">
        <v>12486.851999999999</v>
      </c>
      <c r="J207" s="397">
        <v>5.2428700000000035</v>
      </c>
      <c r="K207" s="495">
        <f t="shared" si="22"/>
        <v>17.729722000000002</v>
      </c>
      <c r="L207" s="578"/>
      <c r="M207" s="45">
        <f t="shared" si="23"/>
        <v>0</v>
      </c>
      <c r="N207" s="46">
        <f t="shared" si="20"/>
        <v>17.729722000000002</v>
      </c>
      <c r="O207" s="46">
        <f t="shared" si="26"/>
        <v>17</v>
      </c>
      <c r="P207" s="234"/>
      <c r="Q207" s="46"/>
      <c r="R207" s="450"/>
      <c r="S207" s="257"/>
      <c r="T207" s="46"/>
      <c r="U207" s="46"/>
      <c r="V207" s="46"/>
      <c r="W207" s="46"/>
      <c r="X207" s="196"/>
      <c r="Y207" s="46"/>
      <c r="Z207" s="46"/>
      <c r="AA207" s="46"/>
      <c r="AB207" s="46"/>
      <c r="AC207" s="46"/>
      <c r="AD207" s="46"/>
      <c r="AE207" s="46"/>
      <c r="AF207" s="196"/>
      <c r="AG207" s="46"/>
      <c r="AH207" s="46"/>
      <c r="AI207" s="46"/>
      <c r="AJ207" s="46"/>
      <c r="AK207" s="46"/>
      <c r="AL207" s="46"/>
      <c r="AM207" s="46"/>
      <c r="AN207" s="196"/>
      <c r="AO207" s="438"/>
      <c r="AP207" s="46"/>
      <c r="AQ207" s="368"/>
      <c r="AR207" s="257"/>
      <c r="AS207" s="196"/>
      <c r="AT207" s="46"/>
      <c r="AU207" s="46"/>
      <c r="AV207" s="196"/>
      <c r="AW207" s="257"/>
      <c r="AX207" s="196"/>
      <c r="AY207" s="191"/>
      <c r="AZ207" s="257"/>
      <c r="BA207" s="196"/>
      <c r="BB207" s="46"/>
      <c r="BC207" s="257"/>
      <c r="BD207" s="196"/>
      <c r="BE207" s="191"/>
      <c r="BF207" s="46"/>
      <c r="BG207" s="196"/>
      <c r="BH207" s="46"/>
      <c r="BI207" s="257"/>
      <c r="BJ207" s="196"/>
      <c r="BK207" s="191"/>
      <c r="BL207" s="257"/>
      <c r="BM207" s="196"/>
      <c r="BN207" s="46"/>
      <c r="BO207" s="257"/>
      <c r="BP207" s="196"/>
      <c r="BQ207" s="190"/>
      <c r="BR207" s="46"/>
      <c r="BS207" s="196"/>
      <c r="BT207" s="46"/>
      <c r="BU207" s="257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196"/>
      <c r="CI207" s="46"/>
      <c r="CJ207" s="46"/>
      <c r="CK207" s="46"/>
      <c r="CL207" s="46"/>
      <c r="CM207" s="46"/>
      <c r="CN207" s="196"/>
      <c r="CO207" s="191"/>
      <c r="CP207" s="257"/>
      <c r="CQ207" s="196"/>
      <c r="CR207" s="167"/>
      <c r="CS207" s="257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191"/>
      <c r="DN207" s="46"/>
      <c r="DO207" s="196"/>
      <c r="DP207" s="221" t="s">
        <v>531</v>
      </c>
      <c r="DQ207" s="257">
        <f>DW207+EC207+EJ207+ER207+EZ207+FH207+17000</f>
        <v>17000</v>
      </c>
      <c r="DR207" s="294"/>
      <c r="DS207" s="295"/>
      <c r="DT207" s="386">
        <f t="shared" si="24"/>
        <v>0</v>
      </c>
      <c r="DU207" s="41"/>
      <c r="DV207" s="41"/>
      <c r="DW207" s="256"/>
      <c r="DX207" s="41"/>
      <c r="DY207" s="41"/>
      <c r="DZ207" s="68"/>
      <c r="EA207" s="41"/>
      <c r="EB207" s="41"/>
      <c r="EC207" s="256"/>
      <c r="ED207" s="308"/>
      <c r="EE207" s="308"/>
      <c r="EF207" s="308"/>
      <c r="EG207" s="41"/>
      <c r="EH207" s="41"/>
      <c r="EI207" s="41"/>
      <c r="EJ207" s="69"/>
      <c r="EK207" s="308"/>
      <c r="EL207" s="308"/>
      <c r="EM207" s="308"/>
      <c r="EN207" s="308"/>
      <c r="EO207" s="41"/>
      <c r="EP207" s="41"/>
      <c r="EQ207" s="41"/>
      <c r="ER207" s="256"/>
      <c r="ES207" s="293"/>
      <c r="ET207" s="293"/>
      <c r="EU207" s="293"/>
      <c r="EV207" s="293"/>
      <c r="EW207" s="41"/>
      <c r="EX207" s="41"/>
      <c r="EY207" s="41"/>
      <c r="EZ207" s="256"/>
      <c r="FA207" s="308"/>
      <c r="FB207" s="308"/>
      <c r="FC207" s="308"/>
      <c r="FD207" s="308"/>
      <c r="FE207" s="41"/>
      <c r="FF207" s="41"/>
      <c r="FG207" s="41"/>
      <c r="FH207" s="256"/>
      <c r="FI207" s="41"/>
      <c r="FJ207" s="41"/>
      <c r="FK207" s="41"/>
      <c r="FL207" s="276"/>
    </row>
    <row r="208" spans="1:168">
      <c r="A208" s="45">
        <v>201</v>
      </c>
      <c r="B208" s="45" t="s">
        <v>210</v>
      </c>
      <c r="C208" s="45">
        <v>4</v>
      </c>
      <c r="D208" s="29" t="s">
        <v>505</v>
      </c>
      <c r="E208" s="175">
        <v>103</v>
      </c>
      <c r="F208" s="188">
        <v>7</v>
      </c>
      <c r="G208" s="246">
        <f>6494.418/1000</f>
        <v>6.4944179999999996</v>
      </c>
      <c r="H208" s="45">
        <v>0</v>
      </c>
      <c r="I208" s="45">
        <v>6494.4179999999997</v>
      </c>
      <c r="J208" s="397">
        <v>-21.680720000000001</v>
      </c>
      <c r="K208" s="495">
        <f t="shared" si="22"/>
        <v>-15.186302000000001</v>
      </c>
      <c r="L208" s="578"/>
      <c r="M208" s="45">
        <f t="shared" si="23"/>
        <v>0</v>
      </c>
      <c r="N208" s="46">
        <f>K208-M208</f>
        <v>-15.186302000000001</v>
      </c>
      <c r="O208" s="46">
        <f t="shared" si="26"/>
        <v>0</v>
      </c>
      <c r="P208" s="234"/>
      <c r="Q208" s="46"/>
      <c r="R208" s="450"/>
      <c r="S208" s="257"/>
      <c r="T208" s="46"/>
      <c r="U208" s="46"/>
      <c r="V208" s="46"/>
      <c r="W208" s="46"/>
      <c r="X208" s="196"/>
      <c r="Y208" s="46"/>
      <c r="Z208" s="46"/>
      <c r="AA208" s="46"/>
      <c r="AB208" s="46"/>
      <c r="AC208" s="46"/>
      <c r="AD208" s="46"/>
      <c r="AE208" s="46"/>
      <c r="AF208" s="196"/>
      <c r="AG208" s="46"/>
      <c r="AH208" s="46"/>
      <c r="AI208" s="46"/>
      <c r="AJ208" s="46"/>
      <c r="AK208" s="46"/>
      <c r="AL208" s="46"/>
      <c r="AM208" s="46"/>
      <c r="AN208" s="196"/>
      <c r="AO208" s="438"/>
      <c r="AP208" s="46"/>
      <c r="AQ208" s="368"/>
      <c r="AR208" s="257"/>
      <c r="AS208" s="196"/>
      <c r="AT208" s="46"/>
      <c r="AU208" s="46"/>
      <c r="AV208" s="196"/>
      <c r="AW208" s="257"/>
      <c r="AX208" s="196"/>
      <c r="AY208" s="191"/>
      <c r="AZ208" s="257"/>
      <c r="BA208" s="196"/>
      <c r="BB208" s="46"/>
      <c r="BC208" s="257"/>
      <c r="BD208" s="196"/>
      <c r="BE208" s="191"/>
      <c r="BF208" s="46"/>
      <c r="BG208" s="196"/>
      <c r="BH208" s="46"/>
      <c r="BI208" s="257"/>
      <c r="BJ208" s="196"/>
      <c r="BK208" s="191"/>
      <c r="BL208" s="257"/>
      <c r="BM208" s="196"/>
      <c r="BN208" s="46"/>
      <c r="BO208" s="257"/>
      <c r="BP208" s="196"/>
      <c r="BQ208" s="190"/>
      <c r="BR208" s="46"/>
      <c r="BS208" s="196"/>
      <c r="BT208" s="46"/>
      <c r="BU208" s="257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196"/>
      <c r="CI208" s="46"/>
      <c r="CJ208" s="46"/>
      <c r="CK208" s="46"/>
      <c r="CL208" s="46"/>
      <c r="CM208" s="46"/>
      <c r="CN208" s="196"/>
      <c r="CO208" s="191"/>
      <c r="CP208" s="257"/>
      <c r="CQ208" s="196"/>
      <c r="CR208" s="167"/>
      <c r="CS208" s="257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191"/>
      <c r="DN208" s="46"/>
      <c r="DO208" s="196"/>
      <c r="DP208" s="221"/>
      <c r="DQ208" s="257">
        <f t="shared" si="25"/>
        <v>0</v>
      </c>
      <c r="DR208" s="294"/>
      <c r="DS208" s="295"/>
      <c r="DT208" s="386">
        <f t="shared" si="24"/>
        <v>0</v>
      </c>
      <c r="DU208" s="41"/>
      <c r="DV208" s="41"/>
      <c r="DW208" s="256"/>
      <c r="DX208" s="41"/>
      <c r="DY208" s="41"/>
      <c r="DZ208" s="68"/>
      <c r="EA208" s="41"/>
      <c r="EB208" s="41"/>
      <c r="EC208" s="256"/>
      <c r="ED208" s="308"/>
      <c r="EE208" s="308"/>
      <c r="EF208" s="308"/>
      <c r="EG208" s="41"/>
      <c r="EH208" s="41"/>
      <c r="EI208" s="41"/>
      <c r="EJ208" s="69"/>
      <c r="EK208" s="308"/>
      <c r="EL208" s="308"/>
      <c r="EM208" s="308"/>
      <c r="EN208" s="308"/>
      <c r="EO208" s="41"/>
      <c r="EP208" s="41"/>
      <c r="EQ208" s="41"/>
      <c r="ER208" s="256"/>
      <c r="ES208" s="293"/>
      <c r="ET208" s="293"/>
      <c r="EU208" s="293"/>
      <c r="EV208" s="293"/>
      <c r="EW208" s="41"/>
      <c r="EX208" s="41"/>
      <c r="EY208" s="41"/>
      <c r="EZ208" s="256"/>
      <c r="FA208" s="308"/>
      <c r="FB208" s="308"/>
      <c r="FC208" s="308"/>
      <c r="FD208" s="308"/>
      <c r="FE208" s="41"/>
      <c r="FF208" s="41"/>
      <c r="FG208" s="41"/>
      <c r="FH208" s="256"/>
      <c r="FI208" s="41"/>
      <c r="FJ208" s="41"/>
      <c r="FK208" s="41"/>
      <c r="FL208" s="276"/>
    </row>
    <row r="209" spans="1:168">
      <c r="A209" s="45">
        <v>202</v>
      </c>
      <c r="B209" s="45" t="s">
        <v>210</v>
      </c>
      <c r="C209" s="45">
        <v>4</v>
      </c>
      <c r="D209" s="29" t="s">
        <v>505</v>
      </c>
      <c r="E209" s="175">
        <v>109</v>
      </c>
      <c r="F209" s="188">
        <v>7</v>
      </c>
      <c r="G209" s="246">
        <v>0</v>
      </c>
      <c r="H209" s="45">
        <v>0</v>
      </c>
      <c r="I209" s="45">
        <v>0</v>
      </c>
      <c r="J209" s="397">
        <v>9.5421499999999995</v>
      </c>
      <c r="K209" s="495">
        <f t="shared" si="22"/>
        <v>9.5421499999999995</v>
      </c>
      <c r="L209" s="578"/>
      <c r="M209" s="45">
        <f t="shared" si="23"/>
        <v>0</v>
      </c>
      <c r="N209" s="46">
        <f>K209-M209</f>
        <v>9.5421499999999995</v>
      </c>
      <c r="O209" s="46">
        <f t="shared" si="26"/>
        <v>9</v>
      </c>
      <c r="P209" s="234"/>
      <c r="Q209" s="46"/>
      <c r="R209" s="450"/>
      <c r="S209" s="257"/>
      <c r="T209" s="46"/>
      <c r="U209" s="46"/>
      <c r="V209" s="46"/>
      <c r="W209" s="46"/>
      <c r="X209" s="196"/>
      <c r="Y209" s="46"/>
      <c r="Z209" s="46"/>
      <c r="AA209" s="46"/>
      <c r="AB209" s="46"/>
      <c r="AC209" s="46"/>
      <c r="AD209" s="46"/>
      <c r="AE209" s="46"/>
      <c r="AF209" s="196"/>
      <c r="AG209" s="46"/>
      <c r="AH209" s="46"/>
      <c r="AI209" s="46"/>
      <c r="AJ209" s="46"/>
      <c r="AK209" s="46"/>
      <c r="AL209" s="46"/>
      <c r="AM209" s="46"/>
      <c r="AN209" s="196"/>
      <c r="AO209" s="438"/>
      <c r="AP209" s="46"/>
      <c r="AQ209" s="368"/>
      <c r="AR209" s="257"/>
      <c r="AS209" s="196"/>
      <c r="AT209" s="46"/>
      <c r="AU209" s="46"/>
      <c r="AV209" s="196"/>
      <c r="AW209" s="257"/>
      <c r="AX209" s="196"/>
      <c r="AY209" s="191"/>
      <c r="AZ209" s="257"/>
      <c r="BA209" s="196"/>
      <c r="BB209" s="46"/>
      <c r="BC209" s="257"/>
      <c r="BD209" s="196"/>
      <c r="BE209" s="191"/>
      <c r="BF209" s="46"/>
      <c r="BG209" s="196"/>
      <c r="BH209" s="46"/>
      <c r="BI209" s="257"/>
      <c r="BJ209" s="196"/>
      <c r="BK209" s="191"/>
      <c r="BL209" s="257"/>
      <c r="BM209" s="196"/>
      <c r="BN209" s="46"/>
      <c r="BO209" s="257"/>
      <c r="BP209" s="196"/>
      <c r="BQ209" s="190"/>
      <c r="BR209" s="46"/>
      <c r="BS209" s="196"/>
      <c r="BT209" s="46"/>
      <c r="BU209" s="257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196"/>
      <c r="CI209" s="46"/>
      <c r="CJ209" s="46"/>
      <c r="CK209" s="46"/>
      <c r="CL209" s="46"/>
      <c r="CM209" s="46"/>
      <c r="CN209" s="196"/>
      <c r="CO209" s="191"/>
      <c r="CP209" s="257"/>
      <c r="CQ209" s="196"/>
      <c r="CR209" s="167"/>
      <c r="CS209" s="257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191"/>
      <c r="DN209" s="46"/>
      <c r="DO209" s="196"/>
      <c r="DP209" s="221" t="s">
        <v>531</v>
      </c>
      <c r="DQ209" s="257">
        <f>DW209+EC209+EJ209+ER209+EZ209+FH209+9000</f>
        <v>9000</v>
      </c>
      <c r="DR209" s="294"/>
      <c r="DS209" s="295"/>
      <c r="DT209" s="386">
        <f t="shared" si="24"/>
        <v>0</v>
      </c>
      <c r="DU209" s="41"/>
      <c r="DV209" s="41"/>
      <c r="DW209" s="256"/>
      <c r="DX209" s="41"/>
      <c r="DY209" s="41"/>
      <c r="DZ209" s="68"/>
      <c r="EA209" s="41"/>
      <c r="EB209" s="41"/>
      <c r="EC209" s="256"/>
      <c r="ED209" s="308"/>
      <c r="EE209" s="308"/>
      <c r="EF209" s="308"/>
      <c r="EG209" s="41"/>
      <c r="EH209" s="41"/>
      <c r="EI209" s="41"/>
      <c r="EJ209" s="69"/>
      <c r="EK209" s="308"/>
      <c r="EL209" s="308"/>
      <c r="EM209" s="308"/>
      <c r="EN209" s="308"/>
      <c r="EO209" s="41"/>
      <c r="EP209" s="41"/>
      <c r="EQ209" s="41"/>
      <c r="ER209" s="256"/>
      <c r="ES209" s="293"/>
      <c r="ET209" s="293"/>
      <c r="EU209" s="293"/>
      <c r="EV209" s="293"/>
      <c r="EW209" s="41"/>
      <c r="EX209" s="41"/>
      <c r="EY209" s="41"/>
      <c r="EZ209" s="256"/>
      <c r="FA209" s="308"/>
      <c r="FB209" s="308"/>
      <c r="FC209" s="308"/>
      <c r="FD209" s="308"/>
      <c r="FE209" s="41"/>
      <c r="FF209" s="41"/>
      <c r="FG209" s="41"/>
      <c r="FH209" s="256"/>
      <c r="FI209" s="41"/>
      <c r="FJ209" s="41"/>
      <c r="FK209" s="41"/>
      <c r="FL209" s="276"/>
    </row>
    <row r="210" spans="1:168">
      <c r="A210" s="45">
        <v>203</v>
      </c>
      <c r="B210" s="45" t="s">
        <v>210</v>
      </c>
      <c r="C210" s="45">
        <v>4</v>
      </c>
      <c r="D210" s="29" t="s">
        <v>137</v>
      </c>
      <c r="E210" s="30">
        <v>4</v>
      </c>
      <c r="F210" s="30">
        <v>5</v>
      </c>
      <c r="G210" s="246">
        <f>61854.408/1000</f>
        <v>61.854408000000006</v>
      </c>
      <c r="H210" s="45">
        <v>61854.407999999996</v>
      </c>
      <c r="I210" s="45">
        <v>0</v>
      </c>
      <c r="J210" s="397">
        <v>174.25908000000004</v>
      </c>
      <c r="K210" s="495">
        <f t="shared" si="22"/>
        <v>236.11348800000005</v>
      </c>
      <c r="L210" s="578"/>
      <c r="M210" s="45">
        <f t="shared" si="23"/>
        <v>0</v>
      </c>
      <c r="N210" s="46">
        <f t="shared" si="20"/>
        <v>236.11348800000005</v>
      </c>
      <c r="O210" s="46">
        <f t="shared" si="26"/>
        <v>100</v>
      </c>
      <c r="P210" s="234"/>
      <c r="Q210" s="46"/>
      <c r="R210" s="450"/>
      <c r="S210" s="257"/>
      <c r="T210" s="46"/>
      <c r="U210" s="46"/>
      <c r="V210" s="46"/>
      <c r="W210" s="46"/>
      <c r="X210" s="196"/>
      <c r="Y210" s="46"/>
      <c r="Z210" s="46"/>
      <c r="AA210" s="46"/>
      <c r="AB210" s="46"/>
      <c r="AC210" s="46"/>
      <c r="AD210" s="46"/>
      <c r="AE210" s="46"/>
      <c r="AF210" s="196"/>
      <c r="AG210" s="46"/>
      <c r="AH210" s="46"/>
      <c r="AI210" s="46"/>
      <c r="AJ210" s="46"/>
      <c r="AK210" s="46"/>
      <c r="AL210" s="46"/>
      <c r="AM210" s="46"/>
      <c r="AN210" s="237"/>
      <c r="AO210" s="438"/>
      <c r="AP210" s="46"/>
      <c r="AQ210" s="368"/>
      <c r="AR210" s="257"/>
      <c r="AS210" s="196"/>
      <c r="AT210" s="46"/>
      <c r="AU210" s="46"/>
      <c r="AV210" s="196"/>
      <c r="AW210" s="257"/>
      <c r="AX210" s="196"/>
      <c r="AY210" s="191"/>
      <c r="AZ210" s="257"/>
      <c r="BA210" s="196"/>
      <c r="BB210" s="46"/>
      <c r="BC210" s="257"/>
      <c r="BD210" s="196"/>
      <c r="BE210" s="191"/>
      <c r="BF210" s="46"/>
      <c r="BG210" s="196"/>
      <c r="BH210" s="46"/>
      <c r="BI210" s="257"/>
      <c r="BJ210" s="196" t="s">
        <v>226</v>
      </c>
      <c r="BK210" s="191">
        <v>40</v>
      </c>
      <c r="BL210" s="257">
        <f>BK210*2500</f>
        <v>100000</v>
      </c>
      <c r="BM210" s="196"/>
      <c r="BN210" s="167"/>
      <c r="BO210" s="257"/>
      <c r="BP210" s="196"/>
      <c r="BQ210" s="190"/>
      <c r="BR210" s="46"/>
      <c r="BS210" s="196"/>
      <c r="BT210" s="46"/>
      <c r="BU210" s="257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196"/>
      <c r="CI210" s="46"/>
      <c r="CJ210" s="46"/>
      <c r="CK210" s="46"/>
      <c r="CL210" s="46"/>
      <c r="CM210" s="46"/>
      <c r="CN210" s="196"/>
      <c r="CO210" s="191"/>
      <c r="CP210" s="257"/>
      <c r="CQ210" s="196"/>
      <c r="CR210" s="167"/>
      <c r="CS210" s="257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191"/>
      <c r="DN210" s="46"/>
      <c r="DO210" s="196"/>
      <c r="DP210" s="221"/>
      <c r="DQ210" s="257">
        <f t="shared" si="25"/>
        <v>0</v>
      </c>
      <c r="DR210" s="294"/>
      <c r="DS210" s="295"/>
      <c r="DT210" s="386">
        <f t="shared" si="24"/>
        <v>0</v>
      </c>
      <c r="DU210" s="41"/>
      <c r="DV210" s="41"/>
      <c r="DW210" s="256"/>
      <c r="DX210" s="41"/>
      <c r="DY210" s="41"/>
      <c r="DZ210" s="68"/>
      <c r="EA210" s="41"/>
      <c r="EB210" s="41"/>
      <c r="EC210" s="256"/>
      <c r="ED210" s="308"/>
      <c r="EE210" s="308"/>
      <c r="EF210" s="308"/>
      <c r="EG210" s="41"/>
      <c r="EH210" s="41"/>
      <c r="EI210" s="41"/>
      <c r="EJ210" s="69"/>
      <c r="EK210" s="308"/>
      <c r="EL210" s="308"/>
      <c r="EM210" s="308"/>
      <c r="EN210" s="308"/>
      <c r="EO210" s="41"/>
      <c r="EP210" s="41"/>
      <c r="EQ210" s="41"/>
      <c r="ER210" s="256"/>
      <c r="ES210" s="293"/>
      <c r="ET210" s="293"/>
      <c r="EU210" s="293"/>
      <c r="EV210" s="293"/>
      <c r="EW210" s="41"/>
      <c r="EX210" s="41"/>
      <c r="EY210" s="41"/>
      <c r="EZ210" s="256"/>
      <c r="FA210" s="308"/>
      <c r="FB210" s="308"/>
      <c r="FC210" s="308"/>
      <c r="FD210" s="308"/>
      <c r="FE210" s="46"/>
      <c r="FF210" s="41"/>
      <c r="FG210" s="41"/>
      <c r="FH210" s="256"/>
      <c r="FI210" s="41"/>
      <c r="FJ210" s="41"/>
      <c r="FK210" s="41"/>
      <c r="FL210" s="276"/>
    </row>
    <row r="211" spans="1:168">
      <c r="A211" s="45">
        <v>204</v>
      </c>
      <c r="B211" s="45" t="s">
        <v>210</v>
      </c>
      <c r="C211" s="45">
        <v>4</v>
      </c>
      <c r="D211" s="29" t="s">
        <v>137</v>
      </c>
      <c r="E211" s="30">
        <v>5</v>
      </c>
      <c r="F211" s="30">
        <v>7</v>
      </c>
      <c r="G211" s="246">
        <f>11765.25/1000</f>
        <v>11.76525</v>
      </c>
      <c r="H211" s="45">
        <v>0</v>
      </c>
      <c r="I211" s="45">
        <v>11765.25</v>
      </c>
      <c r="J211" s="397">
        <v>45.780589999999997</v>
      </c>
      <c r="K211" s="495">
        <f t="shared" si="22"/>
        <v>57.545839999999998</v>
      </c>
      <c r="L211" s="578"/>
      <c r="M211" s="45">
        <f t="shared" si="23"/>
        <v>0</v>
      </c>
      <c r="N211" s="46">
        <f t="shared" si="20"/>
        <v>57.545839999999998</v>
      </c>
      <c r="O211" s="46">
        <f t="shared" si="26"/>
        <v>57</v>
      </c>
      <c r="P211" s="234"/>
      <c r="Q211" s="46"/>
      <c r="R211" s="450"/>
      <c r="S211" s="257"/>
      <c r="T211" s="46"/>
      <c r="U211" s="46"/>
      <c r="V211" s="46"/>
      <c r="W211" s="46"/>
      <c r="X211" s="196"/>
      <c r="Y211" s="46"/>
      <c r="Z211" s="46"/>
      <c r="AA211" s="46"/>
      <c r="AB211" s="46"/>
      <c r="AC211" s="46"/>
      <c r="AD211" s="46"/>
      <c r="AE211" s="46"/>
      <c r="AF211" s="196"/>
      <c r="AG211" s="46"/>
      <c r="AH211" s="46"/>
      <c r="AI211" s="46"/>
      <c r="AJ211" s="46"/>
      <c r="AK211" s="46"/>
      <c r="AL211" s="46"/>
      <c r="AM211" s="46"/>
      <c r="AN211" s="196"/>
      <c r="AO211" s="438"/>
      <c r="AP211" s="46"/>
      <c r="AQ211" s="368"/>
      <c r="AR211" s="257"/>
      <c r="AS211" s="196"/>
      <c r="AT211" s="46"/>
      <c r="AU211" s="46"/>
      <c r="AV211" s="196"/>
      <c r="AW211" s="257"/>
      <c r="AX211" s="196"/>
      <c r="AY211" s="191"/>
      <c r="AZ211" s="257"/>
      <c r="BA211" s="196"/>
      <c r="BB211" s="46"/>
      <c r="BC211" s="257"/>
      <c r="BD211" s="196"/>
      <c r="BE211" s="191"/>
      <c r="BF211" s="46"/>
      <c r="BG211" s="196"/>
      <c r="BH211" s="46"/>
      <c r="BI211" s="257"/>
      <c r="BJ211" s="196"/>
      <c r="BK211" s="191"/>
      <c r="BL211" s="257"/>
      <c r="BM211" s="196"/>
      <c r="BN211" s="46"/>
      <c r="BO211" s="257"/>
      <c r="BP211" s="196"/>
      <c r="BQ211" s="190"/>
      <c r="BR211" s="46"/>
      <c r="BS211" s="196"/>
      <c r="BT211" s="46"/>
      <c r="BU211" s="257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196"/>
      <c r="CI211" s="46"/>
      <c r="CJ211" s="46"/>
      <c r="CK211" s="46"/>
      <c r="CL211" s="46"/>
      <c r="CM211" s="46"/>
      <c r="CN211" s="196"/>
      <c r="CO211" s="191"/>
      <c r="CP211" s="257"/>
      <c r="CQ211" s="196"/>
      <c r="CR211" s="167"/>
      <c r="CS211" s="257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191"/>
      <c r="DN211" s="46"/>
      <c r="DO211" s="196"/>
      <c r="DP211" s="221" t="s">
        <v>531</v>
      </c>
      <c r="DQ211" s="257">
        <f>DW211+EC211+EJ211+ER211+EZ211+FH211+57000</f>
        <v>57000</v>
      </c>
      <c r="DR211" s="294"/>
      <c r="DS211" s="295"/>
      <c r="DT211" s="386">
        <f t="shared" si="24"/>
        <v>0</v>
      </c>
      <c r="DU211" s="41"/>
      <c r="DV211" s="41"/>
      <c r="DW211" s="256"/>
      <c r="DX211" s="41"/>
      <c r="DY211" s="41"/>
      <c r="DZ211" s="68"/>
      <c r="EA211" s="41"/>
      <c r="EB211" s="41"/>
      <c r="EC211" s="256"/>
      <c r="ED211" s="308"/>
      <c r="EE211" s="308"/>
      <c r="EF211" s="308"/>
      <c r="EG211" s="41"/>
      <c r="EH211" s="41"/>
      <c r="EI211" s="41"/>
      <c r="EJ211" s="69"/>
      <c r="EK211" s="308"/>
      <c r="EL211" s="308"/>
      <c r="EM211" s="308"/>
      <c r="EN211" s="308"/>
      <c r="EO211" s="41"/>
      <c r="EP211" s="41"/>
      <c r="EQ211" s="41"/>
      <c r="ER211" s="256"/>
      <c r="ES211" s="293"/>
      <c r="ET211" s="293"/>
      <c r="EU211" s="293"/>
      <c r="EV211" s="293"/>
      <c r="EW211" s="41"/>
      <c r="EX211" s="41"/>
      <c r="EY211" s="41"/>
      <c r="EZ211" s="256"/>
      <c r="FA211" s="308"/>
      <c r="FB211" s="308"/>
      <c r="FC211" s="308"/>
      <c r="FD211" s="308"/>
      <c r="FE211" s="41"/>
      <c r="FF211" s="41"/>
      <c r="FG211" s="41"/>
      <c r="FH211" s="256"/>
      <c r="FI211" s="41"/>
      <c r="FJ211" s="41"/>
      <c r="FK211" s="41"/>
      <c r="FL211" s="276"/>
    </row>
    <row r="212" spans="1:168">
      <c r="A212" s="45">
        <v>205</v>
      </c>
      <c r="B212" s="45" t="s">
        <v>210</v>
      </c>
      <c r="C212" s="45">
        <v>4</v>
      </c>
      <c r="D212" s="29" t="s">
        <v>137</v>
      </c>
      <c r="E212" s="30">
        <v>6</v>
      </c>
      <c r="F212" s="30">
        <v>7</v>
      </c>
      <c r="G212" s="246">
        <f>33737.508/1000</f>
        <v>33.737507999999998</v>
      </c>
      <c r="H212" s="45">
        <v>0</v>
      </c>
      <c r="I212" s="45">
        <v>33737.508000000002</v>
      </c>
      <c r="J212" s="397">
        <v>113.42809</v>
      </c>
      <c r="K212" s="495">
        <f t="shared" si="22"/>
        <v>147.16559799999999</v>
      </c>
      <c r="L212" s="578"/>
      <c r="M212" s="45">
        <f t="shared" si="23"/>
        <v>0</v>
      </c>
      <c r="N212" s="46">
        <f t="shared" si="20"/>
        <v>147.16559799999999</v>
      </c>
      <c r="O212" s="46">
        <f t="shared" si="26"/>
        <v>147</v>
      </c>
      <c r="P212" s="234"/>
      <c r="Q212" s="46"/>
      <c r="R212" s="450"/>
      <c r="S212" s="257"/>
      <c r="T212" s="46"/>
      <c r="U212" s="46"/>
      <c r="V212" s="46"/>
      <c r="W212" s="46"/>
      <c r="X212" s="196"/>
      <c r="Y212" s="46"/>
      <c r="Z212" s="46"/>
      <c r="AA212" s="46"/>
      <c r="AB212" s="46"/>
      <c r="AC212" s="46"/>
      <c r="AD212" s="46"/>
      <c r="AE212" s="46"/>
      <c r="AF212" s="196"/>
      <c r="AG212" s="46"/>
      <c r="AH212" s="46"/>
      <c r="AI212" s="46"/>
      <c r="AJ212" s="46"/>
      <c r="AK212" s="46"/>
      <c r="AL212" s="46"/>
      <c r="AM212" s="46"/>
      <c r="AN212" s="196"/>
      <c r="AO212" s="438"/>
      <c r="AP212" s="46"/>
      <c r="AQ212" s="368"/>
      <c r="AR212" s="257"/>
      <c r="AS212" s="196"/>
      <c r="AT212" s="46"/>
      <c r="AU212" s="46"/>
      <c r="AV212" s="196"/>
      <c r="AW212" s="257"/>
      <c r="AX212" s="196"/>
      <c r="AY212" s="191"/>
      <c r="AZ212" s="257"/>
      <c r="BA212" s="196"/>
      <c r="BB212" s="46"/>
      <c r="BC212" s="257"/>
      <c r="BD212" s="196"/>
      <c r="BE212" s="191"/>
      <c r="BF212" s="46"/>
      <c r="BG212" s="196"/>
      <c r="BH212" s="46"/>
      <c r="BI212" s="257"/>
      <c r="BJ212" s="196"/>
      <c r="BK212" s="191"/>
      <c r="BL212" s="257"/>
      <c r="BM212" s="196"/>
      <c r="BN212" s="46"/>
      <c r="BO212" s="257"/>
      <c r="BP212" s="196"/>
      <c r="BQ212" s="190"/>
      <c r="BR212" s="46"/>
      <c r="BS212" s="196"/>
      <c r="BT212" s="46"/>
      <c r="BU212" s="257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196"/>
      <c r="CI212" s="46"/>
      <c r="CJ212" s="46"/>
      <c r="CK212" s="46"/>
      <c r="CL212" s="46"/>
      <c r="CM212" s="46"/>
      <c r="CN212" s="196"/>
      <c r="CO212" s="191"/>
      <c r="CP212" s="257"/>
      <c r="CQ212" s="196"/>
      <c r="CR212" s="167"/>
      <c r="CS212" s="257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191"/>
      <c r="DN212" s="46"/>
      <c r="DO212" s="196"/>
      <c r="DP212" s="221" t="s">
        <v>531</v>
      </c>
      <c r="DQ212" s="257">
        <f>DW212+EC212+EJ212+ER212+EZ212+FH212+147000</f>
        <v>147000</v>
      </c>
      <c r="DR212" s="294"/>
      <c r="DS212" s="295"/>
      <c r="DT212" s="386">
        <f t="shared" si="24"/>
        <v>0</v>
      </c>
      <c r="DU212" s="41"/>
      <c r="DV212" s="41"/>
      <c r="DW212" s="256"/>
      <c r="DX212" s="41"/>
      <c r="DY212" s="41"/>
      <c r="DZ212" s="68"/>
      <c r="EA212" s="41"/>
      <c r="EB212" s="41"/>
      <c r="EC212" s="256"/>
      <c r="ED212" s="308"/>
      <c r="EE212" s="308"/>
      <c r="EF212" s="308"/>
      <c r="EG212" s="41"/>
      <c r="EH212" s="41"/>
      <c r="EI212" s="41"/>
      <c r="EJ212" s="69"/>
      <c r="EK212" s="308"/>
      <c r="EL212" s="308"/>
      <c r="EM212" s="308"/>
      <c r="EN212" s="308"/>
      <c r="EO212" s="41"/>
      <c r="EP212" s="41"/>
      <c r="EQ212" s="41"/>
      <c r="ER212" s="256"/>
      <c r="ES212" s="293"/>
      <c r="ET212" s="293"/>
      <c r="EU212" s="293"/>
      <c r="EV212" s="293"/>
      <c r="EW212" s="41"/>
      <c r="EX212" s="41"/>
      <c r="EY212" s="41"/>
      <c r="EZ212" s="256"/>
      <c r="FA212" s="308"/>
      <c r="FB212" s="308"/>
      <c r="FC212" s="308"/>
      <c r="FD212" s="308"/>
      <c r="FE212" s="41"/>
      <c r="FF212" s="41"/>
      <c r="FG212" s="41"/>
      <c r="FH212" s="256"/>
      <c r="FI212" s="41"/>
      <c r="FJ212" s="41"/>
      <c r="FK212" s="41"/>
      <c r="FL212" s="276"/>
    </row>
    <row r="213" spans="1:168">
      <c r="A213" s="45">
        <v>206</v>
      </c>
      <c r="B213" s="45" t="s">
        <v>210</v>
      </c>
      <c r="C213" s="45">
        <v>4</v>
      </c>
      <c r="D213" s="29" t="s">
        <v>137</v>
      </c>
      <c r="E213" s="30">
        <v>7</v>
      </c>
      <c r="F213" s="30">
        <v>5</v>
      </c>
      <c r="G213" s="246">
        <f>32490.612/1000</f>
        <v>32.490611999999999</v>
      </c>
      <c r="H213" s="45">
        <v>32490.612000000001</v>
      </c>
      <c r="I213" s="45">
        <v>0</v>
      </c>
      <c r="J213" s="397">
        <v>62.784400000000019</v>
      </c>
      <c r="K213" s="495">
        <f t="shared" si="22"/>
        <v>95.275012000000018</v>
      </c>
      <c r="L213" s="578"/>
      <c r="M213" s="45">
        <f t="shared" si="23"/>
        <v>0</v>
      </c>
      <c r="N213" s="46">
        <f t="shared" si="20"/>
        <v>95.275012000000018</v>
      </c>
      <c r="O213" s="46">
        <f t="shared" si="26"/>
        <v>173</v>
      </c>
      <c r="P213" s="234"/>
      <c r="Q213" s="46"/>
      <c r="R213" s="450"/>
      <c r="S213" s="257"/>
      <c r="T213" s="46"/>
      <c r="U213" s="46"/>
      <c r="V213" s="46"/>
      <c r="W213" s="46"/>
      <c r="X213" s="196"/>
      <c r="Y213" s="46"/>
      <c r="Z213" s="46"/>
      <c r="AA213" s="46"/>
      <c r="AB213" s="46"/>
      <c r="AC213" s="46"/>
      <c r="AD213" s="46"/>
      <c r="AE213" s="46"/>
      <c r="AF213" s="196"/>
      <c r="AG213" s="46"/>
      <c r="AH213" s="46"/>
      <c r="AI213" s="46"/>
      <c r="AJ213" s="46"/>
      <c r="AK213" s="46"/>
      <c r="AL213" s="46"/>
      <c r="AM213" s="46"/>
      <c r="AN213" s="196" t="s">
        <v>227</v>
      </c>
      <c r="AO213" s="438" t="s">
        <v>335</v>
      </c>
      <c r="AP213" s="46">
        <v>60</v>
      </c>
      <c r="AQ213" s="368" t="s">
        <v>928</v>
      </c>
      <c r="AR213" s="257">
        <f>AP213*1300</f>
        <v>78000</v>
      </c>
      <c r="AS213" s="196"/>
      <c r="AT213" s="46"/>
      <c r="AU213" s="46"/>
      <c r="AV213" s="196"/>
      <c r="AW213" s="257"/>
      <c r="AX213" s="196"/>
      <c r="AY213" s="191"/>
      <c r="AZ213" s="257"/>
      <c r="BA213" s="196"/>
      <c r="BB213" s="46"/>
      <c r="BC213" s="257"/>
      <c r="BD213" s="196"/>
      <c r="BE213" s="191"/>
      <c r="BF213" s="46"/>
      <c r="BG213" s="196"/>
      <c r="BH213" s="46"/>
      <c r="BI213" s="257"/>
      <c r="BJ213" s="196"/>
      <c r="BK213" s="191"/>
      <c r="BL213" s="257"/>
      <c r="BM213" s="196"/>
      <c r="BN213" s="46"/>
      <c r="BO213" s="257"/>
      <c r="BP213" s="196"/>
      <c r="BQ213" s="190"/>
      <c r="BR213" s="46"/>
      <c r="BS213" s="196"/>
      <c r="BT213" s="46"/>
      <c r="BU213" s="257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196"/>
      <c r="CI213" s="46"/>
      <c r="CJ213" s="46"/>
      <c r="CK213" s="46"/>
      <c r="CL213" s="46"/>
      <c r="CM213" s="46"/>
      <c r="CN213" s="196"/>
      <c r="CO213" s="191"/>
      <c r="CP213" s="257"/>
      <c r="CQ213" s="196"/>
      <c r="CR213" s="167"/>
      <c r="CS213" s="257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191"/>
      <c r="DN213" s="46"/>
      <c r="DO213" s="196"/>
      <c r="DP213" s="221" t="s">
        <v>531</v>
      </c>
      <c r="DQ213" s="257">
        <f>DW213+EC213+EJ213+ER213+EZ213+FH213+95000</f>
        <v>95000</v>
      </c>
      <c r="DR213" s="294"/>
      <c r="DS213" s="295"/>
      <c r="DT213" s="386">
        <f t="shared" si="24"/>
        <v>0</v>
      </c>
      <c r="DU213" s="41"/>
      <c r="DV213" s="41"/>
      <c r="DW213" s="256"/>
      <c r="DX213" s="41"/>
      <c r="DY213" s="41"/>
      <c r="DZ213" s="68"/>
      <c r="EA213" s="41"/>
      <c r="EB213" s="41"/>
      <c r="EC213" s="256"/>
      <c r="ED213" s="308"/>
      <c r="EE213" s="308"/>
      <c r="EF213" s="308"/>
      <c r="EG213" s="41"/>
      <c r="EH213" s="41"/>
      <c r="EI213" s="41"/>
      <c r="EJ213" s="69"/>
      <c r="EK213" s="308"/>
      <c r="EL213" s="308"/>
      <c r="EM213" s="308"/>
      <c r="EN213" s="308"/>
      <c r="EO213" s="41"/>
      <c r="EP213" s="41"/>
      <c r="EQ213" s="41"/>
      <c r="ER213" s="256"/>
      <c r="ES213" s="293"/>
      <c r="ET213" s="293"/>
      <c r="EU213" s="293"/>
      <c r="EV213" s="293"/>
      <c r="EW213" s="41"/>
      <c r="EX213" s="41"/>
      <c r="EY213" s="41"/>
      <c r="EZ213" s="256"/>
      <c r="FA213" s="308"/>
      <c r="FB213" s="308"/>
      <c r="FC213" s="308"/>
      <c r="FD213" s="308"/>
      <c r="FE213" s="46"/>
      <c r="FF213" s="41"/>
      <c r="FG213" s="41"/>
      <c r="FH213" s="256"/>
      <c r="FI213" s="41"/>
      <c r="FJ213" s="41"/>
      <c r="FK213" s="41"/>
      <c r="FL213" s="276"/>
    </row>
    <row r="214" spans="1:168">
      <c r="A214" s="45">
        <v>207</v>
      </c>
      <c r="B214" s="45" t="s">
        <v>210</v>
      </c>
      <c r="C214" s="45">
        <v>4</v>
      </c>
      <c r="D214" s="29" t="s">
        <v>137</v>
      </c>
      <c r="E214" s="30">
        <v>8</v>
      </c>
      <c r="F214" s="30">
        <v>7</v>
      </c>
      <c r="G214" s="246">
        <f>60353.118/1000</f>
        <v>60.353118000000002</v>
      </c>
      <c r="H214" s="45">
        <v>0</v>
      </c>
      <c r="I214" s="45">
        <v>60353.117999999995</v>
      </c>
      <c r="J214" s="397">
        <v>-39.357689999999977</v>
      </c>
      <c r="K214" s="495">
        <f t="shared" si="22"/>
        <v>20.995428000000025</v>
      </c>
      <c r="L214" s="578"/>
      <c r="M214" s="45">
        <f t="shared" si="23"/>
        <v>0</v>
      </c>
      <c r="N214" s="46">
        <f t="shared" si="20"/>
        <v>20.995428000000025</v>
      </c>
      <c r="O214" s="46">
        <f t="shared" si="26"/>
        <v>20</v>
      </c>
      <c r="P214" s="234"/>
      <c r="Q214" s="46"/>
      <c r="R214" s="450"/>
      <c r="S214" s="257"/>
      <c r="T214" s="46"/>
      <c r="U214" s="46"/>
      <c r="V214" s="46"/>
      <c r="W214" s="46"/>
      <c r="X214" s="196"/>
      <c r="Y214" s="46"/>
      <c r="Z214" s="46"/>
      <c r="AA214" s="46"/>
      <c r="AB214" s="46"/>
      <c r="AC214" s="46"/>
      <c r="AD214" s="46"/>
      <c r="AE214" s="46"/>
      <c r="AF214" s="196"/>
      <c r="AG214" s="46"/>
      <c r="AH214" s="46"/>
      <c r="AI214" s="46"/>
      <c r="AJ214" s="46"/>
      <c r="AK214" s="46"/>
      <c r="AL214" s="46"/>
      <c r="AM214" s="46"/>
      <c r="AN214" s="196"/>
      <c r="AO214" s="438"/>
      <c r="AP214" s="46"/>
      <c r="AQ214" s="368"/>
      <c r="AR214" s="257"/>
      <c r="AS214" s="196"/>
      <c r="AT214" s="46"/>
      <c r="AU214" s="46"/>
      <c r="AV214" s="196"/>
      <c r="AW214" s="257"/>
      <c r="AX214" s="196"/>
      <c r="AY214" s="191"/>
      <c r="AZ214" s="257"/>
      <c r="BA214" s="196"/>
      <c r="BB214" s="46"/>
      <c r="BC214" s="257"/>
      <c r="BD214" s="196"/>
      <c r="BE214" s="191"/>
      <c r="BF214" s="46"/>
      <c r="BG214" s="196"/>
      <c r="BH214" s="46"/>
      <c r="BI214" s="257"/>
      <c r="BJ214" s="196"/>
      <c r="BK214" s="191"/>
      <c r="BL214" s="257"/>
      <c r="BM214" s="196"/>
      <c r="BN214" s="46"/>
      <c r="BO214" s="257"/>
      <c r="BP214" s="196"/>
      <c r="BQ214" s="190"/>
      <c r="BR214" s="46"/>
      <c r="BS214" s="196"/>
      <c r="BT214" s="46"/>
      <c r="BU214" s="257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196"/>
      <c r="CI214" s="46"/>
      <c r="CJ214" s="46"/>
      <c r="CK214" s="46"/>
      <c r="CL214" s="46"/>
      <c r="CM214" s="46"/>
      <c r="CN214" s="196"/>
      <c r="CO214" s="191"/>
      <c r="CP214" s="257"/>
      <c r="CQ214" s="196"/>
      <c r="CR214" s="167"/>
      <c r="CS214" s="257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191"/>
      <c r="DN214" s="46"/>
      <c r="DO214" s="196"/>
      <c r="DP214" s="221" t="s">
        <v>531</v>
      </c>
      <c r="DQ214" s="257">
        <f>DW214+EC214+EJ214+ER214+EZ214+FH214+20000</f>
        <v>20000</v>
      </c>
      <c r="DR214" s="294"/>
      <c r="DS214" s="295"/>
      <c r="DT214" s="386">
        <f t="shared" si="24"/>
        <v>0</v>
      </c>
      <c r="DU214" s="41"/>
      <c r="DV214" s="41"/>
      <c r="DW214" s="256"/>
      <c r="DX214" s="41"/>
      <c r="DY214" s="41"/>
      <c r="DZ214" s="68"/>
      <c r="EA214" s="41"/>
      <c r="EB214" s="41"/>
      <c r="EC214" s="256"/>
      <c r="ED214" s="308"/>
      <c r="EE214" s="308"/>
      <c r="EF214" s="308"/>
      <c r="EG214" s="41"/>
      <c r="EH214" s="41"/>
      <c r="EI214" s="41"/>
      <c r="EJ214" s="69"/>
      <c r="EK214" s="308"/>
      <c r="EL214" s="308"/>
      <c r="EM214" s="308"/>
      <c r="EN214" s="308"/>
      <c r="EO214" s="41"/>
      <c r="EP214" s="41"/>
      <c r="EQ214" s="41"/>
      <c r="ER214" s="256"/>
      <c r="ES214" s="293"/>
      <c r="ET214" s="293"/>
      <c r="EU214" s="293"/>
      <c r="EV214" s="293"/>
      <c r="EW214" s="41"/>
      <c r="EX214" s="41"/>
      <c r="EY214" s="41"/>
      <c r="EZ214" s="256"/>
      <c r="FA214" s="308"/>
      <c r="FB214" s="308"/>
      <c r="FC214" s="308"/>
      <c r="FD214" s="308"/>
      <c r="FE214" s="41"/>
      <c r="FF214" s="41"/>
      <c r="FG214" s="41"/>
      <c r="FH214" s="256"/>
      <c r="FI214" s="41"/>
      <c r="FJ214" s="41"/>
      <c r="FK214" s="41"/>
      <c r="FL214" s="276"/>
    </row>
    <row r="215" spans="1:168" ht="30">
      <c r="A215" s="45">
        <v>208</v>
      </c>
      <c r="B215" s="45" t="s">
        <v>210</v>
      </c>
      <c r="C215" s="45">
        <v>5</v>
      </c>
      <c r="D215" s="29" t="s">
        <v>506</v>
      </c>
      <c r="E215" s="175">
        <v>4</v>
      </c>
      <c r="F215" s="188">
        <v>7</v>
      </c>
      <c r="G215" s="246">
        <f>43651.692/1000</f>
        <v>43.651692000000004</v>
      </c>
      <c r="H215" s="45">
        <v>0</v>
      </c>
      <c r="I215" s="45">
        <v>43651.691999999995</v>
      </c>
      <c r="J215" s="397">
        <v>53.880589999999991</v>
      </c>
      <c r="K215" s="495">
        <f t="shared" si="22"/>
        <v>97.532281999999995</v>
      </c>
      <c r="L215" s="578"/>
      <c r="M215" s="45">
        <f t="shared" si="23"/>
        <v>0</v>
      </c>
      <c r="N215" s="46">
        <f>K215-M215</f>
        <v>97.532281999999995</v>
      </c>
      <c r="O215" s="46">
        <f t="shared" si="26"/>
        <v>95</v>
      </c>
      <c r="P215" s="234"/>
      <c r="Q215" s="46"/>
      <c r="R215" s="450"/>
      <c r="S215" s="257"/>
      <c r="T215" s="46"/>
      <c r="U215" s="46"/>
      <c r="V215" s="46"/>
      <c r="W215" s="46"/>
      <c r="X215" s="196"/>
      <c r="Y215" s="46"/>
      <c r="Z215" s="46"/>
      <c r="AA215" s="46"/>
      <c r="AB215" s="46"/>
      <c r="AC215" s="46"/>
      <c r="AD215" s="46"/>
      <c r="AE215" s="46"/>
      <c r="AF215" s="196"/>
      <c r="AG215" s="46"/>
      <c r="AH215" s="46"/>
      <c r="AI215" s="46"/>
      <c r="AJ215" s="46"/>
      <c r="AK215" s="46"/>
      <c r="AL215" s="46"/>
      <c r="AM215" s="46"/>
      <c r="AN215" s="196"/>
      <c r="AO215" s="438"/>
      <c r="AP215" s="46"/>
      <c r="AQ215" s="368"/>
      <c r="AR215" s="257"/>
      <c r="AS215" s="196"/>
      <c r="AT215" s="46"/>
      <c r="AU215" s="46"/>
      <c r="AV215" s="196"/>
      <c r="AW215" s="257"/>
      <c r="AX215" s="196"/>
      <c r="AY215" s="191"/>
      <c r="AZ215" s="257"/>
      <c r="BA215" s="196"/>
      <c r="BB215" s="46"/>
      <c r="BC215" s="257"/>
      <c r="BD215" s="196"/>
      <c r="BE215" s="191"/>
      <c r="BF215" s="46"/>
      <c r="BG215" s="196"/>
      <c r="BH215" s="46"/>
      <c r="BI215" s="257"/>
      <c r="BJ215" s="196"/>
      <c r="BK215" s="191"/>
      <c r="BL215" s="257"/>
      <c r="BM215" s="196"/>
      <c r="BN215" s="46"/>
      <c r="BO215" s="257"/>
      <c r="BP215" s="196"/>
      <c r="BQ215" s="190"/>
      <c r="BR215" s="46"/>
      <c r="BS215" s="196"/>
      <c r="BT215" s="46"/>
      <c r="BU215" s="257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196"/>
      <c r="CI215" s="46"/>
      <c r="CJ215" s="46"/>
      <c r="CK215" s="46"/>
      <c r="CL215" s="46"/>
      <c r="CM215" s="46"/>
      <c r="CN215" s="196"/>
      <c r="CO215" s="191"/>
      <c r="CP215" s="257"/>
      <c r="CQ215" s="196"/>
      <c r="CR215" s="167"/>
      <c r="CS215" s="257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191"/>
      <c r="DN215" s="46"/>
      <c r="DO215" s="218"/>
      <c r="DP215" s="221" t="s">
        <v>929</v>
      </c>
      <c r="DQ215" s="257">
        <f>DW215+EC215+EJ215+ER215+EZ215+FH215</f>
        <v>95000</v>
      </c>
      <c r="DR215" s="294"/>
      <c r="DS215" s="295"/>
      <c r="DT215" s="386">
        <f t="shared" si="24"/>
        <v>0</v>
      </c>
      <c r="DU215" s="41">
        <v>10</v>
      </c>
      <c r="DV215" s="41">
        <v>3</v>
      </c>
      <c r="DW215" s="256">
        <f>DV215*20000</f>
        <v>60000</v>
      </c>
      <c r="DX215" s="41"/>
      <c r="DY215" s="41"/>
      <c r="DZ215" s="68"/>
      <c r="EA215" s="41"/>
      <c r="EB215" s="41"/>
      <c r="EC215" s="256"/>
      <c r="ED215" s="308"/>
      <c r="EE215" s="308"/>
      <c r="EF215" s="308"/>
      <c r="EG215" s="41"/>
      <c r="EH215" s="41"/>
      <c r="EI215" s="41"/>
      <c r="EJ215" s="69"/>
      <c r="EK215" s="308"/>
      <c r="EL215" s="308"/>
      <c r="EM215" s="308"/>
      <c r="EN215" s="308"/>
      <c r="EO215" s="41">
        <v>10</v>
      </c>
      <c r="EP215" s="41">
        <v>1</v>
      </c>
      <c r="EQ215" s="41">
        <v>1</v>
      </c>
      <c r="ER215" s="256">
        <v>20000</v>
      </c>
      <c r="ES215" s="293"/>
      <c r="ET215" s="293"/>
      <c r="EU215" s="293"/>
      <c r="EV215" s="293"/>
      <c r="EW215" s="41"/>
      <c r="EX215" s="41"/>
      <c r="EY215" s="41"/>
      <c r="EZ215" s="256"/>
      <c r="FA215" s="308"/>
      <c r="FB215" s="308"/>
      <c r="FC215" s="308"/>
      <c r="FD215" s="308"/>
      <c r="FE215" s="41">
        <v>9</v>
      </c>
      <c r="FF215" s="41">
        <v>1</v>
      </c>
      <c r="FG215" s="41">
        <v>1</v>
      </c>
      <c r="FH215" s="256">
        <v>15000</v>
      </c>
      <c r="FI215" s="41"/>
      <c r="FJ215" s="41"/>
      <c r="FK215" s="41"/>
      <c r="FL215" s="276"/>
    </row>
    <row r="216" spans="1:168" ht="23.25">
      <c r="A216" s="45">
        <v>209</v>
      </c>
      <c r="B216" s="45" t="s">
        <v>210</v>
      </c>
      <c r="C216" s="45">
        <v>5</v>
      </c>
      <c r="D216" s="29" t="s">
        <v>506</v>
      </c>
      <c r="E216" s="175">
        <v>10</v>
      </c>
      <c r="F216" s="188">
        <v>7</v>
      </c>
      <c r="G216" s="246">
        <f>43055.586/1000</f>
        <v>43.055586000000005</v>
      </c>
      <c r="H216" s="45">
        <v>0</v>
      </c>
      <c r="I216" s="45">
        <v>43055.585999999996</v>
      </c>
      <c r="J216" s="397">
        <v>95.744839999999982</v>
      </c>
      <c r="K216" s="495">
        <f t="shared" si="22"/>
        <v>138.80042599999999</v>
      </c>
      <c r="L216" s="578"/>
      <c r="M216" s="45">
        <f t="shared" si="23"/>
        <v>0</v>
      </c>
      <c r="N216" s="46">
        <f>K216-M216</f>
        <v>138.80042599999999</v>
      </c>
      <c r="O216" s="46">
        <f t="shared" si="26"/>
        <v>125</v>
      </c>
      <c r="P216" s="234"/>
      <c r="Q216" s="46">
        <v>1</v>
      </c>
      <c r="R216" s="450" t="s">
        <v>853</v>
      </c>
      <c r="S216" s="257">
        <f>90000+20000</f>
        <v>110000</v>
      </c>
      <c r="T216" s="46"/>
      <c r="U216" s="46"/>
      <c r="V216" s="46"/>
      <c r="W216" s="46"/>
      <c r="X216" s="196"/>
      <c r="Y216" s="46"/>
      <c r="Z216" s="46"/>
      <c r="AA216" s="46"/>
      <c r="AB216" s="46"/>
      <c r="AC216" s="46"/>
      <c r="AD216" s="46"/>
      <c r="AE216" s="46"/>
      <c r="AF216" s="196"/>
      <c r="AG216" s="46"/>
      <c r="AH216" s="46"/>
      <c r="AI216" s="46"/>
      <c r="AJ216" s="46"/>
      <c r="AK216" s="46"/>
      <c r="AL216" s="46"/>
      <c r="AM216" s="46"/>
      <c r="AN216" s="196"/>
      <c r="AO216" s="438"/>
      <c r="AP216" s="46"/>
      <c r="AQ216" s="368"/>
      <c r="AR216" s="257"/>
      <c r="AS216" s="196"/>
      <c r="AT216" s="46"/>
      <c r="AU216" s="46"/>
      <c r="AV216" s="196"/>
      <c r="AW216" s="257"/>
      <c r="AX216" s="196"/>
      <c r="AY216" s="191"/>
      <c r="AZ216" s="257"/>
      <c r="BA216" s="196"/>
      <c r="BB216" s="46"/>
      <c r="BC216" s="257"/>
      <c r="BD216" s="196"/>
      <c r="BE216" s="191"/>
      <c r="BF216" s="46"/>
      <c r="BG216" s="196"/>
      <c r="BH216" s="46"/>
      <c r="BI216" s="257"/>
      <c r="BJ216" s="196"/>
      <c r="BK216" s="191"/>
      <c r="BL216" s="257"/>
      <c r="BM216" s="196"/>
      <c r="BN216" s="46"/>
      <c r="BO216" s="257"/>
      <c r="BP216" s="196"/>
      <c r="BQ216" s="190"/>
      <c r="BR216" s="46"/>
      <c r="BS216" s="196"/>
      <c r="BT216" s="46"/>
      <c r="BU216" s="257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196"/>
      <c r="CI216" s="46"/>
      <c r="CJ216" s="46"/>
      <c r="CK216" s="46"/>
      <c r="CL216" s="46"/>
      <c r="CM216" s="46"/>
      <c r="CN216" s="196"/>
      <c r="CO216" s="191"/>
      <c r="CP216" s="257"/>
      <c r="CQ216" s="196"/>
      <c r="CR216" s="167"/>
      <c r="CS216" s="257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191"/>
      <c r="DN216" s="46"/>
      <c r="DO216" s="196"/>
      <c r="DP216" s="221" t="s">
        <v>930</v>
      </c>
      <c r="DQ216" s="257">
        <f t="shared" si="25"/>
        <v>15000</v>
      </c>
      <c r="DR216" s="294"/>
      <c r="DS216" s="295"/>
      <c r="DT216" s="386">
        <f t="shared" si="24"/>
        <v>0</v>
      </c>
      <c r="DU216" s="41"/>
      <c r="DV216" s="41"/>
      <c r="DW216" s="256"/>
      <c r="DX216" s="41"/>
      <c r="DY216" s="41"/>
      <c r="DZ216" s="68"/>
      <c r="EA216" s="41"/>
      <c r="EB216" s="41"/>
      <c r="EC216" s="256"/>
      <c r="ED216" s="308"/>
      <c r="EE216" s="308"/>
      <c r="EF216" s="308"/>
      <c r="EG216" s="41"/>
      <c r="EH216" s="41"/>
      <c r="EI216" s="41"/>
      <c r="EJ216" s="69"/>
      <c r="EK216" s="308"/>
      <c r="EL216" s="308"/>
      <c r="EM216" s="308"/>
      <c r="EN216" s="308"/>
      <c r="EO216" s="41"/>
      <c r="EP216" s="41"/>
      <c r="EQ216" s="41"/>
      <c r="ER216" s="256"/>
      <c r="ES216" s="293"/>
      <c r="ET216" s="293"/>
      <c r="EU216" s="293"/>
      <c r="EV216" s="293"/>
      <c r="EW216" s="41"/>
      <c r="EX216" s="41"/>
      <c r="EY216" s="41"/>
      <c r="EZ216" s="256"/>
      <c r="FA216" s="308"/>
      <c r="FB216" s="308"/>
      <c r="FC216" s="308"/>
      <c r="FD216" s="308"/>
      <c r="FE216" s="41">
        <v>9</v>
      </c>
      <c r="FF216" s="41">
        <v>1</v>
      </c>
      <c r="FG216" s="41">
        <v>1</v>
      </c>
      <c r="FH216" s="256">
        <v>15000</v>
      </c>
      <c r="FI216" s="41"/>
      <c r="FJ216" s="41"/>
      <c r="FK216" s="41"/>
      <c r="FL216" s="276"/>
    </row>
    <row r="217" spans="1:168">
      <c r="A217" s="45">
        <v>210</v>
      </c>
      <c r="B217" s="45" t="s">
        <v>210</v>
      </c>
      <c r="C217" s="45">
        <v>5</v>
      </c>
      <c r="D217" s="29" t="s">
        <v>506</v>
      </c>
      <c r="E217" s="175">
        <v>12</v>
      </c>
      <c r="F217" s="188">
        <v>7</v>
      </c>
      <c r="G217" s="246">
        <f>45304.056/1000</f>
        <v>45.304055999999996</v>
      </c>
      <c r="H217" s="45">
        <v>0</v>
      </c>
      <c r="I217" s="45">
        <v>45304.055999999997</v>
      </c>
      <c r="J217" s="397">
        <v>106.16228000000001</v>
      </c>
      <c r="K217" s="495">
        <f t="shared" si="22"/>
        <v>151.46633600000001</v>
      </c>
      <c r="L217" s="578"/>
      <c r="M217" s="45">
        <f t="shared" si="23"/>
        <v>0</v>
      </c>
      <c r="N217" s="46">
        <f>K217-M217</f>
        <v>151.46633600000001</v>
      </c>
      <c r="O217" s="46">
        <f t="shared" si="26"/>
        <v>131</v>
      </c>
      <c r="P217" s="369" t="s">
        <v>250</v>
      </c>
      <c r="Q217" s="46">
        <v>1</v>
      </c>
      <c r="R217" s="450">
        <v>1</v>
      </c>
      <c r="S217" s="257">
        <v>90000</v>
      </c>
      <c r="T217" s="46"/>
      <c r="U217" s="46"/>
      <c r="V217" s="46"/>
      <c r="W217" s="46"/>
      <c r="X217" s="196"/>
      <c r="Y217" s="46"/>
      <c r="Z217" s="46"/>
      <c r="AA217" s="46"/>
      <c r="AB217" s="46"/>
      <c r="AC217" s="46"/>
      <c r="AD217" s="46"/>
      <c r="AE217" s="46"/>
      <c r="AF217" s="196"/>
      <c r="AG217" s="46"/>
      <c r="AH217" s="46"/>
      <c r="AI217" s="46"/>
      <c r="AJ217" s="46"/>
      <c r="AK217" s="46"/>
      <c r="AL217" s="46"/>
      <c r="AM217" s="46"/>
      <c r="AN217" s="196"/>
      <c r="AO217" s="438"/>
      <c r="AP217" s="46"/>
      <c r="AQ217" s="368"/>
      <c r="AR217" s="257"/>
      <c r="AS217" s="196"/>
      <c r="AT217" s="46"/>
      <c r="AU217" s="46"/>
      <c r="AV217" s="196"/>
      <c r="AW217" s="257"/>
      <c r="AX217" s="196"/>
      <c r="AY217" s="191"/>
      <c r="AZ217" s="257"/>
      <c r="BA217" s="196"/>
      <c r="BB217" s="46"/>
      <c r="BC217" s="257"/>
      <c r="BD217" s="196"/>
      <c r="BE217" s="191"/>
      <c r="BF217" s="46"/>
      <c r="BG217" s="196"/>
      <c r="BH217" s="46"/>
      <c r="BI217" s="257"/>
      <c r="BJ217" s="196"/>
      <c r="BK217" s="191"/>
      <c r="BL217" s="257"/>
      <c r="BM217" s="196"/>
      <c r="BN217" s="167"/>
      <c r="BO217" s="257"/>
      <c r="BP217" s="196" t="s">
        <v>249</v>
      </c>
      <c r="BQ217" s="190">
        <v>20</v>
      </c>
      <c r="BR217" s="46">
        <f>BQ217*1300</f>
        <v>26000</v>
      </c>
      <c r="BS217" s="196"/>
      <c r="BT217" s="46"/>
      <c r="BU217" s="257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196"/>
      <c r="CI217" s="46"/>
      <c r="CJ217" s="46"/>
      <c r="CK217" s="46"/>
      <c r="CL217" s="46"/>
      <c r="CM217" s="46"/>
      <c r="CN217" s="196"/>
      <c r="CO217" s="191"/>
      <c r="CP217" s="257"/>
      <c r="CQ217" s="196"/>
      <c r="CR217" s="167"/>
      <c r="CS217" s="257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191"/>
      <c r="DN217" s="46"/>
      <c r="DO217" s="196"/>
      <c r="DP217" s="221" t="s">
        <v>931</v>
      </c>
      <c r="DQ217" s="257">
        <f t="shared" si="25"/>
        <v>15000</v>
      </c>
      <c r="DR217" s="294"/>
      <c r="DS217" s="295"/>
      <c r="DT217" s="386">
        <f t="shared" si="24"/>
        <v>0</v>
      </c>
      <c r="DU217" s="41"/>
      <c r="DV217" s="41"/>
      <c r="DW217" s="256"/>
      <c r="DX217" s="41"/>
      <c r="DY217" s="41"/>
      <c r="DZ217" s="68"/>
      <c r="EA217" s="41"/>
      <c r="EB217" s="41"/>
      <c r="EC217" s="256"/>
      <c r="ED217" s="308"/>
      <c r="EE217" s="308"/>
      <c r="EF217" s="308"/>
      <c r="EG217" s="41">
        <v>6</v>
      </c>
      <c r="EH217" s="41">
        <v>1</v>
      </c>
      <c r="EI217" s="41">
        <v>1</v>
      </c>
      <c r="EJ217" s="69">
        <v>15000</v>
      </c>
      <c r="EK217" s="308"/>
      <c r="EL217" s="308"/>
      <c r="EM217" s="308"/>
      <c r="EN217" s="308"/>
      <c r="EO217" s="41"/>
      <c r="EP217" s="41"/>
      <c r="EQ217" s="41"/>
      <c r="ER217" s="256"/>
      <c r="ES217" s="293"/>
      <c r="ET217" s="293"/>
      <c r="EU217" s="293"/>
      <c r="EV217" s="293"/>
      <c r="EW217" s="41"/>
      <c r="EX217" s="41"/>
      <c r="EY217" s="41"/>
      <c r="EZ217" s="256"/>
      <c r="FA217" s="308"/>
      <c r="FB217" s="308"/>
      <c r="FC217" s="308"/>
      <c r="FD217" s="308"/>
      <c r="FE217" s="41"/>
      <c r="FF217" s="41"/>
      <c r="FG217" s="41"/>
      <c r="FH217" s="256"/>
      <c r="FI217" s="41"/>
      <c r="FJ217" s="41"/>
      <c r="FK217" s="41"/>
      <c r="FL217" s="276"/>
    </row>
    <row r="218" spans="1:168" ht="38.25" customHeight="1">
      <c r="A218" s="45">
        <v>211</v>
      </c>
      <c r="B218" s="45" t="s">
        <v>210</v>
      </c>
      <c r="C218" s="45">
        <v>4</v>
      </c>
      <c r="D218" s="29" t="s">
        <v>576</v>
      </c>
      <c r="E218" s="30">
        <v>1</v>
      </c>
      <c r="F218" s="30">
        <v>7</v>
      </c>
      <c r="G218" s="246">
        <f>100103.976/1000</f>
        <v>100.10397599999999</v>
      </c>
      <c r="H218" s="45">
        <v>0</v>
      </c>
      <c r="I218" s="45">
        <v>100103.976</v>
      </c>
      <c r="J218" s="397">
        <v>241.00880999999998</v>
      </c>
      <c r="K218" s="495">
        <f t="shared" si="22"/>
        <v>341.11278599999997</v>
      </c>
      <c r="L218" s="578"/>
      <c r="M218" s="45">
        <f t="shared" si="23"/>
        <v>0</v>
      </c>
      <c r="N218" s="46">
        <f t="shared" si="20"/>
        <v>341.11278599999997</v>
      </c>
      <c r="O218" s="46">
        <f t="shared" si="26"/>
        <v>276.60000000000002</v>
      </c>
      <c r="P218" s="234" t="s">
        <v>582</v>
      </c>
      <c r="Q218" s="46">
        <v>1</v>
      </c>
      <c r="R218" s="450">
        <v>1</v>
      </c>
      <c r="S218" s="257">
        <v>90000</v>
      </c>
      <c r="T218" s="46"/>
      <c r="U218" s="46"/>
      <c r="V218" s="46"/>
      <c r="W218" s="46"/>
      <c r="X218" s="196"/>
      <c r="Y218" s="46"/>
      <c r="Z218" s="46"/>
      <c r="AA218" s="46"/>
      <c r="AB218" s="46"/>
      <c r="AC218" s="46"/>
      <c r="AD218" s="46"/>
      <c r="AE218" s="46"/>
      <c r="AF218" s="196"/>
      <c r="AG218" s="46"/>
      <c r="AH218" s="46"/>
      <c r="AI218" s="46"/>
      <c r="AJ218" s="46"/>
      <c r="AK218" s="46"/>
      <c r="AL218" s="46"/>
      <c r="AM218" s="46"/>
      <c r="AN218" s="196"/>
      <c r="AO218" s="438"/>
      <c r="AP218" s="46"/>
      <c r="AQ218" s="368"/>
      <c r="AR218" s="257"/>
      <c r="AS218" s="196"/>
      <c r="AT218" s="46"/>
      <c r="AU218" s="46"/>
      <c r="AV218" s="196"/>
      <c r="AW218" s="257"/>
      <c r="AX218" s="196"/>
      <c r="AY218" s="191"/>
      <c r="AZ218" s="257"/>
      <c r="BA218" s="196"/>
      <c r="BB218" s="46"/>
      <c r="BC218" s="257"/>
      <c r="BD218" s="196"/>
      <c r="BE218" s="191"/>
      <c r="BF218" s="46"/>
      <c r="BG218" s="196"/>
      <c r="BH218" s="46"/>
      <c r="BI218" s="257"/>
      <c r="BJ218" s="196"/>
      <c r="BK218" s="191"/>
      <c r="BL218" s="257"/>
      <c r="BM218" s="196"/>
      <c r="BN218" s="46"/>
      <c r="BO218" s="257"/>
      <c r="BP218" s="196"/>
      <c r="BQ218" s="190"/>
      <c r="BR218" s="46"/>
      <c r="BS218" s="196"/>
      <c r="BT218" s="46"/>
      <c r="BU218" s="257"/>
      <c r="BV218" s="46"/>
      <c r="BW218" s="46"/>
      <c r="BX218" s="46"/>
      <c r="BY218" s="46"/>
      <c r="BZ218" s="46"/>
      <c r="CA218" s="46"/>
      <c r="CB218" s="46">
        <v>10</v>
      </c>
      <c r="CC218" s="46">
        <v>6</v>
      </c>
      <c r="CD218" s="46">
        <f>CC218*2000</f>
        <v>12000</v>
      </c>
      <c r="CE218" s="46"/>
      <c r="CF218" s="46"/>
      <c r="CG218" s="46"/>
      <c r="CH218" s="196"/>
      <c r="CI218" s="46"/>
      <c r="CJ218" s="46"/>
      <c r="CK218" s="46"/>
      <c r="CL218" s="46"/>
      <c r="CM218" s="46"/>
      <c r="CN218" s="196"/>
      <c r="CO218" s="191"/>
      <c r="CP218" s="257"/>
      <c r="CQ218" s="196"/>
      <c r="CR218" s="190"/>
      <c r="CS218" s="257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191"/>
      <c r="DN218" s="46"/>
      <c r="DO218" s="196"/>
      <c r="DP218" s="221" t="s">
        <v>932</v>
      </c>
      <c r="DQ218" s="257">
        <f t="shared" si="25"/>
        <v>174600</v>
      </c>
      <c r="DR218" s="294"/>
      <c r="DS218" s="295"/>
      <c r="DT218" s="386">
        <f t="shared" si="24"/>
        <v>0</v>
      </c>
      <c r="DU218" s="41">
        <v>7</v>
      </c>
      <c r="DV218" s="41">
        <v>1</v>
      </c>
      <c r="DW218" s="256">
        <v>25000</v>
      </c>
      <c r="DX218" s="41"/>
      <c r="DY218" s="41"/>
      <c r="DZ218" s="68"/>
      <c r="EA218" s="41">
        <v>7</v>
      </c>
      <c r="EB218" s="41">
        <v>62</v>
      </c>
      <c r="EC218" s="256">
        <f>EB218*800</f>
        <v>49600</v>
      </c>
      <c r="ED218" s="308"/>
      <c r="EE218" s="308"/>
      <c r="EF218" s="308"/>
      <c r="EG218" s="41"/>
      <c r="EH218" s="41"/>
      <c r="EI218" s="41"/>
      <c r="EJ218" s="69"/>
      <c r="EK218" s="308"/>
      <c r="EL218" s="308"/>
      <c r="EM218" s="308"/>
      <c r="EN218" s="308"/>
      <c r="EO218" s="41"/>
      <c r="EP218" s="41"/>
      <c r="EQ218" s="41"/>
      <c r="ER218" s="256"/>
      <c r="ES218" s="293"/>
      <c r="ET218" s="293"/>
      <c r="EU218" s="293"/>
      <c r="EV218" s="293"/>
      <c r="EW218" s="41">
        <v>8</v>
      </c>
      <c r="EX218" s="41">
        <v>4</v>
      </c>
      <c r="EY218" s="41"/>
      <c r="EZ218" s="256">
        <f>EX218*25000</f>
        <v>100000</v>
      </c>
      <c r="FA218" s="308"/>
      <c r="FB218" s="308"/>
      <c r="FC218" s="308"/>
      <c r="FD218" s="308"/>
      <c r="FE218" s="41"/>
      <c r="FF218" s="41"/>
      <c r="FG218" s="41"/>
      <c r="FH218" s="256"/>
      <c r="FI218" s="41"/>
      <c r="FJ218" s="41"/>
      <c r="FK218" s="41"/>
      <c r="FL218" s="276"/>
    </row>
    <row r="219" spans="1:168">
      <c r="A219" s="45">
        <v>212</v>
      </c>
      <c r="B219" s="45" t="s">
        <v>210</v>
      </c>
      <c r="C219" s="45">
        <v>4</v>
      </c>
      <c r="D219" s="29" t="s">
        <v>138</v>
      </c>
      <c r="E219" s="30">
        <v>2</v>
      </c>
      <c r="F219" s="30">
        <v>6</v>
      </c>
      <c r="G219" s="246">
        <f>43839.096/1000</f>
        <v>43.839095999999998</v>
      </c>
      <c r="H219" s="45">
        <v>12398.694</v>
      </c>
      <c r="I219" s="45">
        <v>31440.402000000002</v>
      </c>
      <c r="J219" s="397">
        <v>194.58395000000002</v>
      </c>
      <c r="K219" s="495">
        <f t="shared" si="22"/>
        <v>238.423046</v>
      </c>
      <c r="L219" s="578"/>
      <c r="M219" s="45">
        <f t="shared" si="23"/>
        <v>0</v>
      </c>
      <c r="N219" s="46">
        <f t="shared" si="20"/>
        <v>238.423046</v>
      </c>
      <c r="O219" s="46">
        <f t="shared" si="26"/>
        <v>0</v>
      </c>
      <c r="P219" s="234"/>
      <c r="Q219" s="46"/>
      <c r="R219" s="450"/>
      <c r="S219" s="257"/>
      <c r="T219" s="46"/>
      <c r="U219" s="46"/>
      <c r="V219" s="46"/>
      <c r="W219" s="46"/>
      <c r="X219" s="196"/>
      <c r="Y219" s="46"/>
      <c r="Z219" s="46"/>
      <c r="AA219" s="46"/>
      <c r="AB219" s="46"/>
      <c r="AC219" s="46"/>
      <c r="AD219" s="46"/>
      <c r="AE219" s="46"/>
      <c r="AF219" s="196"/>
      <c r="AG219" s="46"/>
      <c r="AH219" s="46"/>
      <c r="AI219" s="46"/>
      <c r="AJ219" s="46"/>
      <c r="AK219" s="46"/>
      <c r="AL219" s="46"/>
      <c r="AM219" s="46"/>
      <c r="AN219" s="196"/>
      <c r="AO219" s="438"/>
      <c r="AP219" s="46"/>
      <c r="AQ219" s="368"/>
      <c r="AR219" s="257"/>
      <c r="AS219" s="196"/>
      <c r="AT219" s="46"/>
      <c r="AU219" s="46"/>
      <c r="AV219" s="196"/>
      <c r="AW219" s="257"/>
      <c r="AX219" s="196"/>
      <c r="AY219" s="191"/>
      <c r="AZ219" s="257"/>
      <c r="BA219" s="196"/>
      <c r="BB219" s="46"/>
      <c r="BC219" s="257"/>
      <c r="BD219" s="196"/>
      <c r="BE219" s="191"/>
      <c r="BF219" s="46"/>
      <c r="BG219" s="196"/>
      <c r="BH219" s="46"/>
      <c r="BI219" s="257"/>
      <c r="BJ219" s="196"/>
      <c r="BK219" s="191"/>
      <c r="BL219" s="257"/>
      <c r="BM219" s="196"/>
      <c r="BN219" s="46"/>
      <c r="BO219" s="257"/>
      <c r="BP219" s="196"/>
      <c r="BQ219" s="190"/>
      <c r="BR219" s="46"/>
      <c r="BS219" s="196"/>
      <c r="BT219" s="46"/>
      <c r="BU219" s="257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196"/>
      <c r="CI219" s="46"/>
      <c r="CJ219" s="46"/>
      <c r="CK219" s="46"/>
      <c r="CL219" s="46"/>
      <c r="CM219" s="46"/>
      <c r="CN219" s="196"/>
      <c r="CO219" s="191"/>
      <c r="CP219" s="257"/>
      <c r="CQ219" s="196"/>
      <c r="CR219" s="167"/>
      <c r="CS219" s="257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191"/>
      <c r="DN219" s="46"/>
      <c r="DO219" s="218"/>
      <c r="DP219" s="221"/>
      <c r="DQ219" s="257">
        <f t="shared" si="25"/>
        <v>0</v>
      </c>
      <c r="DR219" s="294"/>
      <c r="DS219" s="295"/>
      <c r="DT219" s="386">
        <f t="shared" si="24"/>
        <v>0</v>
      </c>
      <c r="DU219" s="41"/>
      <c r="DV219" s="41"/>
      <c r="DW219" s="256"/>
      <c r="DX219" s="41"/>
      <c r="DY219" s="41"/>
      <c r="DZ219" s="68"/>
      <c r="EA219" s="41"/>
      <c r="EB219" s="41"/>
      <c r="EC219" s="256"/>
      <c r="ED219" s="308"/>
      <c r="EE219" s="308"/>
      <c r="EF219" s="308"/>
      <c r="EG219" s="41"/>
      <c r="EH219" s="41"/>
      <c r="EI219" s="41"/>
      <c r="EJ219" s="69"/>
      <c r="EK219" s="308"/>
      <c r="EL219" s="308"/>
      <c r="EM219" s="308"/>
      <c r="EN219" s="308"/>
      <c r="EO219" s="41"/>
      <c r="EP219" s="41"/>
      <c r="EQ219" s="41"/>
      <c r="ER219" s="256"/>
      <c r="ES219" s="293"/>
      <c r="ET219" s="293"/>
      <c r="EU219" s="293"/>
      <c r="EV219" s="293"/>
      <c r="EW219" s="41"/>
      <c r="EX219" s="41"/>
      <c r="EY219" s="41"/>
      <c r="EZ219" s="256"/>
      <c r="FA219" s="308"/>
      <c r="FB219" s="308"/>
      <c r="FC219" s="308"/>
      <c r="FD219" s="308"/>
      <c r="FE219" s="41"/>
      <c r="FF219" s="41"/>
      <c r="FG219" s="41"/>
      <c r="FH219" s="256"/>
      <c r="FI219" s="41"/>
      <c r="FJ219" s="41"/>
      <c r="FK219" s="41"/>
      <c r="FL219" s="276"/>
    </row>
    <row r="220" spans="1:168">
      <c r="A220" s="45">
        <v>213</v>
      </c>
      <c r="B220" s="45" t="s">
        <v>210</v>
      </c>
      <c r="C220" s="45">
        <v>4</v>
      </c>
      <c r="D220" s="29" t="s">
        <v>576</v>
      </c>
      <c r="E220" s="30">
        <v>3</v>
      </c>
      <c r="F220" s="30">
        <v>7</v>
      </c>
      <c r="G220" s="246">
        <f>68268.7782/1000</f>
        <v>68.2687782</v>
      </c>
      <c r="H220" s="45">
        <v>0</v>
      </c>
      <c r="I220" s="45">
        <v>68268.778200000001</v>
      </c>
      <c r="J220" s="397">
        <v>221.13810299999994</v>
      </c>
      <c r="K220" s="495">
        <f t="shared" si="22"/>
        <v>289.40688119999993</v>
      </c>
      <c r="L220" s="578"/>
      <c r="M220" s="45">
        <f t="shared" si="23"/>
        <v>0</v>
      </c>
      <c r="N220" s="46">
        <f t="shared" si="20"/>
        <v>289.40688119999993</v>
      </c>
      <c r="O220" s="46">
        <f t="shared" si="26"/>
        <v>0</v>
      </c>
      <c r="P220" s="234" t="s">
        <v>582</v>
      </c>
      <c r="Q220" s="46"/>
      <c r="R220" s="450"/>
      <c r="S220" s="257"/>
      <c r="T220" s="46"/>
      <c r="U220" s="46"/>
      <c r="V220" s="46"/>
      <c r="W220" s="46"/>
      <c r="X220" s="196"/>
      <c r="Y220" s="46"/>
      <c r="Z220" s="46"/>
      <c r="AA220" s="46"/>
      <c r="AB220" s="46"/>
      <c r="AC220" s="46"/>
      <c r="AD220" s="46"/>
      <c r="AE220" s="46"/>
      <c r="AF220" s="196"/>
      <c r="AG220" s="46"/>
      <c r="AH220" s="46"/>
      <c r="AI220" s="46"/>
      <c r="AJ220" s="46"/>
      <c r="AK220" s="46"/>
      <c r="AL220" s="46"/>
      <c r="AM220" s="46"/>
      <c r="AN220" s="196"/>
      <c r="AO220" s="438"/>
      <c r="AP220" s="46"/>
      <c r="AQ220" s="368"/>
      <c r="AR220" s="257"/>
      <c r="AS220" s="196"/>
      <c r="AT220" s="46"/>
      <c r="AU220" s="46"/>
      <c r="AV220" s="196"/>
      <c r="AW220" s="257"/>
      <c r="AX220" s="196"/>
      <c r="AY220" s="191"/>
      <c r="AZ220" s="257"/>
      <c r="BA220" s="196"/>
      <c r="BB220" s="46"/>
      <c r="BC220" s="257"/>
      <c r="BD220" s="196"/>
      <c r="BE220" s="191"/>
      <c r="BF220" s="46"/>
      <c r="BG220" s="196"/>
      <c r="BH220" s="46"/>
      <c r="BI220" s="257"/>
      <c r="BJ220" s="196"/>
      <c r="BK220" s="191"/>
      <c r="BL220" s="257"/>
      <c r="BM220" s="196"/>
      <c r="BN220" s="46"/>
      <c r="BO220" s="257"/>
      <c r="BP220" s="196"/>
      <c r="BQ220" s="190"/>
      <c r="BR220" s="46"/>
      <c r="BS220" s="196"/>
      <c r="BT220" s="46"/>
      <c r="BU220" s="257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196"/>
      <c r="CI220" s="46"/>
      <c r="CJ220" s="46"/>
      <c r="CK220" s="46"/>
      <c r="CL220" s="46"/>
      <c r="CM220" s="46"/>
      <c r="CN220" s="196"/>
      <c r="CO220" s="191"/>
      <c r="CP220" s="257"/>
      <c r="CQ220" s="196"/>
      <c r="CR220" s="167"/>
      <c r="CS220" s="257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191"/>
      <c r="DN220" s="46"/>
      <c r="DO220" s="196"/>
      <c r="DP220" s="221"/>
      <c r="DQ220" s="257">
        <f t="shared" si="25"/>
        <v>0</v>
      </c>
      <c r="DR220" s="294"/>
      <c r="DS220" s="295"/>
      <c r="DT220" s="386">
        <f t="shared" si="24"/>
        <v>0</v>
      </c>
      <c r="DU220" s="41"/>
      <c r="DV220" s="41"/>
      <c r="DW220" s="256"/>
      <c r="DX220" s="41"/>
      <c r="DY220" s="41"/>
      <c r="DZ220" s="68"/>
      <c r="EA220" s="41"/>
      <c r="EB220" s="41"/>
      <c r="EC220" s="256"/>
      <c r="ED220" s="308"/>
      <c r="EE220" s="308"/>
      <c r="EF220" s="308"/>
      <c r="EG220" s="41"/>
      <c r="EH220" s="41"/>
      <c r="EI220" s="41"/>
      <c r="EJ220" s="69"/>
      <c r="EK220" s="308"/>
      <c r="EL220" s="308"/>
      <c r="EM220" s="308"/>
      <c r="EN220" s="308"/>
      <c r="EO220" s="41"/>
      <c r="EP220" s="41"/>
      <c r="EQ220" s="41"/>
      <c r="ER220" s="256"/>
      <c r="ES220" s="293"/>
      <c r="ET220" s="293"/>
      <c r="EU220" s="293"/>
      <c r="EV220" s="293"/>
      <c r="EW220" s="41"/>
      <c r="EX220" s="41"/>
      <c r="EY220" s="41"/>
      <c r="EZ220" s="256"/>
      <c r="FA220" s="308"/>
      <c r="FB220" s="308"/>
      <c r="FC220" s="308"/>
      <c r="FD220" s="308"/>
      <c r="FE220" s="41"/>
      <c r="FF220" s="41"/>
      <c r="FG220" s="41"/>
      <c r="FH220" s="256"/>
      <c r="FI220" s="41"/>
      <c r="FJ220" s="41"/>
      <c r="FK220" s="41"/>
      <c r="FL220" s="276"/>
    </row>
    <row r="221" spans="1:168">
      <c r="A221" s="45">
        <v>214</v>
      </c>
      <c r="B221" s="45" t="s">
        <v>210</v>
      </c>
      <c r="C221" s="45">
        <v>4</v>
      </c>
      <c r="D221" s="29" t="s">
        <v>138</v>
      </c>
      <c r="E221" s="30">
        <v>4</v>
      </c>
      <c r="F221" s="30">
        <v>7</v>
      </c>
      <c r="G221" s="246">
        <f>67673.718/1000</f>
        <v>67.673717999999994</v>
      </c>
      <c r="H221" s="45">
        <v>0</v>
      </c>
      <c r="I221" s="45">
        <v>67673.718000000008</v>
      </c>
      <c r="J221" s="397">
        <v>42.373140000000063</v>
      </c>
      <c r="K221" s="495">
        <f t="shared" si="22"/>
        <v>110.04685800000006</v>
      </c>
      <c r="L221" s="578"/>
      <c r="M221" s="45">
        <f t="shared" si="23"/>
        <v>0</v>
      </c>
      <c r="N221" s="46">
        <f t="shared" si="20"/>
        <v>110.04685800000006</v>
      </c>
      <c r="O221" s="46">
        <f t="shared" si="26"/>
        <v>94.5</v>
      </c>
      <c r="P221" s="234"/>
      <c r="Q221" s="46"/>
      <c r="R221" s="450"/>
      <c r="S221" s="257"/>
      <c r="T221" s="46"/>
      <c r="U221" s="46"/>
      <c r="V221" s="46"/>
      <c r="W221" s="46"/>
      <c r="X221" s="196"/>
      <c r="Y221" s="46"/>
      <c r="Z221" s="46"/>
      <c r="AA221" s="46"/>
      <c r="AB221" s="46"/>
      <c r="AC221" s="46"/>
      <c r="AD221" s="46"/>
      <c r="AE221" s="46"/>
      <c r="AF221" s="196"/>
      <c r="AG221" s="46"/>
      <c r="AH221" s="46"/>
      <c r="AI221" s="46"/>
      <c r="AJ221" s="46"/>
      <c r="AK221" s="46"/>
      <c r="AL221" s="46"/>
      <c r="AM221" s="46"/>
      <c r="AN221" s="196" t="s">
        <v>227</v>
      </c>
      <c r="AO221" s="438" t="s">
        <v>335</v>
      </c>
      <c r="AP221" s="46">
        <v>15</v>
      </c>
      <c r="AQ221" s="368" t="s">
        <v>379</v>
      </c>
      <c r="AR221" s="257">
        <f>AP221*1300</f>
        <v>19500</v>
      </c>
      <c r="AS221" s="196"/>
      <c r="AT221" s="46"/>
      <c r="AU221" s="46"/>
      <c r="AV221" s="196"/>
      <c r="AW221" s="257"/>
      <c r="AX221" s="196"/>
      <c r="AY221" s="191"/>
      <c r="AZ221" s="257"/>
      <c r="BA221" s="196"/>
      <c r="BB221" s="46"/>
      <c r="BC221" s="257"/>
      <c r="BD221" s="196"/>
      <c r="BE221" s="191"/>
      <c r="BF221" s="46"/>
      <c r="BG221" s="196"/>
      <c r="BH221" s="46"/>
      <c r="BI221" s="257"/>
      <c r="BJ221" s="196"/>
      <c r="BK221" s="191"/>
      <c r="BL221" s="257"/>
      <c r="BM221" s="196"/>
      <c r="BN221" s="46"/>
      <c r="BO221" s="257"/>
      <c r="BP221" s="196"/>
      <c r="BQ221" s="190"/>
      <c r="BR221" s="46"/>
      <c r="BS221" s="196"/>
      <c r="BT221" s="46"/>
      <c r="BU221" s="257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196"/>
      <c r="CI221" s="46"/>
      <c r="CJ221" s="46"/>
      <c r="CK221" s="46"/>
      <c r="CL221" s="46"/>
      <c r="CM221" s="46"/>
      <c r="CN221" s="196"/>
      <c r="CO221" s="191"/>
      <c r="CP221" s="257"/>
      <c r="CQ221" s="196"/>
      <c r="CR221" s="167"/>
      <c r="CS221" s="257"/>
      <c r="CT221" s="46"/>
      <c r="CU221" s="46"/>
      <c r="CV221" s="46"/>
      <c r="CW221" s="46"/>
      <c r="CX221" s="46"/>
      <c r="CY221" s="46"/>
      <c r="CZ221" s="46">
        <v>6</v>
      </c>
      <c r="DA221" s="46">
        <v>30</v>
      </c>
      <c r="DB221" s="257">
        <f>DA221*2500</f>
        <v>75000</v>
      </c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191"/>
      <c r="DN221" s="46"/>
      <c r="DO221" s="196"/>
      <c r="DP221" s="221"/>
      <c r="DQ221" s="257">
        <f t="shared" si="25"/>
        <v>0</v>
      </c>
      <c r="DR221" s="294"/>
      <c r="DS221" s="295"/>
      <c r="DT221" s="386">
        <f t="shared" si="24"/>
        <v>0</v>
      </c>
      <c r="DU221" s="41"/>
      <c r="DV221" s="41"/>
      <c r="DW221" s="256"/>
      <c r="DX221" s="41"/>
      <c r="DY221" s="41"/>
      <c r="DZ221" s="68"/>
      <c r="EA221" s="41"/>
      <c r="EB221" s="41"/>
      <c r="EC221" s="256"/>
      <c r="ED221" s="308"/>
      <c r="EE221" s="308"/>
      <c r="EF221" s="308"/>
      <c r="EG221" s="41"/>
      <c r="EH221" s="41"/>
      <c r="EI221" s="41"/>
      <c r="EJ221" s="69"/>
      <c r="EK221" s="308"/>
      <c r="EL221" s="308"/>
      <c r="EM221" s="308"/>
      <c r="EN221" s="308"/>
      <c r="EO221" s="41"/>
      <c r="EP221" s="41"/>
      <c r="EQ221" s="41"/>
      <c r="ER221" s="256"/>
      <c r="ES221" s="293"/>
      <c r="ET221" s="293"/>
      <c r="EU221" s="293"/>
      <c r="EV221" s="293"/>
      <c r="EW221" s="41"/>
      <c r="EX221" s="41"/>
      <c r="EY221" s="41"/>
      <c r="EZ221" s="256"/>
      <c r="FA221" s="308"/>
      <c r="FB221" s="308"/>
      <c r="FC221" s="308"/>
      <c r="FD221" s="308"/>
      <c r="FE221" s="41"/>
      <c r="FF221" s="41"/>
      <c r="FG221" s="41"/>
      <c r="FH221" s="256"/>
      <c r="FI221" s="41"/>
      <c r="FJ221" s="41"/>
      <c r="FK221" s="41"/>
      <c r="FL221" s="276"/>
    </row>
    <row r="222" spans="1:168">
      <c r="A222" s="45">
        <v>215</v>
      </c>
      <c r="B222" s="45" t="s">
        <v>210</v>
      </c>
      <c r="C222" s="45">
        <v>4</v>
      </c>
      <c r="D222" s="29" t="s">
        <v>576</v>
      </c>
      <c r="E222" s="30">
        <v>5</v>
      </c>
      <c r="F222" s="30">
        <v>5</v>
      </c>
      <c r="G222" s="246">
        <f>54036.5364/1000</f>
        <v>54.036536399999996</v>
      </c>
      <c r="H222" s="45">
        <v>54036.536399999997</v>
      </c>
      <c r="I222" s="45">
        <v>0</v>
      </c>
      <c r="J222" s="397">
        <v>229.88617000000002</v>
      </c>
      <c r="K222" s="495">
        <f t="shared" si="22"/>
        <v>283.92270640000004</v>
      </c>
      <c r="L222" s="578"/>
      <c r="M222" s="45">
        <f t="shared" si="23"/>
        <v>0</v>
      </c>
      <c r="N222" s="46">
        <f t="shared" si="20"/>
        <v>283.92270640000004</v>
      </c>
      <c r="O222" s="46">
        <f t="shared" si="26"/>
        <v>0</v>
      </c>
      <c r="P222" s="234" t="s">
        <v>582</v>
      </c>
      <c r="Q222" s="46"/>
      <c r="R222" s="450"/>
      <c r="S222" s="257"/>
      <c r="T222" s="46"/>
      <c r="U222" s="46"/>
      <c r="V222" s="46"/>
      <c r="W222" s="46"/>
      <c r="X222" s="196"/>
      <c r="Y222" s="46"/>
      <c r="Z222" s="46"/>
      <c r="AA222" s="46"/>
      <c r="AB222" s="46"/>
      <c r="AC222" s="46"/>
      <c r="AD222" s="46"/>
      <c r="AE222" s="46"/>
      <c r="AF222" s="196"/>
      <c r="AG222" s="46"/>
      <c r="AH222" s="46"/>
      <c r="AI222" s="46"/>
      <c r="AJ222" s="46"/>
      <c r="AK222" s="46"/>
      <c r="AL222" s="46"/>
      <c r="AM222" s="46"/>
      <c r="AN222" s="196"/>
      <c r="AO222" s="438"/>
      <c r="AP222" s="46"/>
      <c r="AQ222" s="368"/>
      <c r="AR222" s="257"/>
      <c r="AS222" s="196"/>
      <c r="AT222" s="46"/>
      <c r="AU222" s="46"/>
      <c r="AV222" s="196"/>
      <c r="AW222" s="257"/>
      <c r="AX222" s="196"/>
      <c r="AY222" s="191"/>
      <c r="AZ222" s="257"/>
      <c r="BA222" s="196"/>
      <c r="BB222" s="46"/>
      <c r="BC222" s="257"/>
      <c r="BD222" s="196"/>
      <c r="BE222" s="191"/>
      <c r="BF222" s="46"/>
      <c r="BG222" s="196"/>
      <c r="BH222" s="46"/>
      <c r="BI222" s="257"/>
      <c r="BJ222" s="196"/>
      <c r="BK222" s="191"/>
      <c r="BL222" s="257"/>
      <c r="BM222" s="196"/>
      <c r="BN222" s="46"/>
      <c r="BO222" s="257"/>
      <c r="BP222" s="196"/>
      <c r="BQ222" s="190"/>
      <c r="BR222" s="46"/>
      <c r="BS222" s="196"/>
      <c r="BT222" s="46"/>
      <c r="BU222" s="257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196"/>
      <c r="CI222" s="46"/>
      <c r="CJ222" s="46"/>
      <c r="CK222" s="46"/>
      <c r="CL222" s="46"/>
      <c r="CM222" s="46"/>
      <c r="CN222" s="196"/>
      <c r="CO222" s="191"/>
      <c r="CP222" s="257"/>
      <c r="CQ222" s="196"/>
      <c r="CR222" s="167"/>
      <c r="CS222" s="257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191"/>
      <c r="DN222" s="46"/>
      <c r="DO222" s="218"/>
      <c r="DP222" s="221"/>
      <c r="DQ222" s="257">
        <f t="shared" si="25"/>
        <v>0</v>
      </c>
      <c r="DR222" s="294"/>
      <c r="DS222" s="295"/>
      <c r="DT222" s="386">
        <f t="shared" si="24"/>
        <v>0</v>
      </c>
      <c r="DU222" s="41"/>
      <c r="DV222" s="41"/>
      <c r="DW222" s="256"/>
      <c r="DX222" s="41"/>
      <c r="DY222" s="41"/>
      <c r="DZ222" s="68"/>
      <c r="EA222" s="41"/>
      <c r="EB222" s="41"/>
      <c r="EC222" s="256"/>
      <c r="ED222" s="308"/>
      <c r="EE222" s="308"/>
      <c r="EF222" s="308"/>
      <c r="EG222" s="41"/>
      <c r="EH222" s="41"/>
      <c r="EI222" s="41"/>
      <c r="EJ222" s="69"/>
      <c r="EK222" s="308"/>
      <c r="EL222" s="308"/>
      <c r="EM222" s="308"/>
      <c r="EN222" s="308"/>
      <c r="EO222" s="41"/>
      <c r="EP222" s="41"/>
      <c r="EQ222" s="41"/>
      <c r="ER222" s="256"/>
      <c r="ES222" s="293"/>
      <c r="ET222" s="293"/>
      <c r="EU222" s="293"/>
      <c r="EV222" s="293"/>
      <c r="EW222" s="41"/>
      <c r="EX222" s="41"/>
      <c r="EY222" s="41"/>
      <c r="EZ222" s="256"/>
      <c r="FA222" s="308"/>
      <c r="FB222" s="308"/>
      <c r="FC222" s="308"/>
      <c r="FD222" s="308"/>
      <c r="FE222" s="46"/>
      <c r="FF222" s="41"/>
      <c r="FG222" s="41"/>
      <c r="FH222" s="256"/>
      <c r="FI222" s="41"/>
      <c r="FJ222" s="41"/>
      <c r="FK222" s="41"/>
      <c r="FL222" s="276"/>
    </row>
    <row r="223" spans="1:168" ht="20.25">
      <c r="A223" s="45">
        <v>216</v>
      </c>
      <c r="B223" s="45" t="s">
        <v>210</v>
      </c>
      <c r="C223" s="45">
        <v>4</v>
      </c>
      <c r="D223" s="29" t="s">
        <v>138</v>
      </c>
      <c r="E223" s="30">
        <v>6</v>
      </c>
      <c r="F223" s="30">
        <v>5</v>
      </c>
      <c r="G223" s="246">
        <f>54004.104/1000</f>
        <v>54.004103999999998</v>
      </c>
      <c r="H223" s="45">
        <v>54004.104000000007</v>
      </c>
      <c r="I223" s="45">
        <v>0</v>
      </c>
      <c r="J223" s="397">
        <v>154.19374000000005</v>
      </c>
      <c r="K223" s="495">
        <f t="shared" si="22"/>
        <v>208.19784400000003</v>
      </c>
      <c r="L223" s="578"/>
      <c r="M223" s="45">
        <f t="shared" si="23"/>
        <v>0</v>
      </c>
      <c r="N223" s="46">
        <f t="shared" si="20"/>
        <v>208.19784400000003</v>
      </c>
      <c r="O223" s="46">
        <f t="shared" si="26"/>
        <v>187</v>
      </c>
      <c r="P223" s="234" t="s">
        <v>250</v>
      </c>
      <c r="Q223" s="46">
        <v>1</v>
      </c>
      <c r="R223" s="450">
        <v>1</v>
      </c>
      <c r="S223" s="257">
        <v>90000</v>
      </c>
      <c r="T223" s="46"/>
      <c r="U223" s="46"/>
      <c r="V223" s="46"/>
      <c r="W223" s="46"/>
      <c r="X223" s="196"/>
      <c r="Y223" s="46"/>
      <c r="Z223" s="46"/>
      <c r="AA223" s="46"/>
      <c r="AB223" s="46"/>
      <c r="AC223" s="46"/>
      <c r="AD223" s="46"/>
      <c r="AE223" s="46"/>
      <c r="AF223" s="196"/>
      <c r="AG223" s="46"/>
      <c r="AH223" s="46"/>
      <c r="AI223" s="46"/>
      <c r="AJ223" s="46"/>
      <c r="AK223" s="46"/>
      <c r="AL223" s="46"/>
      <c r="AM223" s="46"/>
      <c r="AN223" s="196" t="s">
        <v>228</v>
      </c>
      <c r="AO223" s="438" t="s">
        <v>324</v>
      </c>
      <c r="AP223" s="46">
        <v>40</v>
      </c>
      <c r="AQ223" s="368" t="s">
        <v>552</v>
      </c>
      <c r="AR223" s="257">
        <f>AP223*1300</f>
        <v>52000</v>
      </c>
      <c r="AS223" s="196"/>
      <c r="AT223" s="46"/>
      <c r="AU223" s="46"/>
      <c r="AV223" s="196"/>
      <c r="AW223" s="257"/>
      <c r="AX223" s="237" t="s">
        <v>254</v>
      </c>
      <c r="AY223" s="191" t="s">
        <v>599</v>
      </c>
      <c r="AZ223" s="257">
        <v>5000</v>
      </c>
      <c r="BA223" s="196"/>
      <c r="BB223" s="46"/>
      <c r="BC223" s="257"/>
      <c r="BD223" s="237"/>
      <c r="BE223" s="191"/>
      <c r="BF223" s="46"/>
      <c r="BG223" s="196"/>
      <c r="BH223" s="46"/>
      <c r="BI223" s="257"/>
      <c r="BJ223" s="248" t="s">
        <v>226</v>
      </c>
      <c r="BK223" s="190" t="s">
        <v>816</v>
      </c>
      <c r="BL223" s="257">
        <f>40*500</f>
        <v>20000</v>
      </c>
      <c r="BM223" s="196"/>
      <c r="BN223" s="46"/>
      <c r="BO223" s="257"/>
      <c r="BP223" s="237"/>
      <c r="BQ223" s="190"/>
      <c r="BR223" s="46"/>
      <c r="BS223" s="196"/>
      <c r="BT223" s="46"/>
      <c r="BU223" s="257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196"/>
      <c r="CI223" s="46"/>
      <c r="CJ223" s="46"/>
      <c r="CK223" s="46"/>
      <c r="CL223" s="46"/>
      <c r="CM223" s="46"/>
      <c r="CN223" s="196"/>
      <c r="CO223" s="191"/>
      <c r="CP223" s="257"/>
      <c r="CQ223" s="196"/>
      <c r="CR223" s="167"/>
      <c r="CS223" s="257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191"/>
      <c r="DN223" s="46"/>
      <c r="DO223" s="218"/>
      <c r="DP223" s="221" t="s">
        <v>817</v>
      </c>
      <c r="DQ223" s="257">
        <f t="shared" si="25"/>
        <v>20000</v>
      </c>
      <c r="DR223" s="294"/>
      <c r="DS223" s="295"/>
      <c r="DT223" s="386">
        <f t="shared" si="24"/>
        <v>0</v>
      </c>
      <c r="DU223" s="41">
        <v>7</v>
      </c>
      <c r="DV223" s="41">
        <v>4</v>
      </c>
      <c r="DW223" s="256">
        <v>20000</v>
      </c>
      <c r="DX223" s="41"/>
      <c r="DY223" s="41"/>
      <c r="DZ223" s="68"/>
      <c r="EA223" s="41"/>
      <c r="EB223" s="41"/>
      <c r="EC223" s="256"/>
      <c r="ED223" s="308"/>
      <c r="EE223" s="308"/>
      <c r="EF223" s="308"/>
      <c r="EG223" s="41"/>
      <c r="EH223" s="41"/>
      <c r="EI223" s="41"/>
      <c r="EJ223" s="69"/>
      <c r="EK223" s="308"/>
      <c r="EL223" s="308"/>
      <c r="EM223" s="308"/>
      <c r="EN223" s="308"/>
      <c r="EO223" s="41"/>
      <c r="EP223" s="41"/>
      <c r="EQ223" s="41"/>
      <c r="ER223" s="256"/>
      <c r="ES223" s="293"/>
      <c r="ET223" s="293"/>
      <c r="EU223" s="293"/>
      <c r="EV223" s="293"/>
      <c r="EW223" s="41"/>
      <c r="EX223" s="41"/>
      <c r="EY223" s="41"/>
      <c r="EZ223" s="256"/>
      <c r="FA223" s="308"/>
      <c r="FB223" s="308"/>
      <c r="FC223" s="308"/>
      <c r="FD223" s="308"/>
      <c r="FE223" s="46"/>
      <c r="FF223" s="41"/>
      <c r="FG223" s="41"/>
      <c r="FH223" s="256"/>
      <c r="FI223" s="41"/>
      <c r="FJ223" s="41"/>
      <c r="FK223" s="41"/>
      <c r="FL223" s="276"/>
    </row>
    <row r="224" spans="1:168" ht="23.25">
      <c r="A224" s="45">
        <v>217</v>
      </c>
      <c r="B224" s="45" t="s">
        <v>210</v>
      </c>
      <c r="C224" s="45">
        <v>4</v>
      </c>
      <c r="D224" s="29" t="s">
        <v>138</v>
      </c>
      <c r="E224" s="30">
        <v>7</v>
      </c>
      <c r="F224" s="30">
        <v>5</v>
      </c>
      <c r="G224" s="246">
        <f>144274.284/1000</f>
        <v>144.27428400000002</v>
      </c>
      <c r="H224" s="45">
        <v>144274.28399999999</v>
      </c>
      <c r="I224" s="45">
        <v>0</v>
      </c>
      <c r="J224" s="397">
        <v>345.48376000000007</v>
      </c>
      <c r="K224" s="495">
        <f t="shared" si="22"/>
        <v>489.7580440000001</v>
      </c>
      <c r="L224" s="578"/>
      <c r="M224" s="45">
        <f t="shared" si="23"/>
        <v>0</v>
      </c>
      <c r="N224" s="46">
        <f t="shared" si="20"/>
        <v>489.7580440000001</v>
      </c>
      <c r="O224" s="46">
        <f t="shared" si="26"/>
        <v>431.6</v>
      </c>
      <c r="P224" s="234"/>
      <c r="Q224" s="46"/>
      <c r="R224" s="450"/>
      <c r="S224" s="257"/>
      <c r="T224" s="46"/>
      <c r="U224" s="46"/>
      <c r="V224" s="46"/>
      <c r="W224" s="46"/>
      <c r="X224" s="196"/>
      <c r="Y224" s="46"/>
      <c r="Z224" s="46"/>
      <c r="AA224" s="46"/>
      <c r="AB224" s="46"/>
      <c r="AC224" s="46"/>
      <c r="AD224" s="46"/>
      <c r="AE224" s="46"/>
      <c r="AF224" s="196"/>
      <c r="AG224" s="46"/>
      <c r="AH224" s="46"/>
      <c r="AI224" s="46"/>
      <c r="AJ224" s="46"/>
      <c r="AK224" s="46"/>
      <c r="AL224" s="46"/>
      <c r="AM224" s="46"/>
      <c r="AN224" s="196" t="s">
        <v>226</v>
      </c>
      <c r="AO224" s="439" t="s">
        <v>335</v>
      </c>
      <c r="AP224" s="46">
        <f>166*2</f>
        <v>332</v>
      </c>
      <c r="AQ224" s="368" t="s">
        <v>933</v>
      </c>
      <c r="AR224" s="257">
        <f>AP224*1300</f>
        <v>431600</v>
      </c>
      <c r="AS224" s="196"/>
      <c r="AT224" s="46"/>
      <c r="AU224" s="46"/>
      <c r="AV224" s="196"/>
      <c r="AW224" s="257"/>
      <c r="AX224" s="196"/>
      <c r="AY224" s="191"/>
      <c r="AZ224" s="257"/>
      <c r="BA224" s="196"/>
      <c r="BB224" s="46"/>
      <c r="BC224" s="257"/>
      <c r="BD224" s="196"/>
      <c r="BE224" s="191"/>
      <c r="BF224" s="46"/>
      <c r="BG224" s="196"/>
      <c r="BH224" s="46"/>
      <c r="BI224" s="257"/>
      <c r="BJ224" s="196"/>
      <c r="BK224" s="191"/>
      <c r="BL224" s="257"/>
      <c r="BM224" s="196"/>
      <c r="BN224" s="46"/>
      <c r="BO224" s="257"/>
      <c r="BP224" s="196"/>
      <c r="BQ224" s="190"/>
      <c r="BR224" s="46"/>
      <c r="BS224" s="196"/>
      <c r="BT224" s="46"/>
      <c r="BU224" s="257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196"/>
      <c r="CI224" s="46"/>
      <c r="CJ224" s="46"/>
      <c r="CK224" s="46"/>
      <c r="CL224" s="46"/>
      <c r="CM224" s="46"/>
      <c r="CN224" s="196"/>
      <c r="CO224" s="191"/>
      <c r="CP224" s="257"/>
      <c r="CQ224" s="196"/>
      <c r="CR224" s="167"/>
      <c r="CS224" s="257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191"/>
      <c r="DN224" s="46"/>
      <c r="DO224" s="196"/>
      <c r="DP224" s="221"/>
      <c r="DQ224" s="257">
        <f t="shared" si="25"/>
        <v>0</v>
      </c>
      <c r="DR224" s="294"/>
      <c r="DS224" s="295"/>
      <c r="DT224" s="386">
        <f t="shared" si="24"/>
        <v>0</v>
      </c>
      <c r="DU224" s="41"/>
      <c r="DV224" s="41"/>
      <c r="DW224" s="256"/>
      <c r="DX224" s="41"/>
      <c r="DY224" s="41"/>
      <c r="DZ224" s="68"/>
      <c r="EA224" s="41"/>
      <c r="EB224" s="41"/>
      <c r="EC224" s="256"/>
      <c r="ED224" s="308"/>
      <c r="EE224" s="308"/>
      <c r="EF224" s="308"/>
      <c r="EG224" s="41"/>
      <c r="EH224" s="41"/>
      <c r="EI224" s="41"/>
      <c r="EJ224" s="69"/>
      <c r="EK224" s="308"/>
      <c r="EL224" s="308"/>
      <c r="EM224" s="308"/>
      <c r="EN224" s="308"/>
      <c r="EO224" s="41"/>
      <c r="EP224" s="41"/>
      <c r="EQ224" s="41"/>
      <c r="ER224" s="256"/>
      <c r="ES224" s="293"/>
      <c r="ET224" s="293"/>
      <c r="EU224" s="293"/>
      <c r="EV224" s="293"/>
      <c r="EW224" s="41"/>
      <c r="EX224" s="41"/>
      <c r="EY224" s="41"/>
      <c r="EZ224" s="256"/>
      <c r="FA224" s="308"/>
      <c r="FB224" s="308"/>
      <c r="FC224" s="308"/>
      <c r="FD224" s="308"/>
      <c r="FE224" s="46"/>
      <c r="FF224" s="41"/>
      <c r="FG224" s="41"/>
      <c r="FH224" s="256"/>
      <c r="FI224" s="41"/>
      <c r="FJ224" s="41"/>
      <c r="FK224" s="41"/>
      <c r="FL224" s="276"/>
    </row>
    <row r="225" spans="1:168" ht="34.5">
      <c r="A225" s="45">
        <v>218</v>
      </c>
      <c r="B225" s="45" t="s">
        <v>210</v>
      </c>
      <c r="C225" s="45">
        <v>4</v>
      </c>
      <c r="D225" s="29" t="s">
        <v>139</v>
      </c>
      <c r="E225" s="30">
        <v>121</v>
      </c>
      <c r="F225" s="30">
        <v>5</v>
      </c>
      <c r="G225" s="246">
        <f>279342.756/1000</f>
        <v>279.34275600000001</v>
      </c>
      <c r="H225" s="45">
        <v>279342.75600000005</v>
      </c>
      <c r="I225" s="45">
        <v>0</v>
      </c>
      <c r="J225" s="397">
        <v>113.77325000000002</v>
      </c>
      <c r="K225" s="495">
        <f t="shared" si="22"/>
        <v>393.11600600000003</v>
      </c>
      <c r="L225" s="578"/>
      <c r="M225" s="45">
        <f t="shared" si="23"/>
        <v>0</v>
      </c>
      <c r="N225" s="46">
        <f t="shared" si="20"/>
        <v>393.11600600000003</v>
      </c>
      <c r="O225" s="46">
        <f t="shared" si="26"/>
        <v>391.5</v>
      </c>
      <c r="P225" s="234"/>
      <c r="Q225" s="46"/>
      <c r="R225" s="450"/>
      <c r="S225" s="257"/>
      <c r="T225" s="46"/>
      <c r="U225" s="46"/>
      <c r="V225" s="46"/>
      <c r="W225" s="46"/>
      <c r="X225" s="196" t="s">
        <v>228</v>
      </c>
      <c r="Y225" s="46">
        <v>90</v>
      </c>
      <c r="Z225" s="190" t="s">
        <v>936</v>
      </c>
      <c r="AA225" s="46">
        <f>Y225*3800</f>
        <v>342000</v>
      </c>
      <c r="AB225" s="46"/>
      <c r="AC225" s="46"/>
      <c r="AD225" s="46"/>
      <c r="AE225" s="46"/>
      <c r="AF225" s="196"/>
      <c r="AG225" s="46"/>
      <c r="AH225" s="46"/>
      <c r="AI225" s="46"/>
      <c r="AJ225" s="46"/>
      <c r="AK225" s="46"/>
      <c r="AL225" s="46"/>
      <c r="AM225" s="46"/>
      <c r="AN225" s="196"/>
      <c r="AO225" s="438"/>
      <c r="AP225" s="46"/>
      <c r="AQ225" s="368"/>
      <c r="AR225" s="257"/>
      <c r="AS225" s="196"/>
      <c r="AT225" s="46"/>
      <c r="AU225" s="46"/>
      <c r="AV225" s="196"/>
      <c r="AW225" s="257"/>
      <c r="AX225" s="196" t="s">
        <v>225</v>
      </c>
      <c r="AY225" s="368" t="s">
        <v>934</v>
      </c>
      <c r="AZ225" s="257">
        <f>15*2000</f>
        <v>30000</v>
      </c>
      <c r="BA225" s="196"/>
      <c r="BB225" s="46"/>
      <c r="BC225" s="257"/>
      <c r="BD225" s="196"/>
      <c r="BE225" s="191"/>
      <c r="BF225" s="46"/>
      <c r="BG225" s="196"/>
      <c r="BH225" s="46"/>
      <c r="BI225" s="257"/>
      <c r="BJ225" s="196"/>
      <c r="BK225" s="191"/>
      <c r="BL225" s="257"/>
      <c r="BM225" s="196"/>
      <c r="BN225" s="46"/>
      <c r="BO225" s="257"/>
      <c r="BP225" s="196" t="s">
        <v>250</v>
      </c>
      <c r="BQ225" s="190" t="s">
        <v>935</v>
      </c>
      <c r="BR225" s="46">
        <f>15*1300</f>
        <v>19500</v>
      </c>
      <c r="BS225" s="196"/>
      <c r="BT225" s="46"/>
      <c r="BU225" s="257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196"/>
      <c r="CI225" s="46"/>
      <c r="CJ225" s="46"/>
      <c r="CK225" s="46"/>
      <c r="CL225" s="46"/>
      <c r="CM225" s="46"/>
      <c r="CN225" s="196"/>
      <c r="CO225" s="191"/>
      <c r="CP225" s="257"/>
      <c r="CQ225" s="196"/>
      <c r="CR225" s="167"/>
      <c r="CS225" s="257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191"/>
      <c r="DN225" s="46"/>
      <c r="DO225" s="196"/>
      <c r="DP225" s="221"/>
      <c r="DQ225" s="257">
        <f t="shared" si="25"/>
        <v>0</v>
      </c>
      <c r="DR225" s="294"/>
      <c r="DS225" s="295"/>
      <c r="DT225" s="386">
        <f t="shared" si="24"/>
        <v>0</v>
      </c>
      <c r="DU225" s="41"/>
      <c r="DV225" s="41"/>
      <c r="DW225" s="256"/>
      <c r="DX225" s="41"/>
      <c r="DY225" s="41"/>
      <c r="DZ225" s="68"/>
      <c r="EA225" s="41"/>
      <c r="EB225" s="41"/>
      <c r="EC225" s="256"/>
      <c r="ED225" s="308"/>
      <c r="EE225" s="308"/>
      <c r="EF225" s="308"/>
      <c r="EG225" s="41"/>
      <c r="EH225" s="41"/>
      <c r="EI225" s="41"/>
      <c r="EJ225" s="69"/>
      <c r="EK225" s="308"/>
      <c r="EL225" s="308"/>
      <c r="EM225" s="308"/>
      <c r="EN225" s="308"/>
      <c r="EO225" s="41"/>
      <c r="EP225" s="41"/>
      <c r="EQ225" s="41"/>
      <c r="ER225" s="256"/>
      <c r="ES225" s="293"/>
      <c r="ET225" s="293"/>
      <c r="EU225" s="293"/>
      <c r="EV225" s="293"/>
      <c r="EW225" s="41"/>
      <c r="EX225" s="41"/>
      <c r="EY225" s="41"/>
      <c r="EZ225" s="256"/>
      <c r="FA225" s="308"/>
      <c r="FB225" s="308"/>
      <c r="FC225" s="308"/>
      <c r="FD225" s="308"/>
      <c r="FE225" s="46"/>
      <c r="FF225" s="41"/>
      <c r="FG225" s="41"/>
      <c r="FH225" s="256"/>
      <c r="FI225" s="41"/>
      <c r="FJ225" s="41"/>
      <c r="FK225" s="41"/>
      <c r="FL225" s="276"/>
    </row>
    <row r="226" spans="1:168">
      <c r="A226" s="45">
        <v>219</v>
      </c>
      <c r="B226" s="45" t="s">
        <v>210</v>
      </c>
      <c r="C226" s="45">
        <v>5</v>
      </c>
      <c r="D226" s="29" t="s">
        <v>139</v>
      </c>
      <c r="E226" s="30" t="s">
        <v>140</v>
      </c>
      <c r="F226" s="30">
        <v>5</v>
      </c>
      <c r="G226" s="246">
        <f>75385.3716/1000</f>
        <v>75.385371599999999</v>
      </c>
      <c r="H226" s="45">
        <v>75385.371600000013</v>
      </c>
      <c r="I226" s="45">
        <v>0</v>
      </c>
      <c r="J226" s="397">
        <v>133.90338</v>
      </c>
      <c r="K226" s="495">
        <f t="shared" si="22"/>
        <v>209.28875160000001</v>
      </c>
      <c r="L226" s="578"/>
      <c r="M226" s="45">
        <f t="shared" si="23"/>
        <v>0</v>
      </c>
      <c r="N226" s="46">
        <f t="shared" si="20"/>
        <v>209.28875160000001</v>
      </c>
      <c r="O226" s="46">
        <f t="shared" si="26"/>
        <v>195.6</v>
      </c>
      <c r="P226" s="234"/>
      <c r="Q226" s="46"/>
      <c r="R226" s="450"/>
      <c r="S226" s="257"/>
      <c r="T226" s="46"/>
      <c r="U226" s="46"/>
      <c r="V226" s="46"/>
      <c r="W226" s="46"/>
      <c r="X226" s="196"/>
      <c r="Y226" s="46"/>
      <c r="Z226" s="46"/>
      <c r="AA226" s="46"/>
      <c r="AB226" s="46"/>
      <c r="AC226" s="46"/>
      <c r="AD226" s="46"/>
      <c r="AE226" s="46"/>
      <c r="AF226" s="196"/>
      <c r="AG226" s="46"/>
      <c r="AH226" s="46"/>
      <c r="AI226" s="46"/>
      <c r="AJ226" s="46"/>
      <c r="AK226" s="46"/>
      <c r="AL226" s="46"/>
      <c r="AM226" s="46"/>
      <c r="AN226" s="196"/>
      <c r="AO226" s="438"/>
      <c r="AP226" s="46"/>
      <c r="AQ226" s="368"/>
      <c r="AR226" s="257"/>
      <c r="AS226" s="196"/>
      <c r="AT226" s="46"/>
      <c r="AU226" s="46"/>
      <c r="AV226" s="196"/>
      <c r="AW226" s="257"/>
      <c r="AX226" s="196"/>
      <c r="AY226" s="191"/>
      <c r="AZ226" s="257"/>
      <c r="BA226" s="196"/>
      <c r="BB226" s="46"/>
      <c r="BC226" s="257"/>
      <c r="BD226" s="196"/>
      <c r="BE226" s="191"/>
      <c r="BF226" s="46"/>
      <c r="BG226" s="196"/>
      <c r="BH226" s="46"/>
      <c r="BI226" s="257"/>
      <c r="BJ226" s="196"/>
      <c r="BK226" s="191"/>
      <c r="BL226" s="257"/>
      <c r="BM226" s="218"/>
      <c r="BN226" s="46"/>
      <c r="BO226" s="257"/>
      <c r="BP226" s="196"/>
      <c r="BQ226" s="190"/>
      <c r="BR226" s="46"/>
      <c r="BS226" s="196"/>
      <c r="BT226" s="46"/>
      <c r="BU226" s="257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196"/>
      <c r="CI226" s="46"/>
      <c r="CJ226" s="46"/>
      <c r="CK226" s="46"/>
      <c r="CL226" s="46"/>
      <c r="CM226" s="46"/>
      <c r="CN226" s="196"/>
      <c r="CO226" s="191"/>
      <c r="CP226" s="257"/>
      <c r="CQ226" s="196"/>
      <c r="CR226" s="167"/>
      <c r="CS226" s="257"/>
      <c r="CT226" s="46"/>
      <c r="CU226" s="46"/>
      <c r="CV226" s="46"/>
      <c r="CW226" s="46"/>
      <c r="CX226" s="46"/>
      <c r="CY226" s="46"/>
      <c r="CZ226" s="46">
        <v>9</v>
      </c>
      <c r="DA226" s="46">
        <v>66</v>
      </c>
      <c r="DB226" s="46">
        <f>DA226*1800</f>
        <v>118800</v>
      </c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191"/>
      <c r="DN226" s="46"/>
      <c r="DO226" s="218"/>
      <c r="DP226" s="221" t="s">
        <v>851</v>
      </c>
      <c r="DQ226" s="257">
        <f t="shared" si="25"/>
        <v>76800</v>
      </c>
      <c r="DR226" s="294"/>
      <c r="DS226" s="295"/>
      <c r="DT226" s="386">
        <f t="shared" si="24"/>
        <v>0</v>
      </c>
      <c r="DU226" s="41"/>
      <c r="DV226" s="41"/>
      <c r="DW226" s="256"/>
      <c r="DX226" s="41"/>
      <c r="DY226" s="41"/>
      <c r="DZ226" s="68"/>
      <c r="EA226" s="41">
        <v>7</v>
      </c>
      <c r="EB226" s="41">
        <v>96</v>
      </c>
      <c r="EC226" s="256">
        <f>EB226*800</f>
        <v>76800</v>
      </c>
      <c r="ED226" s="308"/>
      <c r="EE226" s="308"/>
      <c r="EF226" s="308"/>
      <c r="EG226" s="41"/>
      <c r="EH226" s="41"/>
      <c r="EI226" s="41"/>
      <c r="EJ226" s="69"/>
      <c r="EK226" s="308"/>
      <c r="EL226" s="308"/>
      <c r="EM226" s="308"/>
      <c r="EN226" s="308"/>
      <c r="EO226" s="41"/>
      <c r="EP226" s="41"/>
      <c r="EQ226" s="41"/>
      <c r="ER226" s="256"/>
      <c r="ES226" s="293"/>
      <c r="ET226" s="293"/>
      <c r="EU226" s="293"/>
      <c r="EV226" s="293"/>
      <c r="EW226" s="41"/>
      <c r="EX226" s="41"/>
      <c r="EY226" s="41"/>
      <c r="EZ226" s="256"/>
      <c r="FA226" s="308"/>
      <c r="FB226" s="308"/>
      <c r="FC226" s="308"/>
      <c r="FD226" s="308"/>
      <c r="FE226" s="46"/>
      <c r="FF226" s="41"/>
      <c r="FG226" s="41"/>
      <c r="FH226" s="256"/>
      <c r="FI226" s="41"/>
      <c r="FJ226" s="41"/>
      <c r="FK226" s="41"/>
      <c r="FL226" s="276"/>
    </row>
    <row r="227" spans="1:168" ht="35.1" customHeight="1">
      <c r="A227" s="45">
        <v>220</v>
      </c>
      <c r="B227" s="45" t="s">
        <v>210</v>
      </c>
      <c r="C227" s="45">
        <v>5</v>
      </c>
      <c r="D227" s="29" t="s">
        <v>139</v>
      </c>
      <c r="E227" s="30">
        <v>132</v>
      </c>
      <c r="F227" s="30">
        <v>5</v>
      </c>
      <c r="G227" s="246">
        <f>84132.1404/1000</f>
        <v>84.132140399999997</v>
      </c>
      <c r="H227" s="45">
        <v>84132.140400000004</v>
      </c>
      <c r="I227" s="45">
        <v>0</v>
      </c>
      <c r="J227" s="397">
        <v>245.00253000000001</v>
      </c>
      <c r="K227" s="495">
        <f t="shared" si="22"/>
        <v>329.1346704</v>
      </c>
      <c r="L227" s="578"/>
      <c r="M227" s="45">
        <f t="shared" si="23"/>
        <v>0</v>
      </c>
      <c r="N227" s="46">
        <f t="shared" si="20"/>
        <v>329.1346704</v>
      </c>
      <c r="O227" s="46">
        <f t="shared" si="26"/>
        <v>300</v>
      </c>
      <c r="P227" s="234" t="s">
        <v>250</v>
      </c>
      <c r="Q227" s="46">
        <v>3</v>
      </c>
      <c r="R227" s="450" t="s">
        <v>529</v>
      </c>
      <c r="S227" s="257">
        <v>270000</v>
      </c>
      <c r="T227" s="46"/>
      <c r="U227" s="46"/>
      <c r="V227" s="46"/>
      <c r="W227" s="46"/>
      <c r="X227" s="196"/>
      <c r="Y227" s="46"/>
      <c r="Z227" s="46"/>
      <c r="AA227" s="46"/>
      <c r="AB227" s="46"/>
      <c r="AC227" s="46"/>
      <c r="AD227" s="46"/>
      <c r="AE227" s="46"/>
      <c r="AF227" s="196"/>
      <c r="AG227" s="46"/>
      <c r="AH227" s="46"/>
      <c r="AI227" s="46"/>
      <c r="AJ227" s="46"/>
      <c r="AK227" s="46"/>
      <c r="AL227" s="46"/>
      <c r="AM227" s="46"/>
      <c r="AN227" s="196"/>
      <c r="AO227" s="438"/>
      <c r="AP227" s="46"/>
      <c r="AQ227" s="368"/>
      <c r="AR227" s="257"/>
      <c r="AS227" s="196"/>
      <c r="AT227" s="46"/>
      <c r="AU227" s="46"/>
      <c r="AV227" s="196"/>
      <c r="AW227" s="257"/>
      <c r="AX227" s="196"/>
      <c r="AY227" s="191"/>
      <c r="AZ227" s="257"/>
      <c r="BA227" s="196"/>
      <c r="BB227" s="46"/>
      <c r="BC227" s="257"/>
      <c r="BD227" s="196"/>
      <c r="BE227" s="191"/>
      <c r="BF227" s="46"/>
      <c r="BG227" s="196"/>
      <c r="BH227" s="46"/>
      <c r="BI227" s="257"/>
      <c r="BJ227" s="196"/>
      <c r="BK227" s="191"/>
      <c r="BL227" s="257"/>
      <c r="BM227" s="196"/>
      <c r="BN227" s="46"/>
      <c r="BO227" s="257"/>
      <c r="BP227" s="196"/>
      <c r="BQ227" s="190"/>
      <c r="BR227" s="46"/>
      <c r="BS227" s="196"/>
      <c r="BT227" s="46"/>
      <c r="BU227" s="257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196"/>
      <c r="CI227" s="46"/>
      <c r="CJ227" s="46"/>
      <c r="CK227" s="46"/>
      <c r="CL227" s="46"/>
      <c r="CM227" s="46"/>
      <c r="CN227" s="196"/>
      <c r="CO227" s="191"/>
      <c r="CP227" s="257"/>
      <c r="CQ227" s="196"/>
      <c r="CR227" s="167"/>
      <c r="CS227" s="257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191"/>
      <c r="DN227" s="46"/>
      <c r="DO227" s="196"/>
      <c r="DP227" s="221" t="s">
        <v>937</v>
      </c>
      <c r="DQ227" s="257">
        <f t="shared" si="25"/>
        <v>30000</v>
      </c>
      <c r="DR227" s="294"/>
      <c r="DS227" s="295"/>
      <c r="DT227" s="386">
        <f t="shared" si="24"/>
        <v>0</v>
      </c>
      <c r="DU227" s="41"/>
      <c r="DV227" s="41"/>
      <c r="DW227" s="256"/>
      <c r="DX227" s="41"/>
      <c r="DY227" s="41"/>
      <c r="DZ227" s="68"/>
      <c r="EA227" s="41"/>
      <c r="EB227" s="41"/>
      <c r="EC227" s="256"/>
      <c r="ED227" s="308"/>
      <c r="EE227" s="308"/>
      <c r="EF227" s="308"/>
      <c r="EG227" s="41">
        <v>8</v>
      </c>
      <c r="EH227" s="41">
        <v>3</v>
      </c>
      <c r="EI227" s="41" t="s">
        <v>529</v>
      </c>
      <c r="EJ227" s="69">
        <v>30000</v>
      </c>
      <c r="EK227" s="308"/>
      <c r="EL227" s="308"/>
      <c r="EM227" s="308"/>
      <c r="EN227" s="308"/>
      <c r="EO227" s="41"/>
      <c r="EP227" s="41"/>
      <c r="EQ227" s="41"/>
      <c r="ER227" s="256"/>
      <c r="ES227" s="293"/>
      <c r="ET227" s="293"/>
      <c r="EU227" s="293"/>
      <c r="EV227" s="293"/>
      <c r="EW227" s="41"/>
      <c r="EX227" s="41"/>
      <c r="EY227" s="41"/>
      <c r="EZ227" s="256"/>
      <c r="FA227" s="308"/>
      <c r="FB227" s="308"/>
      <c r="FC227" s="308"/>
      <c r="FD227" s="308"/>
      <c r="FE227" s="46"/>
      <c r="FF227" s="41"/>
      <c r="FG227" s="41"/>
      <c r="FH227" s="256"/>
      <c r="FI227" s="41"/>
      <c r="FJ227" s="41"/>
      <c r="FK227" s="41"/>
      <c r="FL227" s="276"/>
    </row>
    <row r="228" spans="1:168" ht="20.25">
      <c r="A228" s="45">
        <v>221</v>
      </c>
      <c r="B228" s="45" t="s">
        <v>210</v>
      </c>
      <c r="C228" s="45">
        <v>5</v>
      </c>
      <c r="D228" s="29" t="s">
        <v>139</v>
      </c>
      <c r="E228" s="30" t="s">
        <v>141</v>
      </c>
      <c r="F228" s="30">
        <v>5</v>
      </c>
      <c r="G228" s="246">
        <f>77579.964/1000</f>
        <v>77.579964000000004</v>
      </c>
      <c r="H228" s="45">
        <v>77579.964000000007</v>
      </c>
      <c r="I228" s="45">
        <v>0</v>
      </c>
      <c r="J228" s="397">
        <v>208.82999000000001</v>
      </c>
      <c r="K228" s="495">
        <f t="shared" si="22"/>
        <v>286.40995400000003</v>
      </c>
      <c r="L228" s="578"/>
      <c r="M228" s="45">
        <f t="shared" si="23"/>
        <v>0</v>
      </c>
      <c r="N228" s="46">
        <f t="shared" si="20"/>
        <v>286.40995400000003</v>
      </c>
      <c r="O228" s="46">
        <f t="shared" si="26"/>
        <v>155</v>
      </c>
      <c r="P228" s="234" t="s">
        <v>247</v>
      </c>
      <c r="Q228" s="46">
        <v>1</v>
      </c>
      <c r="R228" s="450">
        <v>1</v>
      </c>
      <c r="S228" s="257">
        <v>90000</v>
      </c>
      <c r="T228" s="46"/>
      <c r="U228" s="46"/>
      <c r="V228" s="46"/>
      <c r="W228" s="46"/>
      <c r="X228" s="196"/>
      <c r="Y228" s="46"/>
      <c r="Z228" s="46"/>
      <c r="AA228" s="46"/>
      <c r="AB228" s="46"/>
      <c r="AC228" s="46"/>
      <c r="AD228" s="46"/>
      <c r="AE228" s="46"/>
      <c r="AF228" s="196"/>
      <c r="AG228" s="46"/>
      <c r="AH228" s="46"/>
      <c r="AI228" s="46"/>
      <c r="AJ228" s="46"/>
      <c r="AK228" s="46"/>
      <c r="AL228" s="46"/>
      <c r="AM228" s="46"/>
      <c r="AN228" s="196"/>
      <c r="AO228" s="438"/>
      <c r="AP228" s="46"/>
      <c r="AQ228" s="368"/>
      <c r="AR228" s="257"/>
      <c r="AS228" s="196"/>
      <c r="AT228" s="46"/>
      <c r="AU228" s="46"/>
      <c r="AV228" s="196"/>
      <c r="AW228" s="257"/>
      <c r="AX228" s="196"/>
      <c r="AY228" s="191"/>
      <c r="AZ228" s="257"/>
      <c r="BA228" s="196"/>
      <c r="BB228" s="46"/>
      <c r="BC228" s="257"/>
      <c r="BD228" s="196"/>
      <c r="BE228" s="191"/>
      <c r="BF228" s="46"/>
      <c r="BG228" s="196"/>
      <c r="BH228" s="46"/>
      <c r="BI228" s="257"/>
      <c r="BJ228" s="196"/>
      <c r="BK228" s="191"/>
      <c r="BL228" s="257"/>
      <c r="BM228" s="196"/>
      <c r="BN228" s="46"/>
      <c r="BO228" s="257"/>
      <c r="BP228" s="196"/>
      <c r="BQ228" s="190"/>
      <c r="BR228" s="46"/>
      <c r="BS228" s="196"/>
      <c r="BT228" s="46"/>
      <c r="BU228" s="257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196"/>
      <c r="CI228" s="46"/>
      <c r="CJ228" s="46"/>
      <c r="CK228" s="46"/>
      <c r="CL228" s="46"/>
      <c r="CM228" s="46"/>
      <c r="CN228" s="196"/>
      <c r="CO228" s="191"/>
      <c r="CP228" s="257"/>
      <c r="CQ228" s="196"/>
      <c r="CR228" s="167"/>
      <c r="CS228" s="257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191"/>
      <c r="DN228" s="46"/>
      <c r="DO228" s="196"/>
      <c r="DP228" s="221" t="s">
        <v>938</v>
      </c>
      <c r="DQ228" s="257">
        <f>DW228+EC228+EJ228+ER228+EZ228+FH228+50000</f>
        <v>65000</v>
      </c>
      <c r="DR228" s="294"/>
      <c r="DS228" s="295"/>
      <c r="DT228" s="386">
        <f t="shared" si="24"/>
        <v>0</v>
      </c>
      <c r="DU228" s="41"/>
      <c r="DV228" s="41"/>
      <c r="DW228" s="256"/>
      <c r="DX228" s="41"/>
      <c r="DY228" s="41"/>
      <c r="DZ228" s="68"/>
      <c r="EA228" s="41"/>
      <c r="EB228" s="41"/>
      <c r="EC228" s="256"/>
      <c r="ED228" s="308"/>
      <c r="EE228" s="308"/>
      <c r="EF228" s="308"/>
      <c r="EG228" s="41"/>
      <c r="EH228" s="41"/>
      <c r="EI228" s="41"/>
      <c r="EJ228" s="69"/>
      <c r="EK228" s="308"/>
      <c r="EL228" s="308"/>
      <c r="EM228" s="308"/>
      <c r="EN228" s="308"/>
      <c r="EO228" s="41">
        <v>4</v>
      </c>
      <c r="EP228" s="41">
        <v>1</v>
      </c>
      <c r="EQ228" s="41">
        <v>1</v>
      </c>
      <c r="ER228" s="256">
        <v>15000</v>
      </c>
      <c r="ES228" s="293"/>
      <c r="ET228" s="293"/>
      <c r="EU228" s="293"/>
      <c r="EV228" s="293"/>
      <c r="EW228" s="41"/>
      <c r="EX228" s="41"/>
      <c r="EY228" s="41"/>
      <c r="EZ228" s="256"/>
      <c r="FA228" s="308"/>
      <c r="FB228" s="308"/>
      <c r="FC228" s="308"/>
      <c r="FD228" s="308"/>
      <c r="FE228" s="46"/>
      <c r="FF228" s="41"/>
      <c r="FG228" s="41"/>
      <c r="FH228" s="256"/>
      <c r="FI228" s="60"/>
      <c r="FJ228" s="41"/>
      <c r="FK228" s="41"/>
      <c r="FL228" s="276"/>
    </row>
    <row r="229" spans="1:168" ht="30">
      <c r="A229" s="45">
        <v>222</v>
      </c>
      <c r="B229" s="45" t="s">
        <v>210</v>
      </c>
      <c r="C229" s="45">
        <v>4</v>
      </c>
      <c r="D229" s="29" t="s">
        <v>143</v>
      </c>
      <c r="E229" s="30">
        <v>4</v>
      </c>
      <c r="F229" s="30">
        <v>2</v>
      </c>
      <c r="G229" s="246">
        <f>445013.856/1000</f>
        <v>445.01385600000003</v>
      </c>
      <c r="H229" s="45">
        <v>445013.85600000003</v>
      </c>
      <c r="I229" s="45">
        <v>0</v>
      </c>
      <c r="J229" s="397">
        <v>709.29363000000012</v>
      </c>
      <c r="K229" s="495">
        <f t="shared" si="22"/>
        <v>1154.3074860000002</v>
      </c>
      <c r="L229" s="578"/>
      <c r="M229" s="45">
        <f t="shared" si="23"/>
        <v>0</v>
      </c>
      <c r="N229" s="46">
        <f t="shared" si="20"/>
        <v>1154.3074860000002</v>
      </c>
      <c r="O229" s="46">
        <f t="shared" si="26"/>
        <v>872</v>
      </c>
      <c r="P229" s="234"/>
      <c r="Q229" s="46"/>
      <c r="R229" s="450"/>
      <c r="S229" s="257"/>
      <c r="T229" s="46"/>
      <c r="U229" s="46"/>
      <c r="V229" s="46"/>
      <c r="W229" s="46"/>
      <c r="X229" s="196"/>
      <c r="Y229" s="46"/>
      <c r="Z229" s="46"/>
      <c r="AA229" s="46"/>
      <c r="AB229" s="46"/>
      <c r="AC229" s="46"/>
      <c r="AD229" s="46"/>
      <c r="AE229" s="46"/>
      <c r="AF229" s="196"/>
      <c r="AG229" s="46"/>
      <c r="AH229" s="46"/>
      <c r="AI229" s="46"/>
      <c r="AJ229" s="46"/>
      <c r="AK229" s="46"/>
      <c r="AL229" s="46"/>
      <c r="AM229" s="46"/>
      <c r="AN229" s="196"/>
      <c r="AO229" s="438"/>
      <c r="AP229" s="46"/>
      <c r="AQ229" s="368"/>
      <c r="AR229" s="257"/>
      <c r="AS229" s="196"/>
      <c r="AT229" s="46"/>
      <c r="AU229" s="167"/>
      <c r="AV229" s="196"/>
      <c r="AW229" s="257"/>
      <c r="AX229" s="196"/>
      <c r="AY229" s="191"/>
      <c r="AZ229" s="257"/>
      <c r="BA229" s="196"/>
      <c r="BB229" s="46"/>
      <c r="BC229" s="257"/>
      <c r="BD229" s="196"/>
      <c r="BE229" s="191"/>
      <c r="BF229" s="46"/>
      <c r="BG229" s="196"/>
      <c r="BH229" s="46"/>
      <c r="BI229" s="257"/>
      <c r="BJ229" s="196" t="s">
        <v>247</v>
      </c>
      <c r="BK229" s="190">
        <v>212</v>
      </c>
      <c r="BL229" s="257">
        <f>BK229*3500</f>
        <v>742000</v>
      </c>
      <c r="BM229" s="196"/>
      <c r="BN229" s="46"/>
      <c r="BO229" s="257"/>
      <c r="BP229" s="196"/>
      <c r="BQ229" s="190"/>
      <c r="BR229" s="46"/>
      <c r="BS229" s="196"/>
      <c r="BT229" s="46"/>
      <c r="BU229" s="257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196"/>
      <c r="CI229" s="46"/>
      <c r="CJ229" s="46"/>
      <c r="CK229" s="46"/>
      <c r="CL229" s="46"/>
      <c r="CM229" s="46"/>
      <c r="CN229" s="196"/>
      <c r="CO229" s="191"/>
      <c r="CP229" s="257"/>
      <c r="CQ229" s="196"/>
      <c r="CR229" s="167"/>
      <c r="CS229" s="257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191"/>
      <c r="DN229" s="46"/>
      <c r="DO229" s="196"/>
      <c r="DP229" s="221" t="s">
        <v>939</v>
      </c>
      <c r="DQ229" s="257">
        <f>DW229+EC229+EJ229+ER229+EZ229+FH229+40*2500+30000</f>
        <v>130000</v>
      </c>
      <c r="DR229" s="294"/>
      <c r="DS229" s="295"/>
      <c r="DT229" s="386">
        <f t="shared" si="24"/>
        <v>0</v>
      </c>
      <c r="DU229" s="41"/>
      <c r="DV229" s="41"/>
      <c r="DW229" s="256"/>
      <c r="DX229" s="41"/>
      <c r="DY229" s="41"/>
      <c r="DZ229" s="68"/>
      <c r="EA229" s="41"/>
      <c r="EB229" s="41"/>
      <c r="EC229" s="256"/>
      <c r="ED229" s="308"/>
      <c r="EE229" s="308"/>
      <c r="EF229" s="308"/>
      <c r="EG229" s="41"/>
      <c r="EH229" s="41"/>
      <c r="EI229" s="41"/>
      <c r="EJ229" s="69"/>
      <c r="EK229" s="308"/>
      <c r="EL229" s="308"/>
      <c r="EM229" s="308"/>
      <c r="EN229" s="308"/>
      <c r="EO229" s="41"/>
      <c r="EP229" s="41"/>
      <c r="EQ229" s="41"/>
      <c r="ER229" s="256"/>
      <c r="ES229" s="293"/>
      <c r="ET229" s="293"/>
      <c r="EU229" s="293"/>
      <c r="EV229" s="293"/>
      <c r="EW229" s="41"/>
      <c r="EX229" s="41"/>
      <c r="EY229" s="41"/>
      <c r="EZ229" s="256"/>
      <c r="FA229" s="308"/>
      <c r="FB229" s="308"/>
      <c r="FC229" s="308"/>
      <c r="FD229" s="308"/>
      <c r="FE229" s="46"/>
      <c r="FF229" s="41"/>
      <c r="FG229" s="41"/>
      <c r="FH229" s="256"/>
      <c r="FI229" s="60"/>
      <c r="FJ229" s="41"/>
      <c r="FK229" s="41"/>
      <c r="FL229" s="276"/>
    </row>
    <row r="230" spans="1:168" ht="23.25">
      <c r="A230" s="45">
        <v>223</v>
      </c>
      <c r="B230" s="45" t="s">
        <v>210</v>
      </c>
      <c r="C230" s="45">
        <v>4</v>
      </c>
      <c r="D230" s="29" t="s">
        <v>143</v>
      </c>
      <c r="E230" s="30">
        <v>8</v>
      </c>
      <c r="F230" s="30">
        <v>2</v>
      </c>
      <c r="G230" s="246">
        <f>898142.592/1000</f>
        <v>898.14259199999992</v>
      </c>
      <c r="H230" s="45">
        <v>898142.59199999983</v>
      </c>
      <c r="I230" s="45">
        <v>0</v>
      </c>
      <c r="J230" s="397">
        <v>1061.0705400000002</v>
      </c>
      <c r="K230" s="495">
        <f t="shared" si="22"/>
        <v>1959.2131320000001</v>
      </c>
      <c r="L230" s="578"/>
      <c r="M230" s="45">
        <f t="shared" si="23"/>
        <v>0</v>
      </c>
      <c r="N230" s="46">
        <f t="shared" si="20"/>
        <v>1959.2131320000001</v>
      </c>
      <c r="O230" s="46">
        <f t="shared" si="26"/>
        <v>1944</v>
      </c>
      <c r="P230" s="234"/>
      <c r="Q230" s="46"/>
      <c r="R230" s="450"/>
      <c r="S230" s="257"/>
      <c r="T230" s="46"/>
      <c r="U230" s="46"/>
      <c r="V230" s="46"/>
      <c r="W230" s="46"/>
      <c r="X230" s="196"/>
      <c r="Y230" s="46"/>
      <c r="Z230" s="46"/>
      <c r="AA230" s="46"/>
      <c r="AB230" s="46"/>
      <c r="AC230" s="46"/>
      <c r="AD230" s="46"/>
      <c r="AE230" s="46"/>
      <c r="AF230" s="196"/>
      <c r="AG230" s="46"/>
      <c r="AH230" s="46"/>
      <c r="AI230" s="46"/>
      <c r="AJ230" s="46"/>
      <c r="AK230" s="46"/>
      <c r="AL230" s="46"/>
      <c r="AM230" s="46"/>
      <c r="AN230" s="196"/>
      <c r="AO230" s="438"/>
      <c r="AP230" s="46"/>
      <c r="AQ230" s="368"/>
      <c r="AR230" s="257"/>
      <c r="AS230" s="196"/>
      <c r="AT230" s="46"/>
      <c r="AU230" s="167"/>
      <c r="AV230" s="218"/>
      <c r="AW230" s="257"/>
      <c r="AX230" s="196"/>
      <c r="AY230" s="191"/>
      <c r="AZ230" s="257"/>
      <c r="BA230" s="196"/>
      <c r="BB230" s="46"/>
      <c r="BC230" s="257"/>
      <c r="BD230" s="196"/>
      <c r="BE230" s="191"/>
      <c r="BF230" s="46"/>
      <c r="BG230" s="196"/>
      <c r="BH230" s="46"/>
      <c r="BI230" s="257"/>
      <c r="BJ230" s="196" t="s">
        <v>227</v>
      </c>
      <c r="BK230" s="191">
        <v>212</v>
      </c>
      <c r="BL230" s="257">
        <f>BK230*3500</f>
        <v>742000</v>
      </c>
      <c r="BM230" s="196"/>
      <c r="BN230" s="46"/>
      <c r="BO230" s="257"/>
      <c r="BP230" s="196"/>
      <c r="BQ230" s="190"/>
      <c r="BR230" s="46"/>
      <c r="BS230" s="196"/>
      <c r="BT230" s="46"/>
      <c r="BU230" s="257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196"/>
      <c r="CI230" s="46"/>
      <c r="CJ230" s="46"/>
      <c r="CK230" s="46"/>
      <c r="CL230" s="46"/>
      <c r="CM230" s="46"/>
      <c r="CN230" s="196" t="s">
        <v>572</v>
      </c>
      <c r="CO230" s="190" t="s">
        <v>940</v>
      </c>
      <c r="CP230" s="257">
        <f>250000*4</f>
        <v>1000000</v>
      </c>
      <c r="CQ230" s="196"/>
      <c r="CR230" s="190"/>
      <c r="CS230" s="257"/>
      <c r="CT230" s="46"/>
      <c r="CU230" s="46"/>
      <c r="CV230" s="46"/>
      <c r="CW230" s="46"/>
      <c r="CX230" s="46"/>
      <c r="CY230" s="46"/>
      <c r="CZ230" s="46">
        <v>5</v>
      </c>
      <c r="DA230" s="46">
        <v>90</v>
      </c>
      <c r="DB230" s="46">
        <f>DA230*1800</f>
        <v>162000</v>
      </c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191"/>
      <c r="DN230" s="46"/>
      <c r="DO230" s="218"/>
      <c r="DP230" s="221" t="s">
        <v>740</v>
      </c>
      <c r="DQ230" s="257">
        <f t="shared" si="25"/>
        <v>40000</v>
      </c>
      <c r="DR230" s="296"/>
      <c r="DS230" s="295"/>
      <c r="DT230" s="386">
        <f t="shared" si="24"/>
        <v>0</v>
      </c>
      <c r="DU230" s="41"/>
      <c r="DV230" s="41"/>
      <c r="DW230" s="256"/>
      <c r="DX230" s="41"/>
      <c r="DY230" s="41"/>
      <c r="DZ230" s="68"/>
      <c r="EA230" s="41"/>
      <c r="EB230" s="41"/>
      <c r="EC230" s="256"/>
      <c r="ED230" s="308"/>
      <c r="EE230" s="308"/>
      <c r="EF230" s="308"/>
      <c r="EG230" s="41">
        <v>9</v>
      </c>
      <c r="EH230" s="41">
        <v>2</v>
      </c>
      <c r="EI230" s="41">
        <v>1.2</v>
      </c>
      <c r="EJ230" s="69">
        <f>2*20000</f>
        <v>40000</v>
      </c>
      <c r="EK230" s="308"/>
      <c r="EL230" s="308"/>
      <c r="EM230" s="308"/>
      <c r="EN230" s="308"/>
      <c r="EO230" s="41"/>
      <c r="EP230" s="41"/>
      <c r="EQ230" s="41"/>
      <c r="ER230" s="256"/>
      <c r="ES230" s="293"/>
      <c r="ET230" s="293"/>
      <c r="EU230" s="293"/>
      <c r="EV230" s="293"/>
      <c r="EW230" s="41"/>
      <c r="EX230" s="41"/>
      <c r="EY230" s="41"/>
      <c r="EZ230" s="256"/>
      <c r="FA230" s="308"/>
      <c r="FB230" s="308"/>
      <c r="FC230" s="308"/>
      <c r="FD230" s="308"/>
      <c r="FE230" s="46"/>
      <c r="FF230" s="41"/>
      <c r="FG230" s="41"/>
      <c r="FH230" s="256"/>
      <c r="FI230" s="41"/>
      <c r="FJ230" s="41"/>
      <c r="FK230" s="41"/>
      <c r="FL230" s="276"/>
    </row>
    <row r="231" spans="1:168" ht="34.5">
      <c r="A231" s="45">
        <v>224</v>
      </c>
      <c r="B231" s="45" t="s">
        <v>210</v>
      </c>
      <c r="C231" s="45">
        <v>4</v>
      </c>
      <c r="D231" s="29" t="s">
        <v>143</v>
      </c>
      <c r="E231" s="30" t="s">
        <v>144</v>
      </c>
      <c r="F231" s="30">
        <v>2</v>
      </c>
      <c r="G231" s="246">
        <f>320969.184/1000</f>
        <v>320.96918399999998</v>
      </c>
      <c r="H231" s="45">
        <v>320969.18400000007</v>
      </c>
      <c r="I231" s="45">
        <v>0</v>
      </c>
      <c r="J231" s="397">
        <v>453.92330000000004</v>
      </c>
      <c r="K231" s="495">
        <f t="shared" si="22"/>
        <v>774.89248399999997</v>
      </c>
      <c r="L231" s="578"/>
      <c r="M231" s="45">
        <f t="shared" si="23"/>
        <v>1.09978</v>
      </c>
      <c r="N231" s="46">
        <f t="shared" si="20"/>
        <v>773.79270399999996</v>
      </c>
      <c r="O231" s="46">
        <f t="shared" si="26"/>
        <v>560</v>
      </c>
      <c r="P231" s="234" t="s">
        <v>225</v>
      </c>
      <c r="Q231" s="46">
        <v>1</v>
      </c>
      <c r="R231" s="450" t="s">
        <v>887</v>
      </c>
      <c r="S231" s="257">
        <v>550000</v>
      </c>
      <c r="T231" s="46"/>
      <c r="U231" s="46"/>
      <c r="V231" s="46"/>
      <c r="W231" s="46"/>
      <c r="X231" s="196"/>
      <c r="Y231" s="46"/>
      <c r="Z231" s="46"/>
      <c r="AA231" s="46"/>
      <c r="AB231" s="46"/>
      <c r="AC231" s="46"/>
      <c r="AD231" s="46"/>
      <c r="AE231" s="46"/>
      <c r="AF231" s="196"/>
      <c r="AG231" s="46"/>
      <c r="AH231" s="46"/>
      <c r="AI231" s="46"/>
      <c r="AJ231" s="46"/>
      <c r="AK231" s="46"/>
      <c r="AL231" s="46"/>
      <c r="AM231" s="46"/>
      <c r="AN231" s="196"/>
      <c r="AO231" s="438"/>
      <c r="AP231" s="46"/>
      <c r="AQ231" s="368"/>
      <c r="AR231" s="257"/>
      <c r="AS231" s="196"/>
      <c r="AT231" s="46"/>
      <c r="AU231" s="46"/>
      <c r="AV231" s="196"/>
      <c r="AW231" s="257"/>
      <c r="AX231" s="196"/>
      <c r="AY231" s="191"/>
      <c r="AZ231" s="257"/>
      <c r="BA231" s="196"/>
      <c r="BB231" s="46"/>
      <c r="BC231" s="257"/>
      <c r="BD231" s="196"/>
      <c r="BE231" s="191"/>
      <c r="BF231" s="46"/>
      <c r="BG231" s="196"/>
      <c r="BH231" s="167"/>
      <c r="BI231" s="257"/>
      <c r="BJ231" s="196"/>
      <c r="BK231" s="191"/>
      <c r="BL231" s="257"/>
      <c r="BM231" s="196" t="s">
        <v>523</v>
      </c>
      <c r="BN231" s="46"/>
      <c r="BO231" s="257">
        <f>1099.78</f>
        <v>1099.78</v>
      </c>
      <c r="BP231" s="196"/>
      <c r="BQ231" s="190"/>
      <c r="BR231" s="46"/>
      <c r="BS231" s="196"/>
      <c r="BT231" s="46"/>
      <c r="BU231" s="257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196"/>
      <c r="CI231" s="46"/>
      <c r="CJ231" s="46"/>
      <c r="CK231" s="46"/>
      <c r="CL231" s="46"/>
      <c r="CM231" s="46"/>
      <c r="CN231" s="196" t="s">
        <v>226</v>
      </c>
      <c r="CO231" s="191" t="s">
        <v>941</v>
      </c>
      <c r="CP231" s="257">
        <v>10000</v>
      </c>
      <c r="CQ231" s="196"/>
      <c r="CR231" s="167"/>
      <c r="CS231" s="257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191"/>
      <c r="DN231" s="46"/>
      <c r="DO231" s="218"/>
      <c r="DP231" s="221"/>
      <c r="DQ231" s="257">
        <f t="shared" si="25"/>
        <v>0</v>
      </c>
      <c r="DR231" s="296"/>
      <c r="DS231" s="295"/>
      <c r="DT231" s="386">
        <f t="shared" si="24"/>
        <v>0</v>
      </c>
      <c r="DU231" s="41"/>
      <c r="DV231" s="41"/>
      <c r="DW231" s="256"/>
      <c r="DX231" s="41"/>
      <c r="DY231" s="41"/>
      <c r="DZ231" s="68"/>
      <c r="EA231" s="41"/>
      <c r="EB231" s="41"/>
      <c r="EC231" s="256"/>
      <c r="ED231" s="308"/>
      <c r="EE231" s="308"/>
      <c r="EF231" s="308"/>
      <c r="EG231" s="41"/>
      <c r="EH231" s="41"/>
      <c r="EI231" s="41"/>
      <c r="EJ231" s="69"/>
      <c r="EK231" s="308"/>
      <c r="EL231" s="308"/>
      <c r="EM231" s="308"/>
      <c r="EN231" s="308"/>
      <c r="EO231" s="41"/>
      <c r="EP231" s="41"/>
      <c r="EQ231" s="41"/>
      <c r="ER231" s="256"/>
      <c r="ES231" s="293"/>
      <c r="ET231" s="293"/>
      <c r="EU231" s="293"/>
      <c r="EV231" s="293"/>
      <c r="EW231" s="41"/>
      <c r="EX231" s="41"/>
      <c r="EY231" s="41"/>
      <c r="EZ231" s="256"/>
      <c r="FA231" s="308"/>
      <c r="FB231" s="308"/>
      <c r="FC231" s="308"/>
      <c r="FD231" s="308"/>
      <c r="FE231" s="46"/>
      <c r="FF231" s="41"/>
      <c r="FG231" s="41"/>
      <c r="FH231" s="256"/>
      <c r="FI231" s="41"/>
      <c r="FJ231" s="41"/>
      <c r="FK231" s="41"/>
      <c r="FL231" s="276"/>
    </row>
    <row r="232" spans="1:168">
      <c r="A232" s="45">
        <v>225</v>
      </c>
      <c r="B232" s="45" t="s">
        <v>210</v>
      </c>
      <c r="C232" s="45">
        <v>4</v>
      </c>
      <c r="D232" s="29" t="s">
        <v>143</v>
      </c>
      <c r="E232" s="175">
        <v>72</v>
      </c>
      <c r="F232" s="188">
        <v>7</v>
      </c>
      <c r="G232" s="246">
        <f>44467.416/1000</f>
        <v>44.467416</v>
      </c>
      <c r="H232" s="45">
        <v>0</v>
      </c>
      <c r="I232" s="45">
        <v>44467.416000000005</v>
      </c>
      <c r="J232" s="397">
        <v>143.07966999999999</v>
      </c>
      <c r="K232" s="495">
        <f t="shared" si="22"/>
        <v>187.54708599999998</v>
      </c>
      <c r="L232" s="578"/>
      <c r="M232" s="45">
        <f t="shared" si="23"/>
        <v>0</v>
      </c>
      <c r="N232" s="46">
        <f>K232-M232</f>
        <v>187.54708599999998</v>
      </c>
      <c r="O232" s="46">
        <f t="shared" si="26"/>
        <v>187</v>
      </c>
      <c r="P232" s="234"/>
      <c r="Q232" s="46"/>
      <c r="R232" s="450"/>
      <c r="S232" s="257"/>
      <c r="T232" s="46"/>
      <c r="U232" s="46"/>
      <c r="V232" s="46"/>
      <c r="W232" s="46"/>
      <c r="X232" s="196"/>
      <c r="Y232" s="46"/>
      <c r="Z232" s="46"/>
      <c r="AA232" s="46"/>
      <c r="AB232" s="46"/>
      <c r="AC232" s="46"/>
      <c r="AD232" s="46"/>
      <c r="AE232" s="46"/>
      <c r="AF232" s="196"/>
      <c r="AG232" s="46"/>
      <c r="AH232" s="46"/>
      <c r="AI232" s="46"/>
      <c r="AJ232" s="46"/>
      <c r="AK232" s="46"/>
      <c r="AL232" s="46"/>
      <c r="AM232" s="46"/>
      <c r="AN232" s="196"/>
      <c r="AO232" s="438"/>
      <c r="AP232" s="46"/>
      <c r="AQ232" s="368"/>
      <c r="AR232" s="257"/>
      <c r="AS232" s="196"/>
      <c r="AT232" s="46"/>
      <c r="AU232" s="46"/>
      <c r="AV232" s="196"/>
      <c r="AW232" s="257"/>
      <c r="AX232" s="196"/>
      <c r="AY232" s="191"/>
      <c r="AZ232" s="257"/>
      <c r="BA232" s="196"/>
      <c r="BB232" s="46"/>
      <c r="BC232" s="257"/>
      <c r="BD232" s="196"/>
      <c r="BE232" s="191"/>
      <c r="BF232" s="46"/>
      <c r="BG232" s="196"/>
      <c r="BH232" s="46"/>
      <c r="BI232" s="257"/>
      <c r="BJ232" s="196"/>
      <c r="BK232" s="191"/>
      <c r="BL232" s="257"/>
      <c r="BM232" s="196"/>
      <c r="BN232" s="46"/>
      <c r="BO232" s="257"/>
      <c r="BP232" s="196"/>
      <c r="BQ232" s="190"/>
      <c r="BR232" s="46"/>
      <c r="BS232" s="196"/>
      <c r="BT232" s="46"/>
      <c r="BU232" s="257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196"/>
      <c r="CI232" s="46"/>
      <c r="CJ232" s="46"/>
      <c r="CK232" s="46"/>
      <c r="CL232" s="46"/>
      <c r="CM232" s="46"/>
      <c r="CN232" s="196"/>
      <c r="CO232" s="191"/>
      <c r="CP232" s="257"/>
      <c r="CQ232" s="196"/>
      <c r="CR232" s="167"/>
      <c r="CS232" s="257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191"/>
      <c r="DN232" s="46"/>
      <c r="DO232" s="196"/>
      <c r="DP232" s="221" t="s">
        <v>531</v>
      </c>
      <c r="DQ232" s="257">
        <f>DW232+EC232+EJ232+ER232+EZ232+FH232+187000</f>
        <v>187000</v>
      </c>
      <c r="DR232" s="294"/>
      <c r="DS232" s="295"/>
      <c r="DT232" s="386">
        <f t="shared" si="24"/>
        <v>0</v>
      </c>
      <c r="DU232" s="41"/>
      <c r="DV232" s="41"/>
      <c r="DW232" s="256"/>
      <c r="DX232" s="41"/>
      <c r="DY232" s="41"/>
      <c r="DZ232" s="68"/>
      <c r="EA232" s="41"/>
      <c r="EB232" s="41"/>
      <c r="EC232" s="256"/>
      <c r="ED232" s="308"/>
      <c r="EE232" s="308"/>
      <c r="EF232" s="308"/>
      <c r="EG232" s="41"/>
      <c r="EH232" s="41"/>
      <c r="EI232" s="41"/>
      <c r="EJ232" s="69"/>
      <c r="EK232" s="308"/>
      <c r="EL232" s="308"/>
      <c r="EM232" s="308"/>
      <c r="EN232" s="308"/>
      <c r="EO232" s="41"/>
      <c r="EP232" s="41"/>
      <c r="EQ232" s="41"/>
      <c r="ER232" s="256"/>
      <c r="ES232" s="293"/>
      <c r="ET232" s="293"/>
      <c r="EU232" s="293"/>
      <c r="EV232" s="293"/>
      <c r="EW232" s="41"/>
      <c r="EX232" s="41"/>
      <c r="EY232" s="41"/>
      <c r="EZ232" s="256"/>
      <c r="FA232" s="308"/>
      <c r="FB232" s="308"/>
      <c r="FC232" s="308"/>
      <c r="FD232" s="308"/>
      <c r="FE232" s="41"/>
      <c r="FF232" s="41"/>
      <c r="FG232" s="41"/>
      <c r="FH232" s="256"/>
      <c r="FI232" s="41"/>
      <c r="FJ232" s="41"/>
      <c r="FK232" s="41"/>
      <c r="FL232" s="276"/>
    </row>
    <row r="233" spans="1:168" s="28" customFormat="1">
      <c r="A233" s="45">
        <v>226</v>
      </c>
      <c r="B233" s="45" t="s">
        <v>210</v>
      </c>
      <c r="C233" s="45">
        <v>4</v>
      </c>
      <c r="D233" s="29" t="s">
        <v>143</v>
      </c>
      <c r="E233" s="30">
        <v>74</v>
      </c>
      <c r="F233" s="30">
        <v>7</v>
      </c>
      <c r="G233" s="246">
        <f>44488.332/1000</f>
        <v>44.488332</v>
      </c>
      <c r="H233" s="45">
        <v>0</v>
      </c>
      <c r="I233" s="45">
        <v>44488.331999999995</v>
      </c>
      <c r="J233" s="397">
        <v>44.22346000000001</v>
      </c>
      <c r="K233" s="495">
        <f t="shared" si="22"/>
        <v>88.711792000000003</v>
      </c>
      <c r="L233" s="578"/>
      <c r="M233" s="45">
        <f t="shared" si="23"/>
        <v>0</v>
      </c>
      <c r="N233" s="46">
        <f t="shared" si="20"/>
        <v>88.711792000000003</v>
      </c>
      <c r="O233" s="46">
        <f t="shared" si="26"/>
        <v>88</v>
      </c>
      <c r="P233" s="234"/>
      <c r="Q233" s="46"/>
      <c r="R233" s="450"/>
      <c r="S233" s="257"/>
      <c r="T233" s="46"/>
      <c r="U233" s="46"/>
      <c r="V233" s="46"/>
      <c r="W233" s="46"/>
      <c r="X233" s="196"/>
      <c r="Y233" s="46"/>
      <c r="Z233" s="46"/>
      <c r="AA233" s="46"/>
      <c r="AB233" s="46"/>
      <c r="AC233" s="46"/>
      <c r="AD233" s="46"/>
      <c r="AE233" s="46"/>
      <c r="AF233" s="196"/>
      <c r="AG233" s="46"/>
      <c r="AH233" s="46"/>
      <c r="AI233" s="46"/>
      <c r="AJ233" s="46"/>
      <c r="AK233" s="46"/>
      <c r="AL233" s="46"/>
      <c r="AM233" s="46"/>
      <c r="AN233" s="196"/>
      <c r="AO233" s="438"/>
      <c r="AP233" s="46"/>
      <c r="AQ233" s="368"/>
      <c r="AR233" s="257"/>
      <c r="AS233" s="196"/>
      <c r="AT233" s="46"/>
      <c r="AU233" s="46"/>
      <c r="AV233" s="196"/>
      <c r="AW233" s="257"/>
      <c r="AX233" s="196"/>
      <c r="AY233" s="191"/>
      <c r="AZ233" s="257"/>
      <c r="BA233" s="196"/>
      <c r="BB233" s="46"/>
      <c r="BC233" s="257"/>
      <c r="BD233" s="196"/>
      <c r="BE233" s="191"/>
      <c r="BF233" s="46"/>
      <c r="BG233" s="196"/>
      <c r="BH233" s="46"/>
      <c r="BI233" s="257"/>
      <c r="BJ233" s="196"/>
      <c r="BK233" s="191"/>
      <c r="BL233" s="257"/>
      <c r="BM233" s="196"/>
      <c r="BN233" s="46"/>
      <c r="BO233" s="257"/>
      <c r="BP233" s="196"/>
      <c r="BQ233" s="190"/>
      <c r="BR233" s="46"/>
      <c r="BS233" s="196"/>
      <c r="BT233" s="46"/>
      <c r="BU233" s="257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196"/>
      <c r="CI233" s="46"/>
      <c r="CJ233" s="46"/>
      <c r="CK233" s="46"/>
      <c r="CL233" s="46"/>
      <c r="CM233" s="46"/>
      <c r="CN233" s="196"/>
      <c r="CO233" s="191"/>
      <c r="CP233" s="257"/>
      <c r="CQ233" s="196"/>
      <c r="CR233" s="167"/>
      <c r="CS233" s="257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191"/>
      <c r="DN233" s="46"/>
      <c r="DO233" s="196"/>
      <c r="DP233" s="221" t="s">
        <v>531</v>
      </c>
      <c r="DQ233" s="257">
        <f>DW233+EC233+EJ233+ER233+EZ233+FH233+88000</f>
        <v>88000</v>
      </c>
      <c r="DR233" s="294"/>
      <c r="DS233" s="295"/>
      <c r="DT233" s="386">
        <f t="shared" si="24"/>
        <v>0</v>
      </c>
      <c r="DU233" s="46"/>
      <c r="DV233" s="46"/>
      <c r="DW233" s="257"/>
      <c r="DX233" s="46"/>
      <c r="DY233" s="46"/>
      <c r="DZ233" s="46"/>
      <c r="EA233" s="46"/>
      <c r="EB233" s="46"/>
      <c r="EC233" s="257"/>
      <c r="ED233" s="308"/>
      <c r="EE233" s="308"/>
      <c r="EF233" s="308"/>
      <c r="EG233" s="46"/>
      <c r="EH233" s="46"/>
      <c r="EI233" s="46"/>
      <c r="EJ233" s="46"/>
      <c r="EK233" s="308"/>
      <c r="EL233" s="308"/>
      <c r="EM233" s="308"/>
      <c r="EN233" s="308"/>
      <c r="EO233" s="46"/>
      <c r="EP233" s="46"/>
      <c r="EQ233" s="46"/>
      <c r="ER233" s="257"/>
      <c r="ES233" s="293"/>
      <c r="ET233" s="293"/>
      <c r="EU233" s="293"/>
      <c r="EV233" s="293"/>
      <c r="EW233" s="46"/>
      <c r="EX233" s="46"/>
      <c r="EY233" s="46"/>
      <c r="EZ233" s="257"/>
      <c r="FA233" s="308"/>
      <c r="FB233" s="308"/>
      <c r="FC233" s="308"/>
      <c r="FD233" s="308"/>
      <c r="FE233" s="46"/>
      <c r="FF233" s="46"/>
      <c r="FG233" s="46"/>
      <c r="FH233" s="257"/>
      <c r="FI233" s="46"/>
      <c r="FJ233" s="46"/>
      <c r="FK233" s="46"/>
      <c r="FL233" s="257"/>
    </row>
    <row r="234" spans="1:168" ht="23.25">
      <c r="A234" s="45">
        <v>227</v>
      </c>
      <c r="B234" s="45" t="s">
        <v>210</v>
      </c>
      <c r="C234" s="45">
        <v>4</v>
      </c>
      <c r="D234" s="29" t="s">
        <v>507</v>
      </c>
      <c r="E234" s="175">
        <v>78</v>
      </c>
      <c r="F234" s="188">
        <v>7</v>
      </c>
      <c r="G234" s="246">
        <f>45094.896/1000</f>
        <v>45.094895999999999</v>
      </c>
      <c r="H234" s="45">
        <v>0</v>
      </c>
      <c r="I234" s="45">
        <v>45094.896000000001</v>
      </c>
      <c r="J234" s="397">
        <v>147.43222999999998</v>
      </c>
      <c r="K234" s="495">
        <f t="shared" si="22"/>
        <v>192.52712599999998</v>
      </c>
      <c r="L234" s="578"/>
      <c r="M234" s="45">
        <f t="shared" si="23"/>
        <v>0</v>
      </c>
      <c r="N234" s="46">
        <f>K234-M234</f>
        <v>192.52712599999998</v>
      </c>
      <c r="O234" s="46">
        <f t="shared" si="26"/>
        <v>45</v>
      </c>
      <c r="P234" s="234"/>
      <c r="Q234" s="46"/>
      <c r="R234" s="450"/>
      <c r="S234" s="257"/>
      <c r="T234" s="46"/>
      <c r="U234" s="46"/>
      <c r="V234" s="46"/>
      <c r="W234" s="46"/>
      <c r="X234" s="196"/>
      <c r="Y234" s="46"/>
      <c r="Z234" s="46"/>
      <c r="AA234" s="46"/>
      <c r="AB234" s="46"/>
      <c r="AC234" s="46"/>
      <c r="AD234" s="46"/>
      <c r="AE234" s="46"/>
      <c r="AF234" s="196"/>
      <c r="AG234" s="46"/>
      <c r="AH234" s="46"/>
      <c r="AI234" s="46"/>
      <c r="AJ234" s="46"/>
      <c r="AK234" s="46"/>
      <c r="AL234" s="46"/>
      <c r="AM234" s="46"/>
      <c r="AN234" s="196"/>
      <c r="AO234" s="438"/>
      <c r="AP234" s="46"/>
      <c r="AQ234" s="368"/>
      <c r="AR234" s="257"/>
      <c r="AS234" s="196"/>
      <c r="AT234" s="46"/>
      <c r="AU234" s="46"/>
      <c r="AV234" s="196"/>
      <c r="AW234" s="257"/>
      <c r="AX234" s="196"/>
      <c r="AY234" s="191"/>
      <c r="AZ234" s="257"/>
      <c r="BA234" s="196"/>
      <c r="BB234" s="46"/>
      <c r="BC234" s="257"/>
      <c r="BD234" s="196"/>
      <c r="BE234" s="191"/>
      <c r="BF234" s="46"/>
      <c r="BG234" s="196"/>
      <c r="BH234" s="46"/>
      <c r="BI234" s="257"/>
      <c r="BJ234" s="196" t="s">
        <v>226</v>
      </c>
      <c r="BK234" s="190" t="s">
        <v>942</v>
      </c>
      <c r="BL234" s="257">
        <f>10*2500+40*500</f>
        <v>45000</v>
      </c>
      <c r="BM234" s="196"/>
      <c r="BN234" s="46"/>
      <c r="BO234" s="257"/>
      <c r="BP234" s="196"/>
      <c r="BQ234" s="190"/>
      <c r="BR234" s="46"/>
      <c r="BS234" s="196"/>
      <c r="BT234" s="46"/>
      <c r="BU234" s="257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196"/>
      <c r="CI234" s="46"/>
      <c r="CJ234" s="46"/>
      <c r="CK234" s="46"/>
      <c r="CL234" s="46"/>
      <c r="CM234" s="46"/>
      <c r="CN234" s="196"/>
      <c r="CO234" s="191"/>
      <c r="CP234" s="257"/>
      <c r="CQ234" s="196"/>
      <c r="CR234" s="167"/>
      <c r="CS234" s="257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191"/>
      <c r="DN234" s="46"/>
      <c r="DO234" s="196"/>
      <c r="DP234" s="221"/>
      <c r="DQ234" s="257">
        <f t="shared" si="25"/>
        <v>0</v>
      </c>
      <c r="DR234" s="294"/>
      <c r="DS234" s="295"/>
      <c r="DT234" s="386">
        <f t="shared" si="24"/>
        <v>0</v>
      </c>
      <c r="DU234" s="41"/>
      <c r="DV234" s="41"/>
      <c r="DW234" s="256"/>
      <c r="DX234" s="41"/>
      <c r="DY234" s="41"/>
      <c r="DZ234" s="68"/>
      <c r="EA234" s="41"/>
      <c r="EB234" s="41"/>
      <c r="EC234" s="256"/>
      <c r="ED234" s="308"/>
      <c r="EE234" s="308"/>
      <c r="EF234" s="308"/>
      <c r="EG234" s="41"/>
      <c r="EH234" s="41"/>
      <c r="EI234" s="41"/>
      <c r="EJ234" s="69"/>
      <c r="EK234" s="308"/>
      <c r="EL234" s="308"/>
      <c r="EM234" s="308"/>
      <c r="EN234" s="308"/>
      <c r="EO234" s="41"/>
      <c r="EP234" s="41"/>
      <c r="EQ234" s="41"/>
      <c r="ER234" s="256"/>
      <c r="ES234" s="293"/>
      <c r="ET234" s="293"/>
      <c r="EU234" s="293"/>
      <c r="EV234" s="293"/>
      <c r="EW234" s="41"/>
      <c r="EX234" s="41"/>
      <c r="EY234" s="41"/>
      <c r="EZ234" s="256"/>
      <c r="FA234" s="308"/>
      <c r="FB234" s="308"/>
      <c r="FC234" s="308"/>
      <c r="FD234" s="308"/>
      <c r="FE234" s="41"/>
      <c r="FF234" s="41"/>
      <c r="FG234" s="41"/>
      <c r="FH234" s="256"/>
      <c r="FI234" s="41"/>
      <c r="FJ234" s="41"/>
      <c r="FK234" s="41"/>
      <c r="FL234" s="276"/>
    </row>
    <row r="235" spans="1:168">
      <c r="A235" s="45">
        <v>228</v>
      </c>
      <c r="B235" s="45" t="s">
        <v>210</v>
      </c>
      <c r="C235" s="45">
        <v>4</v>
      </c>
      <c r="D235" s="29" t="s">
        <v>507</v>
      </c>
      <c r="E235" s="175">
        <v>80</v>
      </c>
      <c r="F235" s="188">
        <v>7</v>
      </c>
      <c r="G235" s="246">
        <f>45366.804/1000</f>
        <v>45.366803999999995</v>
      </c>
      <c r="H235" s="45">
        <v>0</v>
      </c>
      <c r="I235" s="45">
        <v>45366.804000000004</v>
      </c>
      <c r="J235" s="397">
        <v>82.527259999999998</v>
      </c>
      <c r="K235" s="495">
        <f t="shared" si="22"/>
        <v>127.89406399999999</v>
      </c>
      <c r="L235" s="578"/>
      <c r="M235" s="45">
        <f t="shared" si="23"/>
        <v>0</v>
      </c>
      <c r="N235" s="46">
        <f>K235-M235</f>
        <v>127.89406399999999</v>
      </c>
      <c r="O235" s="46">
        <f t="shared" si="26"/>
        <v>80</v>
      </c>
      <c r="P235" s="234"/>
      <c r="Q235" s="46"/>
      <c r="R235" s="450"/>
      <c r="S235" s="257"/>
      <c r="T235" s="46"/>
      <c r="U235" s="46"/>
      <c r="V235" s="46"/>
      <c r="W235" s="46"/>
      <c r="X235" s="196"/>
      <c r="Y235" s="46"/>
      <c r="Z235" s="46"/>
      <c r="AA235" s="46"/>
      <c r="AB235" s="46"/>
      <c r="AC235" s="46"/>
      <c r="AD235" s="46"/>
      <c r="AE235" s="46"/>
      <c r="AF235" s="196"/>
      <c r="AG235" s="46"/>
      <c r="AH235" s="46"/>
      <c r="AI235" s="46"/>
      <c r="AJ235" s="46"/>
      <c r="AK235" s="46"/>
      <c r="AL235" s="46"/>
      <c r="AM235" s="46"/>
      <c r="AN235" s="196"/>
      <c r="AO235" s="438"/>
      <c r="AP235" s="46"/>
      <c r="AQ235" s="368"/>
      <c r="AR235" s="257"/>
      <c r="AS235" s="196"/>
      <c r="AT235" s="46"/>
      <c r="AU235" s="46"/>
      <c r="AV235" s="196"/>
      <c r="AW235" s="257"/>
      <c r="AX235" s="196"/>
      <c r="AY235" s="191"/>
      <c r="AZ235" s="257"/>
      <c r="BA235" s="196"/>
      <c r="BB235" s="46"/>
      <c r="BC235" s="257"/>
      <c r="BD235" s="196"/>
      <c r="BE235" s="191"/>
      <c r="BF235" s="46"/>
      <c r="BG235" s="196"/>
      <c r="BH235" s="46"/>
      <c r="BI235" s="257"/>
      <c r="BJ235" s="196"/>
      <c r="BK235" s="191"/>
      <c r="BL235" s="257"/>
      <c r="BM235" s="196"/>
      <c r="BN235" s="46"/>
      <c r="BO235" s="257"/>
      <c r="BP235" s="196"/>
      <c r="BQ235" s="190"/>
      <c r="BR235" s="46"/>
      <c r="BS235" s="196"/>
      <c r="BT235" s="46"/>
      <c r="BU235" s="257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196"/>
      <c r="CI235" s="46"/>
      <c r="CJ235" s="46"/>
      <c r="CK235" s="46"/>
      <c r="CL235" s="46"/>
      <c r="CM235" s="46"/>
      <c r="CN235" s="196"/>
      <c r="CO235" s="191"/>
      <c r="CP235" s="257"/>
      <c r="CQ235" s="196"/>
      <c r="CR235" s="167"/>
      <c r="CS235" s="257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191"/>
      <c r="DN235" s="46"/>
      <c r="DO235" s="196"/>
      <c r="DP235" s="221" t="s">
        <v>531</v>
      </c>
      <c r="DQ235" s="257">
        <f>DW235+EC235+EJ235+ER235+EZ235+FH235+80000</f>
        <v>80000</v>
      </c>
      <c r="DR235" s="294"/>
      <c r="DS235" s="295"/>
      <c r="DT235" s="386">
        <f t="shared" si="24"/>
        <v>0</v>
      </c>
      <c r="DU235" s="41"/>
      <c r="DV235" s="41"/>
      <c r="DW235" s="256"/>
      <c r="DX235" s="41"/>
      <c r="DY235" s="41"/>
      <c r="DZ235" s="68"/>
      <c r="EA235" s="41"/>
      <c r="EB235" s="41"/>
      <c r="EC235" s="256"/>
      <c r="ED235" s="308"/>
      <c r="EE235" s="308"/>
      <c r="EF235" s="308"/>
      <c r="EG235" s="41"/>
      <c r="EH235" s="41"/>
      <c r="EI235" s="41"/>
      <c r="EJ235" s="69"/>
      <c r="EK235" s="308"/>
      <c r="EL235" s="308"/>
      <c r="EM235" s="308"/>
      <c r="EN235" s="308"/>
      <c r="EO235" s="41"/>
      <c r="EP235" s="41"/>
      <c r="EQ235" s="41"/>
      <c r="ER235" s="256"/>
      <c r="ES235" s="293"/>
      <c r="ET235" s="293"/>
      <c r="EU235" s="293"/>
      <c r="EV235" s="293"/>
      <c r="EW235" s="41"/>
      <c r="EX235" s="41"/>
      <c r="EY235" s="41"/>
      <c r="EZ235" s="256"/>
      <c r="FA235" s="308"/>
      <c r="FB235" s="308"/>
      <c r="FC235" s="308"/>
      <c r="FD235" s="308"/>
      <c r="FE235" s="41"/>
      <c r="FF235" s="41"/>
      <c r="FG235" s="41"/>
      <c r="FH235" s="256"/>
      <c r="FI235" s="41"/>
      <c r="FJ235" s="41"/>
      <c r="FK235" s="41"/>
      <c r="FL235" s="276"/>
    </row>
    <row r="236" spans="1:168">
      <c r="A236" s="45">
        <v>229</v>
      </c>
      <c r="B236" s="45" t="s">
        <v>210</v>
      </c>
      <c r="C236" s="45">
        <v>4</v>
      </c>
      <c r="D236" s="29" t="s">
        <v>143</v>
      </c>
      <c r="E236" s="30">
        <v>87</v>
      </c>
      <c r="F236" s="30">
        <v>7</v>
      </c>
      <c r="G236" s="246">
        <f>10311.588/1000</f>
        <v>10.311588</v>
      </c>
      <c r="H236" s="45">
        <v>0</v>
      </c>
      <c r="I236" s="45">
        <v>10311.588</v>
      </c>
      <c r="J236" s="397">
        <v>49.644309999999997</v>
      </c>
      <c r="K236" s="495">
        <f t="shared" si="22"/>
        <v>59.955897999999998</v>
      </c>
      <c r="L236" s="578"/>
      <c r="M236" s="45">
        <f t="shared" si="23"/>
        <v>0</v>
      </c>
      <c r="N236" s="46">
        <f t="shared" si="20"/>
        <v>59.955897999999998</v>
      </c>
      <c r="O236" s="46">
        <f t="shared" si="26"/>
        <v>59</v>
      </c>
      <c r="P236" s="234"/>
      <c r="Q236" s="46"/>
      <c r="R236" s="450"/>
      <c r="S236" s="257"/>
      <c r="T236" s="46"/>
      <c r="U236" s="46"/>
      <c r="V236" s="46"/>
      <c r="W236" s="46"/>
      <c r="X236" s="196"/>
      <c r="Y236" s="46"/>
      <c r="Z236" s="46"/>
      <c r="AA236" s="46"/>
      <c r="AB236" s="46"/>
      <c r="AC236" s="46"/>
      <c r="AD236" s="46"/>
      <c r="AE236" s="46"/>
      <c r="AF236" s="196"/>
      <c r="AG236" s="46"/>
      <c r="AH236" s="46"/>
      <c r="AI236" s="46"/>
      <c r="AJ236" s="46"/>
      <c r="AK236" s="46"/>
      <c r="AL236" s="46"/>
      <c r="AM236" s="46"/>
      <c r="AN236" s="196"/>
      <c r="AO236" s="438"/>
      <c r="AP236" s="46"/>
      <c r="AQ236" s="368"/>
      <c r="AR236" s="257"/>
      <c r="AS236" s="196"/>
      <c r="AT236" s="46"/>
      <c r="AU236" s="46"/>
      <c r="AV236" s="196"/>
      <c r="AW236" s="257"/>
      <c r="AX236" s="196"/>
      <c r="AY236" s="191"/>
      <c r="AZ236" s="257"/>
      <c r="BA236" s="196"/>
      <c r="BB236" s="46"/>
      <c r="BC236" s="257"/>
      <c r="BD236" s="196"/>
      <c r="BE236" s="191"/>
      <c r="BF236" s="46"/>
      <c r="BG236" s="196"/>
      <c r="BH236" s="46"/>
      <c r="BI236" s="257"/>
      <c r="BJ236" s="196"/>
      <c r="BK236" s="191"/>
      <c r="BL236" s="257"/>
      <c r="BM236" s="196"/>
      <c r="BN236" s="46"/>
      <c r="BO236" s="257"/>
      <c r="BP236" s="196"/>
      <c r="BQ236" s="190"/>
      <c r="BR236" s="46"/>
      <c r="BS236" s="196"/>
      <c r="BT236" s="46"/>
      <c r="BU236" s="257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196"/>
      <c r="CI236" s="46"/>
      <c r="CJ236" s="46"/>
      <c r="CK236" s="46"/>
      <c r="CL236" s="46"/>
      <c r="CM236" s="46"/>
      <c r="CN236" s="196"/>
      <c r="CO236" s="191"/>
      <c r="CP236" s="257"/>
      <c r="CQ236" s="196"/>
      <c r="CR236" s="167"/>
      <c r="CS236" s="257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H236" s="46"/>
      <c r="DI236" s="46"/>
      <c r="DJ236" s="46"/>
      <c r="DK236" s="46"/>
      <c r="DL236" s="46"/>
      <c r="DM236" s="191"/>
      <c r="DN236" s="46"/>
      <c r="DO236" s="196"/>
      <c r="DP236" s="221" t="s">
        <v>531</v>
      </c>
      <c r="DQ236" s="257">
        <f>DW236+EC236+EJ236+ER236+EZ236+FH236+59000</f>
        <v>59000</v>
      </c>
      <c r="DR236" s="294"/>
      <c r="DS236" s="295"/>
      <c r="DT236" s="386">
        <f t="shared" si="24"/>
        <v>0</v>
      </c>
      <c r="DU236" s="41"/>
      <c r="DV236" s="41"/>
      <c r="DW236" s="256"/>
      <c r="DX236" s="41"/>
      <c r="DY236" s="41"/>
      <c r="DZ236" s="68"/>
      <c r="EA236" s="41"/>
      <c r="EB236" s="41"/>
      <c r="EC236" s="256"/>
      <c r="ED236" s="308"/>
      <c r="EE236" s="308"/>
      <c r="EF236" s="308"/>
      <c r="EG236" s="41"/>
      <c r="EH236" s="41"/>
      <c r="EI236" s="41"/>
      <c r="EJ236" s="69"/>
      <c r="EK236" s="308"/>
      <c r="EL236" s="308"/>
      <c r="EM236" s="308"/>
      <c r="EN236" s="308"/>
      <c r="EO236" s="41"/>
      <c r="EP236" s="41"/>
      <c r="EQ236" s="41"/>
      <c r="ER236" s="256"/>
      <c r="ES236" s="293"/>
      <c r="ET236" s="293"/>
      <c r="EU236" s="293"/>
      <c r="EV236" s="293"/>
      <c r="EW236" s="41"/>
      <c r="EX236" s="41"/>
      <c r="EY236" s="41"/>
      <c r="EZ236" s="256"/>
      <c r="FA236" s="308"/>
      <c r="FB236" s="308"/>
      <c r="FC236" s="308"/>
      <c r="FD236" s="308"/>
      <c r="FE236" s="41"/>
      <c r="FF236" s="41"/>
      <c r="FG236" s="41"/>
      <c r="FH236" s="256"/>
      <c r="FI236" s="41"/>
      <c r="FJ236" s="41"/>
      <c r="FK236" s="41"/>
      <c r="FL236" s="276"/>
    </row>
    <row r="237" spans="1:168">
      <c r="A237" s="45">
        <v>230</v>
      </c>
      <c r="B237" s="45" t="s">
        <v>210</v>
      </c>
      <c r="C237" s="45">
        <v>4</v>
      </c>
      <c r="D237" s="29" t="s">
        <v>507</v>
      </c>
      <c r="E237" s="175">
        <v>93</v>
      </c>
      <c r="F237" s="188">
        <v>7</v>
      </c>
      <c r="G237" s="246">
        <f>5061.672/1000</f>
        <v>5.0616719999999997</v>
      </c>
      <c r="H237" s="45">
        <v>0</v>
      </c>
      <c r="I237" s="45">
        <v>5061.6719999999996</v>
      </c>
      <c r="J237" s="397">
        <v>18.841149999999999</v>
      </c>
      <c r="K237" s="495">
        <f t="shared" si="22"/>
        <v>23.902822</v>
      </c>
      <c r="L237" s="578"/>
      <c r="M237" s="45">
        <f t="shared" si="23"/>
        <v>0</v>
      </c>
      <c r="N237" s="46">
        <f>K237-M237</f>
        <v>23.902822</v>
      </c>
      <c r="O237" s="46">
        <f t="shared" si="26"/>
        <v>23</v>
      </c>
      <c r="P237" s="234"/>
      <c r="Q237" s="46"/>
      <c r="R237" s="450"/>
      <c r="S237" s="257"/>
      <c r="T237" s="46"/>
      <c r="U237" s="46"/>
      <c r="V237" s="46"/>
      <c r="W237" s="46"/>
      <c r="X237" s="196"/>
      <c r="Y237" s="46"/>
      <c r="Z237" s="46"/>
      <c r="AA237" s="46"/>
      <c r="AB237" s="46"/>
      <c r="AC237" s="46"/>
      <c r="AD237" s="46"/>
      <c r="AE237" s="46"/>
      <c r="AF237" s="196"/>
      <c r="AG237" s="46"/>
      <c r="AH237" s="46"/>
      <c r="AI237" s="46"/>
      <c r="AJ237" s="46"/>
      <c r="AK237" s="46"/>
      <c r="AL237" s="46"/>
      <c r="AM237" s="46"/>
      <c r="AN237" s="196"/>
      <c r="AO237" s="438"/>
      <c r="AP237" s="46"/>
      <c r="AQ237" s="368"/>
      <c r="AR237" s="257"/>
      <c r="AS237" s="196"/>
      <c r="AT237" s="46"/>
      <c r="AU237" s="46"/>
      <c r="AV237" s="196"/>
      <c r="AW237" s="257"/>
      <c r="AX237" s="196"/>
      <c r="AY237" s="191"/>
      <c r="AZ237" s="257"/>
      <c r="BA237" s="196"/>
      <c r="BB237" s="46"/>
      <c r="BC237" s="257"/>
      <c r="BD237" s="196"/>
      <c r="BE237" s="191"/>
      <c r="BF237" s="46"/>
      <c r="BG237" s="196"/>
      <c r="BH237" s="46"/>
      <c r="BI237" s="257"/>
      <c r="BJ237" s="196"/>
      <c r="BK237" s="191"/>
      <c r="BL237" s="257"/>
      <c r="BM237" s="196"/>
      <c r="BN237" s="46"/>
      <c r="BO237" s="257"/>
      <c r="BP237" s="196"/>
      <c r="BQ237" s="190"/>
      <c r="BR237" s="46"/>
      <c r="BS237" s="196"/>
      <c r="BT237" s="46"/>
      <c r="BU237" s="257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196"/>
      <c r="CI237" s="46"/>
      <c r="CJ237" s="46"/>
      <c r="CK237" s="46"/>
      <c r="CL237" s="46"/>
      <c r="CM237" s="46"/>
      <c r="CN237" s="196"/>
      <c r="CO237" s="191"/>
      <c r="CP237" s="257"/>
      <c r="CQ237" s="196"/>
      <c r="CR237" s="167"/>
      <c r="CS237" s="257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191"/>
      <c r="DN237" s="46"/>
      <c r="DO237" s="196"/>
      <c r="DP237" s="221" t="s">
        <v>531</v>
      </c>
      <c r="DQ237" s="257">
        <f>DW237+EC237+EJ237+ER237+EZ237+FH237+23000</f>
        <v>23000</v>
      </c>
      <c r="DR237" s="294"/>
      <c r="DS237" s="295"/>
      <c r="DT237" s="386">
        <f t="shared" si="24"/>
        <v>0</v>
      </c>
      <c r="DU237" s="41"/>
      <c r="DV237" s="41"/>
      <c r="DW237" s="256"/>
      <c r="DX237" s="41"/>
      <c r="DY237" s="41"/>
      <c r="DZ237" s="68"/>
      <c r="EA237" s="41"/>
      <c r="EB237" s="41"/>
      <c r="EC237" s="256"/>
      <c r="ED237" s="308"/>
      <c r="EE237" s="308"/>
      <c r="EF237" s="308"/>
      <c r="EG237" s="41"/>
      <c r="EH237" s="41"/>
      <c r="EI237" s="41"/>
      <c r="EJ237" s="69"/>
      <c r="EK237" s="308"/>
      <c r="EL237" s="308"/>
      <c r="EM237" s="308"/>
      <c r="EN237" s="308"/>
      <c r="EO237" s="41"/>
      <c r="EP237" s="41"/>
      <c r="EQ237" s="41"/>
      <c r="ER237" s="256"/>
      <c r="ES237" s="293"/>
      <c r="ET237" s="293"/>
      <c r="EU237" s="293"/>
      <c r="EV237" s="293"/>
      <c r="EW237" s="41"/>
      <c r="EX237" s="41"/>
      <c r="EY237" s="41"/>
      <c r="EZ237" s="256"/>
      <c r="FA237" s="308"/>
      <c r="FB237" s="308"/>
      <c r="FC237" s="308"/>
      <c r="FD237" s="308"/>
      <c r="FE237" s="41"/>
      <c r="FF237" s="41"/>
      <c r="FG237" s="41"/>
      <c r="FH237" s="256"/>
      <c r="FI237" s="41"/>
      <c r="FJ237" s="41"/>
      <c r="FK237" s="41"/>
      <c r="FL237" s="276"/>
    </row>
    <row r="238" spans="1:168">
      <c r="A238" s="45">
        <v>231</v>
      </c>
      <c r="B238" s="45" t="s">
        <v>210</v>
      </c>
      <c r="C238" s="45">
        <v>4</v>
      </c>
      <c r="D238" s="29" t="s">
        <v>143</v>
      </c>
      <c r="E238" s="30">
        <v>95</v>
      </c>
      <c r="F238" s="30">
        <v>7</v>
      </c>
      <c r="G238" s="246">
        <f>9412.2/1000</f>
        <v>9.4122000000000003</v>
      </c>
      <c r="H238" s="45">
        <v>0</v>
      </c>
      <c r="I238" s="45">
        <v>9412.2000000000007</v>
      </c>
      <c r="J238" s="397">
        <v>45.350999999999999</v>
      </c>
      <c r="K238" s="495">
        <f t="shared" si="22"/>
        <v>54.763199999999998</v>
      </c>
      <c r="L238" s="578"/>
      <c r="M238" s="45">
        <f t="shared" si="23"/>
        <v>0</v>
      </c>
      <c r="N238" s="46">
        <f t="shared" si="20"/>
        <v>54.763199999999998</v>
      </c>
      <c r="O238" s="46">
        <f t="shared" si="26"/>
        <v>54</v>
      </c>
      <c r="P238" s="234"/>
      <c r="Q238" s="46"/>
      <c r="R238" s="450"/>
      <c r="S238" s="257"/>
      <c r="T238" s="46"/>
      <c r="U238" s="46"/>
      <c r="V238" s="46"/>
      <c r="W238" s="46"/>
      <c r="X238" s="196"/>
      <c r="Y238" s="46"/>
      <c r="Z238" s="46"/>
      <c r="AA238" s="46"/>
      <c r="AB238" s="46"/>
      <c r="AC238" s="46"/>
      <c r="AD238" s="46"/>
      <c r="AE238" s="46"/>
      <c r="AF238" s="196"/>
      <c r="AG238" s="46"/>
      <c r="AH238" s="46"/>
      <c r="AI238" s="46"/>
      <c r="AJ238" s="46"/>
      <c r="AK238" s="46"/>
      <c r="AL238" s="46"/>
      <c r="AM238" s="46"/>
      <c r="AN238" s="196"/>
      <c r="AO238" s="438"/>
      <c r="AP238" s="46"/>
      <c r="AQ238" s="368"/>
      <c r="AR238" s="257"/>
      <c r="AS238" s="196"/>
      <c r="AT238" s="46"/>
      <c r="AU238" s="46"/>
      <c r="AV238" s="196"/>
      <c r="AW238" s="257"/>
      <c r="AX238" s="196"/>
      <c r="AY238" s="191"/>
      <c r="AZ238" s="257"/>
      <c r="BA238" s="196"/>
      <c r="BB238" s="46"/>
      <c r="BC238" s="257"/>
      <c r="BD238" s="196"/>
      <c r="BE238" s="191"/>
      <c r="BF238" s="46"/>
      <c r="BG238" s="196"/>
      <c r="BH238" s="46"/>
      <c r="BI238" s="257"/>
      <c r="BJ238" s="196"/>
      <c r="BK238" s="191"/>
      <c r="BL238" s="257"/>
      <c r="BM238" s="196"/>
      <c r="BN238" s="46"/>
      <c r="BO238" s="257"/>
      <c r="BP238" s="196"/>
      <c r="BQ238" s="190"/>
      <c r="BR238" s="46"/>
      <c r="BS238" s="196"/>
      <c r="BT238" s="46"/>
      <c r="BU238" s="257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196"/>
      <c r="CI238" s="46"/>
      <c r="CJ238" s="46"/>
      <c r="CK238" s="46"/>
      <c r="CL238" s="46"/>
      <c r="CM238" s="46"/>
      <c r="CN238" s="196"/>
      <c r="CO238" s="191"/>
      <c r="CP238" s="257"/>
      <c r="CQ238" s="196"/>
      <c r="CR238" s="167"/>
      <c r="CS238" s="257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/>
      <c r="DF238" s="46"/>
      <c r="DG238" s="46"/>
      <c r="DH238" s="46"/>
      <c r="DI238" s="46"/>
      <c r="DJ238" s="46"/>
      <c r="DK238" s="46"/>
      <c r="DL238" s="46"/>
      <c r="DM238" s="191"/>
      <c r="DN238" s="46"/>
      <c r="DO238" s="196"/>
      <c r="DP238" s="221" t="s">
        <v>531</v>
      </c>
      <c r="DQ238" s="257">
        <f>DW238+EC238+EJ238+ER238+EZ238+FH238+54000</f>
        <v>54000</v>
      </c>
      <c r="DR238" s="294"/>
      <c r="DS238" s="295"/>
      <c r="DT238" s="386">
        <f t="shared" si="24"/>
        <v>0</v>
      </c>
      <c r="DU238" s="41"/>
      <c r="DV238" s="41"/>
      <c r="DW238" s="256"/>
      <c r="DX238" s="41"/>
      <c r="DY238" s="41"/>
      <c r="DZ238" s="68"/>
      <c r="EA238" s="41"/>
      <c r="EB238" s="41"/>
      <c r="EC238" s="256"/>
      <c r="ED238" s="308"/>
      <c r="EE238" s="308"/>
      <c r="EF238" s="308"/>
      <c r="EG238" s="41"/>
      <c r="EH238" s="41"/>
      <c r="EI238" s="41"/>
      <c r="EJ238" s="69"/>
      <c r="EK238" s="308"/>
      <c r="EL238" s="308"/>
      <c r="EM238" s="308"/>
      <c r="EN238" s="308"/>
      <c r="EO238" s="41"/>
      <c r="EP238" s="41"/>
      <c r="EQ238" s="41"/>
      <c r="ER238" s="256"/>
      <c r="ES238" s="293"/>
      <c r="ET238" s="293"/>
      <c r="EU238" s="293"/>
      <c r="EV238" s="293"/>
      <c r="EW238" s="41"/>
      <c r="EX238" s="41"/>
      <c r="EY238" s="41"/>
      <c r="EZ238" s="256"/>
      <c r="FA238" s="308"/>
      <c r="FB238" s="308"/>
      <c r="FC238" s="308"/>
      <c r="FD238" s="308"/>
      <c r="FE238" s="41"/>
      <c r="FF238" s="41"/>
      <c r="FG238" s="41"/>
      <c r="FH238" s="256"/>
      <c r="FI238" s="41"/>
      <c r="FJ238" s="41"/>
      <c r="FK238" s="41"/>
      <c r="FL238" s="276"/>
    </row>
    <row r="239" spans="1:168">
      <c r="A239" s="45">
        <v>232</v>
      </c>
      <c r="B239" s="45" t="s">
        <v>210</v>
      </c>
      <c r="C239" s="45">
        <v>4</v>
      </c>
      <c r="D239" s="29" t="s">
        <v>143</v>
      </c>
      <c r="E239" s="30">
        <v>97</v>
      </c>
      <c r="F239" s="30">
        <v>7</v>
      </c>
      <c r="G239" s="246">
        <f>9882.81/1000</f>
        <v>9.8828099999999992</v>
      </c>
      <c r="H239" s="45">
        <v>0</v>
      </c>
      <c r="I239" s="45">
        <v>9882.81</v>
      </c>
      <c r="J239" s="397">
        <v>42.494250000000008</v>
      </c>
      <c r="K239" s="495">
        <f t="shared" si="22"/>
        <v>52.377060000000007</v>
      </c>
      <c r="L239" s="578"/>
      <c r="M239" s="45">
        <f t="shared" si="23"/>
        <v>0</v>
      </c>
      <c r="N239" s="46">
        <f t="shared" si="20"/>
        <v>52.377060000000007</v>
      </c>
      <c r="O239" s="46">
        <f t="shared" si="26"/>
        <v>52</v>
      </c>
      <c r="P239" s="234"/>
      <c r="Q239" s="46"/>
      <c r="R239" s="450"/>
      <c r="S239" s="257"/>
      <c r="T239" s="46"/>
      <c r="U239" s="46"/>
      <c r="V239" s="46"/>
      <c r="W239" s="46"/>
      <c r="X239" s="196"/>
      <c r="Y239" s="46"/>
      <c r="Z239" s="46"/>
      <c r="AA239" s="46"/>
      <c r="AB239" s="46"/>
      <c r="AC239" s="46"/>
      <c r="AD239" s="46"/>
      <c r="AE239" s="46"/>
      <c r="AF239" s="196"/>
      <c r="AG239" s="46"/>
      <c r="AH239" s="46"/>
      <c r="AI239" s="46"/>
      <c r="AJ239" s="46"/>
      <c r="AK239" s="46"/>
      <c r="AL239" s="46"/>
      <c r="AM239" s="46"/>
      <c r="AN239" s="196"/>
      <c r="AO239" s="438"/>
      <c r="AP239" s="46"/>
      <c r="AQ239" s="368"/>
      <c r="AR239" s="257"/>
      <c r="AS239" s="196"/>
      <c r="AT239" s="46"/>
      <c r="AU239" s="46"/>
      <c r="AV239" s="196"/>
      <c r="AW239" s="257"/>
      <c r="AX239" s="196"/>
      <c r="AY239" s="191"/>
      <c r="AZ239" s="257"/>
      <c r="BA239" s="196"/>
      <c r="BB239" s="46"/>
      <c r="BC239" s="257"/>
      <c r="BD239" s="196"/>
      <c r="BE239" s="191"/>
      <c r="BF239" s="46"/>
      <c r="BG239" s="196"/>
      <c r="BH239" s="46"/>
      <c r="BI239" s="257"/>
      <c r="BJ239" s="196"/>
      <c r="BK239" s="191"/>
      <c r="BL239" s="257"/>
      <c r="BM239" s="196"/>
      <c r="BN239" s="46"/>
      <c r="BO239" s="257"/>
      <c r="BP239" s="196"/>
      <c r="BQ239" s="190"/>
      <c r="BR239" s="46"/>
      <c r="BS239" s="196"/>
      <c r="BT239" s="46"/>
      <c r="BU239" s="257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196"/>
      <c r="CI239" s="46"/>
      <c r="CJ239" s="46"/>
      <c r="CK239" s="46"/>
      <c r="CL239" s="46"/>
      <c r="CM239" s="46"/>
      <c r="CN239" s="196"/>
      <c r="CO239" s="191"/>
      <c r="CP239" s="257"/>
      <c r="CQ239" s="196"/>
      <c r="CR239" s="167"/>
      <c r="CS239" s="257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/>
      <c r="DF239" s="46"/>
      <c r="DG239" s="46"/>
      <c r="DH239" s="46"/>
      <c r="DI239" s="46"/>
      <c r="DJ239" s="46"/>
      <c r="DK239" s="46"/>
      <c r="DL239" s="46"/>
      <c r="DM239" s="191"/>
      <c r="DN239" s="46"/>
      <c r="DO239" s="196"/>
      <c r="DP239" s="221" t="s">
        <v>531</v>
      </c>
      <c r="DQ239" s="257">
        <f>DW239+EC239+EJ239+ER239+EZ239+FH239+52000</f>
        <v>52000</v>
      </c>
      <c r="DR239" s="294"/>
      <c r="DS239" s="295"/>
      <c r="DT239" s="386">
        <f t="shared" si="24"/>
        <v>0</v>
      </c>
      <c r="DU239" s="41"/>
      <c r="DV239" s="41"/>
      <c r="DW239" s="256"/>
      <c r="DX239" s="41"/>
      <c r="DY239" s="41"/>
      <c r="DZ239" s="68"/>
      <c r="EA239" s="41"/>
      <c r="EB239" s="41"/>
      <c r="EC239" s="256"/>
      <c r="ED239" s="308"/>
      <c r="EE239" s="308"/>
      <c r="EF239" s="308"/>
      <c r="EG239" s="41"/>
      <c r="EH239" s="41"/>
      <c r="EI239" s="41"/>
      <c r="EJ239" s="69"/>
      <c r="EK239" s="308"/>
      <c r="EL239" s="308"/>
      <c r="EM239" s="308"/>
      <c r="EN239" s="308"/>
      <c r="EO239" s="41"/>
      <c r="EP239" s="41"/>
      <c r="EQ239" s="41"/>
      <c r="ER239" s="256"/>
      <c r="ES239" s="293"/>
      <c r="ET239" s="293"/>
      <c r="EU239" s="293"/>
      <c r="EV239" s="293"/>
      <c r="EW239" s="41"/>
      <c r="EX239" s="41"/>
      <c r="EY239" s="41"/>
      <c r="EZ239" s="256"/>
      <c r="FA239" s="308"/>
      <c r="FB239" s="308"/>
      <c r="FC239" s="308"/>
      <c r="FD239" s="308"/>
      <c r="FE239" s="41"/>
      <c r="FF239" s="41"/>
      <c r="FG239" s="41"/>
      <c r="FH239" s="256"/>
      <c r="FI239" s="41"/>
      <c r="FJ239" s="41"/>
      <c r="FK239" s="41"/>
      <c r="FL239" s="276"/>
    </row>
    <row r="240" spans="1:168">
      <c r="A240" s="45">
        <v>233</v>
      </c>
      <c r="B240" s="45" t="s">
        <v>210</v>
      </c>
      <c r="C240" s="45">
        <v>4</v>
      </c>
      <c r="D240" s="29" t="s">
        <v>507</v>
      </c>
      <c r="E240" s="175">
        <v>99</v>
      </c>
      <c r="F240" s="188">
        <v>7</v>
      </c>
      <c r="G240" s="246">
        <f>9966.474/1000</f>
        <v>9.9664739999999998</v>
      </c>
      <c r="H240" s="45">
        <v>0</v>
      </c>
      <c r="I240" s="45">
        <v>9966.4740000000002</v>
      </c>
      <c r="J240" s="397">
        <v>37.098379999999992</v>
      </c>
      <c r="K240" s="495">
        <f t="shared" si="22"/>
        <v>47.06485399999999</v>
      </c>
      <c r="L240" s="578"/>
      <c r="M240" s="45">
        <f t="shared" si="23"/>
        <v>0</v>
      </c>
      <c r="N240" s="46">
        <f>K240-M240</f>
        <v>47.06485399999999</v>
      </c>
      <c r="O240" s="46">
        <f t="shared" si="26"/>
        <v>47</v>
      </c>
      <c r="P240" s="234"/>
      <c r="Q240" s="46"/>
      <c r="R240" s="450"/>
      <c r="S240" s="257"/>
      <c r="T240" s="46"/>
      <c r="U240" s="46"/>
      <c r="V240" s="46"/>
      <c r="W240" s="46"/>
      <c r="X240" s="196"/>
      <c r="Y240" s="46"/>
      <c r="Z240" s="46"/>
      <c r="AA240" s="46"/>
      <c r="AB240" s="46"/>
      <c r="AC240" s="46"/>
      <c r="AD240" s="46"/>
      <c r="AE240" s="46"/>
      <c r="AF240" s="196"/>
      <c r="AG240" s="46"/>
      <c r="AH240" s="46"/>
      <c r="AI240" s="46"/>
      <c r="AJ240" s="46"/>
      <c r="AK240" s="46"/>
      <c r="AL240" s="46"/>
      <c r="AM240" s="46"/>
      <c r="AN240" s="196"/>
      <c r="AO240" s="438"/>
      <c r="AP240" s="46"/>
      <c r="AQ240" s="368"/>
      <c r="AR240" s="257"/>
      <c r="AS240" s="196"/>
      <c r="AT240" s="46"/>
      <c r="AU240" s="46"/>
      <c r="AV240" s="196"/>
      <c r="AW240" s="257"/>
      <c r="AX240" s="196"/>
      <c r="AY240" s="191"/>
      <c r="AZ240" s="257"/>
      <c r="BA240" s="196"/>
      <c r="BB240" s="46"/>
      <c r="BC240" s="257"/>
      <c r="BD240" s="196"/>
      <c r="BE240" s="191"/>
      <c r="BF240" s="46"/>
      <c r="BG240" s="196"/>
      <c r="BH240" s="46"/>
      <c r="BI240" s="257"/>
      <c r="BJ240" s="196"/>
      <c r="BK240" s="191"/>
      <c r="BL240" s="257"/>
      <c r="BM240" s="196"/>
      <c r="BN240" s="46"/>
      <c r="BO240" s="257"/>
      <c r="BP240" s="196"/>
      <c r="BQ240" s="190"/>
      <c r="BR240" s="46"/>
      <c r="BS240" s="196"/>
      <c r="BT240" s="46"/>
      <c r="BU240" s="257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196"/>
      <c r="CI240" s="46"/>
      <c r="CJ240" s="46"/>
      <c r="CK240" s="46"/>
      <c r="CL240" s="46"/>
      <c r="CM240" s="46"/>
      <c r="CN240" s="196"/>
      <c r="CO240" s="191"/>
      <c r="CP240" s="257"/>
      <c r="CQ240" s="196"/>
      <c r="CR240" s="167"/>
      <c r="CS240" s="257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191"/>
      <c r="DN240" s="46"/>
      <c r="DO240" s="196"/>
      <c r="DP240" s="221" t="s">
        <v>531</v>
      </c>
      <c r="DQ240" s="257">
        <f>DW240+EC240+EJ240+ER240+EZ240+FH240+47000</f>
        <v>47000</v>
      </c>
      <c r="DR240" s="294"/>
      <c r="DS240" s="295"/>
      <c r="DT240" s="386">
        <f t="shared" si="24"/>
        <v>0</v>
      </c>
      <c r="DU240" s="41"/>
      <c r="DV240" s="41"/>
      <c r="DW240" s="256"/>
      <c r="DX240" s="41"/>
      <c r="DY240" s="41"/>
      <c r="DZ240" s="68"/>
      <c r="EA240" s="41"/>
      <c r="EB240" s="41"/>
      <c r="EC240" s="256"/>
      <c r="ED240" s="308"/>
      <c r="EE240" s="308"/>
      <c r="EF240" s="308"/>
      <c r="EG240" s="41"/>
      <c r="EH240" s="41"/>
      <c r="EI240" s="41"/>
      <c r="EJ240" s="69"/>
      <c r="EK240" s="308"/>
      <c r="EL240" s="308"/>
      <c r="EM240" s="308"/>
      <c r="EN240" s="308"/>
      <c r="EO240" s="41"/>
      <c r="EP240" s="41"/>
      <c r="EQ240" s="41"/>
      <c r="ER240" s="256"/>
      <c r="ES240" s="293"/>
      <c r="ET240" s="293"/>
      <c r="EU240" s="293"/>
      <c r="EV240" s="293"/>
      <c r="EW240" s="41"/>
      <c r="EX240" s="41"/>
      <c r="EY240" s="41"/>
      <c r="EZ240" s="256"/>
      <c r="FA240" s="308"/>
      <c r="FB240" s="308"/>
      <c r="FC240" s="308"/>
      <c r="FD240" s="308"/>
      <c r="FE240" s="41"/>
      <c r="FF240" s="41"/>
      <c r="FG240" s="41"/>
      <c r="FH240" s="256"/>
      <c r="FI240" s="41"/>
      <c r="FJ240" s="41"/>
      <c r="FK240" s="41"/>
      <c r="FL240" s="276"/>
    </row>
    <row r="241" spans="1:168">
      <c r="A241" s="45">
        <v>234</v>
      </c>
      <c r="B241" s="45" t="s">
        <v>210</v>
      </c>
      <c r="C241" s="45">
        <v>4</v>
      </c>
      <c r="D241" s="29" t="s">
        <v>146</v>
      </c>
      <c r="E241" s="30" t="s">
        <v>147</v>
      </c>
      <c r="F241" s="30">
        <v>7</v>
      </c>
      <c r="G241" s="246">
        <v>0</v>
      </c>
      <c r="H241" s="45">
        <v>0</v>
      </c>
      <c r="I241" s="45">
        <v>0</v>
      </c>
      <c r="J241" s="397">
        <v>15.250959999999999</v>
      </c>
      <c r="K241" s="495">
        <f t="shared" si="22"/>
        <v>15.250959999999999</v>
      </c>
      <c r="L241" s="578"/>
      <c r="M241" s="45">
        <f t="shared" si="23"/>
        <v>0</v>
      </c>
      <c r="N241" s="46">
        <f t="shared" si="20"/>
        <v>15.250959999999999</v>
      </c>
      <c r="O241" s="46">
        <f t="shared" si="26"/>
        <v>15</v>
      </c>
      <c r="P241" s="234"/>
      <c r="Q241" s="46"/>
      <c r="R241" s="450"/>
      <c r="S241" s="257"/>
      <c r="T241" s="46"/>
      <c r="U241" s="46"/>
      <c r="V241" s="46"/>
      <c r="W241" s="46"/>
      <c r="X241" s="196"/>
      <c r="Y241" s="46"/>
      <c r="Z241" s="46"/>
      <c r="AA241" s="46"/>
      <c r="AB241" s="46"/>
      <c r="AC241" s="46"/>
      <c r="AD241" s="46"/>
      <c r="AE241" s="46"/>
      <c r="AF241" s="196"/>
      <c r="AG241" s="46"/>
      <c r="AH241" s="46"/>
      <c r="AI241" s="46"/>
      <c r="AJ241" s="46"/>
      <c r="AK241" s="46"/>
      <c r="AL241" s="46"/>
      <c r="AM241" s="46"/>
      <c r="AN241" s="196"/>
      <c r="AO241" s="438"/>
      <c r="AP241" s="46"/>
      <c r="AQ241" s="368"/>
      <c r="AR241" s="257"/>
      <c r="AS241" s="196"/>
      <c r="AT241" s="46"/>
      <c r="AU241" s="46"/>
      <c r="AV241" s="196"/>
      <c r="AW241" s="257"/>
      <c r="AX241" s="196"/>
      <c r="AY241" s="191"/>
      <c r="AZ241" s="257"/>
      <c r="BA241" s="196"/>
      <c r="BB241" s="46"/>
      <c r="BC241" s="257"/>
      <c r="BD241" s="196"/>
      <c r="BE241" s="191"/>
      <c r="BF241" s="46"/>
      <c r="BG241" s="196"/>
      <c r="BH241" s="46"/>
      <c r="BI241" s="257"/>
      <c r="BJ241" s="196"/>
      <c r="BK241" s="191"/>
      <c r="BL241" s="257"/>
      <c r="BM241" s="196"/>
      <c r="BN241" s="46"/>
      <c r="BO241" s="257"/>
      <c r="BP241" s="196"/>
      <c r="BQ241" s="190"/>
      <c r="BR241" s="46"/>
      <c r="BS241" s="196"/>
      <c r="BT241" s="46"/>
      <c r="BU241" s="257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196"/>
      <c r="CI241" s="46"/>
      <c r="CJ241" s="46"/>
      <c r="CK241" s="46"/>
      <c r="CL241" s="46"/>
      <c r="CM241" s="46"/>
      <c r="CN241" s="196"/>
      <c r="CO241" s="191"/>
      <c r="CP241" s="257"/>
      <c r="CQ241" s="196"/>
      <c r="CR241" s="167"/>
      <c r="CS241" s="257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191"/>
      <c r="DN241" s="46"/>
      <c r="DO241" s="196"/>
      <c r="DP241" s="221" t="s">
        <v>531</v>
      </c>
      <c r="DQ241" s="257">
        <f>DW241+EC241+EJ241+ER241+EZ241+FH241+15000</f>
        <v>15000</v>
      </c>
      <c r="DR241" s="294"/>
      <c r="DS241" s="295"/>
      <c r="DT241" s="386">
        <f t="shared" si="24"/>
        <v>0</v>
      </c>
      <c r="DU241" s="41"/>
      <c r="DV241" s="41"/>
      <c r="DW241" s="256"/>
      <c r="DX241" s="41"/>
      <c r="DY241" s="41"/>
      <c r="DZ241" s="68"/>
      <c r="EA241" s="41"/>
      <c r="EB241" s="41"/>
      <c r="EC241" s="256"/>
      <c r="ED241" s="308"/>
      <c r="EE241" s="308"/>
      <c r="EF241" s="308"/>
      <c r="EG241" s="41"/>
      <c r="EH241" s="41"/>
      <c r="EI241" s="41"/>
      <c r="EJ241" s="69"/>
      <c r="EK241" s="308"/>
      <c r="EL241" s="308"/>
      <c r="EM241" s="308"/>
      <c r="EN241" s="308"/>
      <c r="EO241" s="41"/>
      <c r="EP241" s="41"/>
      <c r="EQ241" s="41"/>
      <c r="ER241" s="256"/>
      <c r="ES241" s="293"/>
      <c r="ET241" s="293"/>
      <c r="EU241" s="293"/>
      <c r="EV241" s="293"/>
      <c r="EW241" s="41"/>
      <c r="EX241" s="41"/>
      <c r="EY241" s="41"/>
      <c r="EZ241" s="256"/>
      <c r="FA241" s="308"/>
      <c r="FB241" s="308"/>
      <c r="FC241" s="308"/>
      <c r="FD241" s="308"/>
      <c r="FE241" s="41"/>
      <c r="FF241" s="41"/>
      <c r="FG241" s="41"/>
      <c r="FH241" s="256"/>
      <c r="FI241" s="41"/>
      <c r="FJ241" s="41"/>
      <c r="FK241" s="41"/>
      <c r="FL241" s="276"/>
    </row>
    <row r="242" spans="1:168">
      <c r="A242" s="45">
        <v>235</v>
      </c>
      <c r="B242" s="45" t="s">
        <v>210</v>
      </c>
      <c r="C242" s="45">
        <v>4</v>
      </c>
      <c r="D242" s="29" t="s">
        <v>148</v>
      </c>
      <c r="E242" s="30">
        <v>115</v>
      </c>
      <c r="F242" s="30">
        <v>5</v>
      </c>
      <c r="G242" s="246">
        <f>74536.308/1000</f>
        <v>74.536308000000005</v>
      </c>
      <c r="H242" s="45">
        <v>74536.30799999999</v>
      </c>
      <c r="I242" s="45">
        <v>0</v>
      </c>
      <c r="J242" s="397">
        <v>8.6264899999999756</v>
      </c>
      <c r="K242" s="495">
        <f t="shared" si="22"/>
        <v>83.162797999999981</v>
      </c>
      <c r="L242" s="578"/>
      <c r="M242" s="45">
        <f t="shared" si="23"/>
        <v>0</v>
      </c>
      <c r="N242" s="46">
        <f t="shared" si="20"/>
        <v>83.162797999999981</v>
      </c>
      <c r="O242" s="46">
        <f t="shared" si="26"/>
        <v>90</v>
      </c>
      <c r="P242" s="234"/>
      <c r="Q242" s="46">
        <v>1</v>
      </c>
      <c r="R242" s="450">
        <v>1</v>
      </c>
      <c r="S242" s="257">
        <v>90000</v>
      </c>
      <c r="T242" s="46"/>
      <c r="U242" s="46"/>
      <c r="V242" s="46"/>
      <c r="W242" s="46"/>
      <c r="X242" s="196"/>
      <c r="Y242" s="46"/>
      <c r="Z242" s="46"/>
      <c r="AA242" s="46"/>
      <c r="AB242" s="46"/>
      <c r="AC242" s="46"/>
      <c r="AD242" s="46"/>
      <c r="AE242" s="46"/>
      <c r="AF242" s="196"/>
      <c r="AG242" s="46"/>
      <c r="AH242" s="46"/>
      <c r="AI242" s="46"/>
      <c r="AJ242" s="46"/>
      <c r="AK242" s="46"/>
      <c r="AL242" s="46"/>
      <c r="AM242" s="46"/>
      <c r="AN242" s="196"/>
      <c r="AO242" s="438"/>
      <c r="AP242" s="46"/>
      <c r="AQ242" s="368"/>
      <c r="AR242" s="257"/>
      <c r="AS242" s="196"/>
      <c r="AT242" s="46"/>
      <c r="AU242" s="46"/>
      <c r="AV242" s="196"/>
      <c r="AW242" s="257"/>
      <c r="AX242" s="196"/>
      <c r="AY242" s="191"/>
      <c r="AZ242" s="257"/>
      <c r="BA242" s="196"/>
      <c r="BB242" s="46"/>
      <c r="BC242" s="257"/>
      <c r="BD242" s="196"/>
      <c r="BE242" s="191"/>
      <c r="BF242" s="46"/>
      <c r="BG242" s="196"/>
      <c r="BH242" s="46"/>
      <c r="BI242" s="257"/>
      <c r="BJ242" s="196"/>
      <c r="BK242" s="191"/>
      <c r="BL242" s="257"/>
      <c r="BM242" s="196"/>
      <c r="BN242" s="46"/>
      <c r="BO242" s="257"/>
      <c r="BP242" s="196"/>
      <c r="BQ242" s="190"/>
      <c r="BR242" s="46"/>
      <c r="BS242" s="196"/>
      <c r="BT242" s="46"/>
      <c r="BU242" s="257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196"/>
      <c r="CI242" s="46"/>
      <c r="CJ242" s="46"/>
      <c r="CK242" s="46"/>
      <c r="CL242" s="46"/>
      <c r="CM242" s="46"/>
      <c r="CN242" s="196"/>
      <c r="CO242" s="191"/>
      <c r="CP242" s="257"/>
      <c r="CQ242" s="196"/>
      <c r="CR242" s="167"/>
      <c r="CS242" s="257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191"/>
      <c r="DN242" s="46"/>
      <c r="DO242" s="196"/>
      <c r="DP242" s="221"/>
      <c r="DQ242" s="257">
        <f t="shared" si="25"/>
        <v>0</v>
      </c>
      <c r="DR242" s="296"/>
      <c r="DS242" s="295"/>
      <c r="DT242" s="386">
        <f t="shared" si="24"/>
        <v>0</v>
      </c>
      <c r="DU242" s="41"/>
      <c r="DV242" s="41"/>
      <c r="DW242" s="256"/>
      <c r="DX242" s="41"/>
      <c r="DY242" s="41"/>
      <c r="DZ242" s="68"/>
      <c r="EA242" s="41"/>
      <c r="EB242" s="41"/>
      <c r="EC242" s="256"/>
      <c r="ED242" s="308"/>
      <c r="EE242" s="308"/>
      <c r="EF242" s="308"/>
      <c r="EG242" s="41"/>
      <c r="EH242" s="41"/>
      <c r="EI242" s="41"/>
      <c r="EJ242" s="69"/>
      <c r="EK242" s="308"/>
      <c r="EL242" s="308"/>
      <c r="EM242" s="308"/>
      <c r="EN242" s="308"/>
      <c r="EO242" s="41"/>
      <c r="EP242" s="41"/>
      <c r="EQ242" s="41"/>
      <c r="ER242" s="256"/>
      <c r="ES242" s="293"/>
      <c r="ET242" s="293"/>
      <c r="EU242" s="293"/>
      <c r="EV242" s="293"/>
      <c r="EW242" s="41"/>
      <c r="EX242" s="41"/>
      <c r="EY242" s="41"/>
      <c r="EZ242" s="256"/>
      <c r="FA242" s="308"/>
      <c r="FB242" s="308"/>
      <c r="FC242" s="308"/>
      <c r="FD242" s="308"/>
      <c r="FE242" s="46"/>
      <c r="FF242" s="41"/>
      <c r="FG242" s="41"/>
      <c r="FH242" s="256"/>
      <c r="FI242" s="41"/>
      <c r="FJ242" s="41"/>
      <c r="FK242" s="41"/>
      <c r="FL242" s="276"/>
    </row>
    <row r="243" spans="1:168" ht="30">
      <c r="A243" s="45">
        <v>236</v>
      </c>
      <c r="B243" s="45" t="s">
        <v>210</v>
      </c>
      <c r="C243" s="45">
        <v>5</v>
      </c>
      <c r="D243" s="29" t="s">
        <v>508</v>
      </c>
      <c r="E243" s="175">
        <v>140</v>
      </c>
      <c r="F243" s="188">
        <v>7</v>
      </c>
      <c r="G243" s="246">
        <f>39102.462/1000</f>
        <v>39.102462000000003</v>
      </c>
      <c r="H243" s="45">
        <v>0</v>
      </c>
      <c r="I243" s="45">
        <v>39102.462</v>
      </c>
      <c r="J243" s="397">
        <v>96.61133999999997</v>
      </c>
      <c r="K243" s="495">
        <f t="shared" si="22"/>
        <v>135.71380199999999</v>
      </c>
      <c r="L243" s="578"/>
      <c r="M243" s="45">
        <f t="shared" si="23"/>
        <v>0</v>
      </c>
      <c r="N243" s="46">
        <f>K243-M243</f>
        <v>135.71380199999999</v>
      </c>
      <c r="O243" s="46">
        <f t="shared" si="26"/>
        <v>110.6</v>
      </c>
      <c r="P243" s="234"/>
      <c r="Q243" s="46"/>
      <c r="R243" s="450"/>
      <c r="S243" s="257"/>
      <c r="T243" s="46"/>
      <c r="U243" s="46"/>
      <c r="V243" s="46"/>
      <c r="W243" s="46"/>
      <c r="X243" s="196"/>
      <c r="Y243" s="46"/>
      <c r="Z243" s="46"/>
      <c r="AA243" s="46"/>
      <c r="AB243" s="46"/>
      <c r="AC243" s="46"/>
      <c r="AD243" s="46"/>
      <c r="AE243" s="46"/>
      <c r="AF243" s="196"/>
      <c r="AG243" s="46"/>
      <c r="AH243" s="46"/>
      <c r="AI243" s="46"/>
      <c r="AJ243" s="46"/>
      <c r="AK243" s="46"/>
      <c r="AL243" s="46"/>
      <c r="AM243" s="46"/>
      <c r="AN243" s="196"/>
      <c r="AO243" s="438"/>
      <c r="AP243" s="46"/>
      <c r="AQ243" s="368"/>
      <c r="AR243" s="257"/>
      <c r="AS243" s="196"/>
      <c r="AT243" s="46"/>
      <c r="AU243" s="46"/>
      <c r="AV243" s="196"/>
      <c r="AW243" s="257"/>
      <c r="AX243" s="196"/>
      <c r="AY243" s="191"/>
      <c r="AZ243" s="257"/>
      <c r="BA243" s="196"/>
      <c r="BB243" s="46"/>
      <c r="BC243" s="257"/>
      <c r="BD243" s="196"/>
      <c r="BE243" s="191"/>
      <c r="BF243" s="46"/>
      <c r="BG243" s="196"/>
      <c r="BH243" s="46"/>
      <c r="BI243" s="257"/>
      <c r="BJ243" s="196"/>
      <c r="BK243" s="191"/>
      <c r="BL243" s="257"/>
      <c r="BM243" s="196"/>
      <c r="BN243" s="46"/>
      <c r="BO243" s="257"/>
      <c r="BP243" s="196"/>
      <c r="BQ243" s="190"/>
      <c r="BR243" s="46"/>
      <c r="BS243" s="196"/>
      <c r="BT243" s="46"/>
      <c r="BU243" s="257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196"/>
      <c r="CI243" s="46"/>
      <c r="CJ243" s="46"/>
      <c r="CK243" s="46"/>
      <c r="CL243" s="46"/>
      <c r="CM243" s="46"/>
      <c r="CN243" s="196"/>
      <c r="CO243" s="191"/>
      <c r="CP243" s="257"/>
      <c r="CQ243" s="196"/>
      <c r="CR243" s="167"/>
      <c r="CS243" s="257"/>
      <c r="CT243" s="46"/>
      <c r="CU243" s="46"/>
      <c r="CV243" s="46"/>
      <c r="CW243" s="46"/>
      <c r="CX243" s="46"/>
      <c r="CY243" s="46"/>
      <c r="CZ243" s="46">
        <v>6</v>
      </c>
      <c r="DA243" s="46">
        <v>20</v>
      </c>
      <c r="DB243" s="257">
        <f>DA243*1800</f>
        <v>36000</v>
      </c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191"/>
      <c r="DN243" s="46"/>
      <c r="DO243" s="218"/>
      <c r="DP243" s="221" t="s">
        <v>943</v>
      </c>
      <c r="DQ243" s="257">
        <f>DW243+EC243+EJ243+ER243+EZ243+FH243+15000+10000</f>
        <v>74600</v>
      </c>
      <c r="DR243" s="294"/>
      <c r="DS243" s="295"/>
      <c r="DT243" s="386">
        <f t="shared" si="24"/>
        <v>0</v>
      </c>
      <c r="DU243" s="41"/>
      <c r="DV243" s="41"/>
      <c r="DW243" s="256"/>
      <c r="DX243" s="41"/>
      <c r="DY243" s="41"/>
      <c r="DZ243" s="68"/>
      <c r="EA243" s="41">
        <v>7</v>
      </c>
      <c r="EB243" s="41">
        <v>62</v>
      </c>
      <c r="EC243" s="256">
        <f>EB243*800</f>
        <v>49600</v>
      </c>
      <c r="ED243" s="308"/>
      <c r="EE243" s="308"/>
      <c r="EF243" s="308"/>
      <c r="EG243" s="41"/>
      <c r="EH243" s="41"/>
      <c r="EI243" s="41"/>
      <c r="EJ243" s="69"/>
      <c r="EK243" s="308"/>
      <c r="EL243" s="308"/>
      <c r="EM243" s="308"/>
      <c r="EN243" s="308"/>
      <c r="EO243" s="41"/>
      <c r="EP243" s="41"/>
      <c r="EQ243" s="41"/>
      <c r="ER243" s="256"/>
      <c r="ES243" s="293"/>
      <c r="ET243" s="293"/>
      <c r="EU243" s="293"/>
      <c r="EV243" s="293"/>
      <c r="EW243" s="41"/>
      <c r="EX243" s="41"/>
      <c r="EY243" s="41"/>
      <c r="EZ243" s="256"/>
      <c r="FA243" s="308"/>
      <c r="FB243" s="308"/>
      <c r="FC243" s="308"/>
      <c r="FD243" s="308"/>
      <c r="FE243" s="41"/>
      <c r="FF243" s="41"/>
      <c r="FG243" s="41"/>
      <c r="FH243" s="256"/>
      <c r="FI243" s="41"/>
      <c r="FJ243" s="41"/>
      <c r="FK243" s="41"/>
      <c r="FL243" s="276"/>
    </row>
    <row r="244" spans="1:168">
      <c r="A244" s="45">
        <v>237</v>
      </c>
      <c r="B244" s="45" t="s">
        <v>210</v>
      </c>
      <c r="C244" s="45">
        <v>5</v>
      </c>
      <c r="D244" s="29" t="s">
        <v>508</v>
      </c>
      <c r="E244" s="175">
        <v>144</v>
      </c>
      <c r="F244" s="188">
        <v>7</v>
      </c>
      <c r="G244" s="246">
        <f>41246.352/1000</f>
        <v>41.246352000000002</v>
      </c>
      <c r="H244" s="45">
        <v>0</v>
      </c>
      <c r="I244" s="45">
        <v>41246.351999999999</v>
      </c>
      <c r="J244" s="397">
        <v>111.79321999999999</v>
      </c>
      <c r="K244" s="495">
        <f t="shared" si="22"/>
        <v>153.03957199999999</v>
      </c>
      <c r="L244" s="578"/>
      <c r="M244" s="45">
        <f t="shared" si="23"/>
        <v>0</v>
      </c>
      <c r="N244" s="46">
        <f>K244-M244</f>
        <v>153.03957199999999</v>
      </c>
      <c r="O244" s="46">
        <f t="shared" si="26"/>
        <v>139.6</v>
      </c>
      <c r="P244" s="234" t="s">
        <v>250</v>
      </c>
      <c r="Q244" s="46">
        <v>1</v>
      </c>
      <c r="R244" s="450">
        <v>1</v>
      </c>
      <c r="S244" s="257">
        <v>90000</v>
      </c>
      <c r="T244" s="46"/>
      <c r="U244" s="46"/>
      <c r="V244" s="46"/>
      <c r="W244" s="46"/>
      <c r="X244" s="196"/>
      <c r="Y244" s="46"/>
      <c r="Z244" s="46"/>
      <c r="AA244" s="46"/>
      <c r="AB244" s="46"/>
      <c r="AC244" s="46"/>
      <c r="AD244" s="46"/>
      <c r="AE244" s="46"/>
      <c r="AF244" s="196"/>
      <c r="AG244" s="46"/>
      <c r="AH244" s="46"/>
      <c r="AI244" s="46"/>
      <c r="AJ244" s="46"/>
      <c r="AK244" s="46"/>
      <c r="AL244" s="46"/>
      <c r="AM244" s="46"/>
      <c r="AN244" s="196"/>
      <c r="AO244" s="438"/>
      <c r="AP244" s="46"/>
      <c r="AQ244" s="368"/>
      <c r="AR244" s="257"/>
      <c r="AS244" s="196"/>
      <c r="AT244" s="46"/>
      <c r="AU244" s="46"/>
      <c r="AV244" s="196"/>
      <c r="AW244" s="257"/>
      <c r="AX244" s="196"/>
      <c r="AY244" s="191"/>
      <c r="AZ244" s="257"/>
      <c r="BA244" s="196"/>
      <c r="BB244" s="46"/>
      <c r="BC244" s="257"/>
      <c r="BD244" s="196"/>
      <c r="BE244" s="191"/>
      <c r="BF244" s="46"/>
      <c r="BG244" s="196"/>
      <c r="BH244" s="46"/>
      <c r="BI244" s="257"/>
      <c r="BJ244" s="196"/>
      <c r="BK244" s="191"/>
      <c r="BL244" s="257"/>
      <c r="BM244" s="196"/>
      <c r="BN244" s="46"/>
      <c r="BO244" s="257"/>
      <c r="BP244" s="196"/>
      <c r="BQ244" s="190"/>
      <c r="BR244" s="46"/>
      <c r="BS244" s="196"/>
      <c r="BT244" s="46"/>
      <c r="BU244" s="257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196"/>
      <c r="CI244" s="46"/>
      <c r="CJ244" s="46"/>
      <c r="CK244" s="46"/>
      <c r="CL244" s="46"/>
      <c r="CM244" s="46"/>
      <c r="CN244" s="196"/>
      <c r="CO244" s="191"/>
      <c r="CP244" s="257"/>
      <c r="CQ244" s="196"/>
      <c r="CR244" s="167"/>
      <c r="CS244" s="257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191"/>
      <c r="DN244" s="46"/>
      <c r="DO244" s="218"/>
      <c r="DP244" s="221" t="s">
        <v>833</v>
      </c>
      <c r="DQ244" s="257">
        <f t="shared" si="25"/>
        <v>49600</v>
      </c>
      <c r="DR244" s="294"/>
      <c r="DS244" s="295"/>
      <c r="DT244" s="386">
        <f t="shared" si="24"/>
        <v>0</v>
      </c>
      <c r="DU244" s="41"/>
      <c r="DV244" s="41"/>
      <c r="DW244" s="256"/>
      <c r="DX244" s="41"/>
      <c r="DY244" s="41"/>
      <c r="DZ244" s="68"/>
      <c r="EA244" s="41">
        <v>7</v>
      </c>
      <c r="EB244" s="41">
        <v>62</v>
      </c>
      <c r="EC244" s="256">
        <f>EB244*800</f>
        <v>49600</v>
      </c>
      <c r="ED244" s="308"/>
      <c r="EE244" s="308"/>
      <c r="EF244" s="308"/>
      <c r="EG244" s="41"/>
      <c r="EH244" s="41"/>
      <c r="EI244" s="41"/>
      <c r="EJ244" s="69"/>
      <c r="EK244" s="308"/>
      <c r="EL244" s="308"/>
      <c r="EM244" s="308"/>
      <c r="EN244" s="308"/>
      <c r="EO244" s="41"/>
      <c r="EP244" s="41"/>
      <c r="EQ244" s="41"/>
      <c r="ER244" s="256"/>
      <c r="ES244" s="293"/>
      <c r="ET244" s="293"/>
      <c r="EU244" s="293"/>
      <c r="EV244" s="293"/>
      <c r="EW244" s="41"/>
      <c r="EX244" s="41"/>
      <c r="EY244" s="41"/>
      <c r="EZ244" s="256"/>
      <c r="FA244" s="308"/>
      <c r="FB244" s="308"/>
      <c r="FC244" s="308"/>
      <c r="FD244" s="308"/>
      <c r="FE244" s="41"/>
      <c r="FF244" s="41"/>
      <c r="FG244" s="41"/>
      <c r="FH244" s="256"/>
      <c r="FI244" s="41"/>
      <c r="FJ244" s="41"/>
      <c r="FK244" s="41"/>
      <c r="FL244" s="276"/>
    </row>
    <row r="245" spans="1:168">
      <c r="A245" s="45">
        <v>238</v>
      </c>
      <c r="B245" s="45" t="s">
        <v>210</v>
      </c>
      <c r="C245" s="45">
        <v>5</v>
      </c>
      <c r="D245" s="29" t="s">
        <v>151</v>
      </c>
      <c r="E245" s="30" t="s">
        <v>152</v>
      </c>
      <c r="F245" s="30">
        <v>7</v>
      </c>
      <c r="G245" s="246">
        <f>83914.992/1000</f>
        <v>83.914991999999998</v>
      </c>
      <c r="H245" s="45">
        <v>0</v>
      </c>
      <c r="I245" s="45">
        <v>83914.992000000013</v>
      </c>
      <c r="J245" s="397">
        <v>-442.73347999999982</v>
      </c>
      <c r="K245" s="495">
        <f t="shared" si="22"/>
        <v>-358.81848799999983</v>
      </c>
      <c r="L245" s="578"/>
      <c r="M245" s="45">
        <f t="shared" si="23"/>
        <v>0</v>
      </c>
      <c r="N245" s="46">
        <f t="shared" si="20"/>
        <v>-358.81848799999983</v>
      </c>
      <c r="O245" s="46">
        <f t="shared" si="26"/>
        <v>0</v>
      </c>
      <c r="P245" s="234"/>
      <c r="Q245" s="46"/>
      <c r="R245" s="450"/>
      <c r="S245" s="257"/>
      <c r="T245" s="46"/>
      <c r="U245" s="46"/>
      <c r="V245" s="46"/>
      <c r="W245" s="46"/>
      <c r="X245" s="196"/>
      <c r="Y245" s="46"/>
      <c r="Z245" s="46"/>
      <c r="AA245" s="46"/>
      <c r="AB245" s="46"/>
      <c r="AC245" s="46"/>
      <c r="AD245" s="46"/>
      <c r="AE245" s="46"/>
      <c r="AF245" s="196"/>
      <c r="AG245" s="46"/>
      <c r="AH245" s="46"/>
      <c r="AI245" s="46"/>
      <c r="AJ245" s="46"/>
      <c r="AK245" s="46"/>
      <c r="AL245" s="46"/>
      <c r="AM245" s="46"/>
      <c r="AN245" s="196"/>
      <c r="AO245" s="438"/>
      <c r="AP245" s="46"/>
      <c r="AQ245" s="368"/>
      <c r="AR245" s="257"/>
      <c r="AS245" s="196"/>
      <c r="AT245" s="46"/>
      <c r="AU245" s="46"/>
      <c r="AV245" s="196"/>
      <c r="AW245" s="257"/>
      <c r="AX245" s="196"/>
      <c r="AY245" s="191"/>
      <c r="AZ245" s="257"/>
      <c r="BA245" s="196"/>
      <c r="BB245" s="46"/>
      <c r="BC245" s="257"/>
      <c r="BD245" s="196"/>
      <c r="BE245" s="191"/>
      <c r="BF245" s="46"/>
      <c r="BG245" s="196"/>
      <c r="BH245" s="46"/>
      <c r="BI245" s="257"/>
      <c r="BJ245" s="196"/>
      <c r="BK245" s="191"/>
      <c r="BL245" s="257"/>
      <c r="BM245" s="196"/>
      <c r="BN245" s="46"/>
      <c r="BO245" s="257"/>
      <c r="BP245" s="196"/>
      <c r="BQ245" s="190"/>
      <c r="BR245" s="46"/>
      <c r="BS245" s="196"/>
      <c r="BT245" s="46"/>
      <c r="BU245" s="257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196"/>
      <c r="CI245" s="46"/>
      <c r="CJ245" s="46"/>
      <c r="CK245" s="46"/>
      <c r="CL245" s="46"/>
      <c r="CM245" s="46"/>
      <c r="CN245" s="196"/>
      <c r="CO245" s="191"/>
      <c r="CP245" s="257"/>
      <c r="CQ245" s="196"/>
      <c r="CR245" s="167"/>
      <c r="CS245" s="257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191"/>
      <c r="DN245" s="46"/>
      <c r="DO245" s="196"/>
      <c r="DP245" s="221"/>
      <c r="DQ245" s="257">
        <f t="shared" si="25"/>
        <v>0</v>
      </c>
      <c r="DR245" s="294"/>
      <c r="DS245" s="295"/>
      <c r="DT245" s="386">
        <f t="shared" si="24"/>
        <v>0</v>
      </c>
      <c r="DU245" s="41"/>
      <c r="DV245" s="41"/>
      <c r="DW245" s="256"/>
      <c r="DX245" s="41"/>
      <c r="DY245" s="41"/>
      <c r="DZ245" s="68"/>
      <c r="EA245" s="41"/>
      <c r="EB245" s="41"/>
      <c r="EC245" s="256"/>
      <c r="ED245" s="308"/>
      <c r="EE245" s="308"/>
      <c r="EF245" s="308"/>
      <c r="EG245" s="41"/>
      <c r="EH245" s="41"/>
      <c r="EI245" s="41"/>
      <c r="EJ245" s="69"/>
      <c r="EK245" s="308"/>
      <c r="EL245" s="308"/>
      <c r="EM245" s="308"/>
      <c r="EN245" s="308"/>
      <c r="EO245" s="41"/>
      <c r="EP245" s="41"/>
      <c r="EQ245" s="41"/>
      <c r="ER245" s="256"/>
      <c r="ES245" s="293"/>
      <c r="ET245" s="293"/>
      <c r="EU245" s="293"/>
      <c r="EV245" s="293"/>
      <c r="EW245" s="41"/>
      <c r="EX245" s="41"/>
      <c r="EY245" s="41"/>
      <c r="EZ245" s="256"/>
      <c r="FA245" s="308"/>
      <c r="FB245" s="308"/>
      <c r="FC245" s="308"/>
      <c r="FD245" s="308"/>
      <c r="FE245" s="41"/>
      <c r="FF245" s="41"/>
      <c r="FG245" s="41"/>
      <c r="FH245" s="256"/>
      <c r="FI245" s="41"/>
      <c r="FJ245" s="41"/>
      <c r="FK245" s="41"/>
      <c r="FL245" s="276"/>
    </row>
    <row r="246" spans="1:168">
      <c r="A246" s="45">
        <v>239</v>
      </c>
      <c r="B246" s="45" t="s">
        <v>210</v>
      </c>
      <c r="C246" s="45">
        <v>5</v>
      </c>
      <c r="D246" s="29" t="s">
        <v>149</v>
      </c>
      <c r="E246" s="30" t="s">
        <v>142</v>
      </c>
      <c r="F246" s="30">
        <v>5</v>
      </c>
      <c r="G246" s="246">
        <f>30070.656/1000</f>
        <v>30.070656</v>
      </c>
      <c r="H246" s="45">
        <v>30070.655999999999</v>
      </c>
      <c r="I246" s="45">
        <v>0</v>
      </c>
      <c r="J246" s="397">
        <v>13.133049999999983</v>
      </c>
      <c r="K246" s="495">
        <f t="shared" si="22"/>
        <v>43.203705999999983</v>
      </c>
      <c r="L246" s="578"/>
      <c r="M246" s="45">
        <f t="shared" si="23"/>
        <v>0</v>
      </c>
      <c r="N246" s="46">
        <f t="shared" si="20"/>
        <v>43.203705999999983</v>
      </c>
      <c r="O246" s="46">
        <f t="shared" si="26"/>
        <v>17.5</v>
      </c>
      <c r="P246" s="234"/>
      <c r="Q246" s="46"/>
      <c r="R246" s="450"/>
      <c r="S246" s="257"/>
      <c r="T246" s="46"/>
      <c r="U246" s="46"/>
      <c r="V246" s="46"/>
      <c r="W246" s="46"/>
      <c r="X246" s="196"/>
      <c r="Y246" s="46"/>
      <c r="Z246" s="46"/>
      <c r="AA246" s="46"/>
      <c r="AB246" s="46"/>
      <c r="AC246" s="46"/>
      <c r="AD246" s="46"/>
      <c r="AE246" s="46"/>
      <c r="AF246" s="196"/>
      <c r="AG246" s="46"/>
      <c r="AH246" s="46"/>
      <c r="AI246" s="46"/>
      <c r="AJ246" s="46"/>
      <c r="AK246" s="46"/>
      <c r="AL246" s="46"/>
      <c r="AM246" s="46"/>
      <c r="AN246" s="196"/>
      <c r="AO246" s="438"/>
      <c r="AP246" s="46"/>
      <c r="AQ246" s="368"/>
      <c r="AR246" s="257"/>
      <c r="AS246" s="196"/>
      <c r="AT246" s="46"/>
      <c r="AU246" s="46"/>
      <c r="AV246" s="196"/>
      <c r="AW246" s="257"/>
      <c r="AX246" s="196"/>
      <c r="AY246" s="191"/>
      <c r="AZ246" s="257"/>
      <c r="BA246" s="196"/>
      <c r="BB246" s="46"/>
      <c r="BC246" s="257"/>
      <c r="BD246" s="196"/>
      <c r="BE246" s="191"/>
      <c r="BF246" s="46"/>
      <c r="BG246" s="196"/>
      <c r="BH246" s="46"/>
      <c r="BI246" s="257"/>
      <c r="BJ246" s="196" t="s">
        <v>228</v>
      </c>
      <c r="BK246" s="190">
        <v>7</v>
      </c>
      <c r="BL246" s="257">
        <f>BK246*2500</f>
        <v>17500</v>
      </c>
      <c r="BM246" s="196"/>
      <c r="BN246" s="46"/>
      <c r="BO246" s="257"/>
      <c r="BP246" s="196"/>
      <c r="BQ246" s="190"/>
      <c r="BR246" s="46"/>
      <c r="BS246" s="196"/>
      <c r="BT246" s="46"/>
      <c r="BU246" s="257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196"/>
      <c r="CI246" s="46"/>
      <c r="CJ246" s="46"/>
      <c r="CK246" s="46"/>
      <c r="CL246" s="46"/>
      <c r="CM246" s="46"/>
      <c r="CN246" s="196"/>
      <c r="CO246" s="191"/>
      <c r="CP246" s="257"/>
      <c r="CQ246" s="196"/>
      <c r="CR246" s="167"/>
      <c r="CS246" s="257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191"/>
      <c r="DN246" s="46"/>
      <c r="DO246" s="196"/>
      <c r="DP246" s="221"/>
      <c r="DQ246" s="257">
        <f t="shared" si="25"/>
        <v>0</v>
      </c>
      <c r="DR246" s="294"/>
      <c r="DS246" s="295"/>
      <c r="DT246" s="386">
        <f t="shared" si="24"/>
        <v>0</v>
      </c>
      <c r="DU246" s="41"/>
      <c r="DV246" s="41"/>
      <c r="DW246" s="256"/>
      <c r="DX246" s="41"/>
      <c r="DY246" s="41"/>
      <c r="DZ246" s="68"/>
      <c r="EA246" s="41"/>
      <c r="EB246" s="41"/>
      <c r="EC246" s="256"/>
      <c r="ED246" s="308"/>
      <c r="EE246" s="308"/>
      <c r="EF246" s="308"/>
      <c r="EG246" s="41"/>
      <c r="EH246" s="41"/>
      <c r="EI246" s="41"/>
      <c r="EJ246" s="69"/>
      <c r="EK246" s="308"/>
      <c r="EL246" s="308"/>
      <c r="EM246" s="308"/>
      <c r="EN246" s="308"/>
      <c r="EO246" s="41"/>
      <c r="EP246" s="41"/>
      <c r="EQ246" s="41"/>
      <c r="ER246" s="256"/>
      <c r="ES246" s="293"/>
      <c r="ET246" s="293"/>
      <c r="EU246" s="293"/>
      <c r="EV246" s="293"/>
      <c r="EW246" s="41"/>
      <c r="EX246" s="41"/>
      <c r="EY246" s="41"/>
      <c r="EZ246" s="256"/>
      <c r="FA246" s="308"/>
      <c r="FB246" s="308"/>
      <c r="FC246" s="308"/>
      <c r="FD246" s="308"/>
      <c r="FE246" s="46"/>
      <c r="FF246" s="41"/>
      <c r="FG246" s="41"/>
      <c r="FH246" s="256"/>
      <c r="FI246" s="41"/>
      <c r="FJ246" s="41"/>
      <c r="FK246" s="41"/>
      <c r="FL246" s="276"/>
    </row>
    <row r="247" spans="1:168">
      <c r="A247" s="45">
        <v>240</v>
      </c>
      <c r="B247" s="45" t="s">
        <v>210</v>
      </c>
      <c r="C247" s="45">
        <v>5</v>
      </c>
      <c r="D247" s="29" t="s">
        <v>149</v>
      </c>
      <c r="E247" s="30" t="s">
        <v>153</v>
      </c>
      <c r="F247" s="30">
        <v>5</v>
      </c>
      <c r="G247" s="246">
        <f>30478.14/1000</f>
        <v>30.47814</v>
      </c>
      <c r="H247" s="45">
        <v>30478.14</v>
      </c>
      <c r="I247" s="45">
        <v>0</v>
      </c>
      <c r="J247" s="397">
        <v>-198.41232999999997</v>
      </c>
      <c r="K247" s="495">
        <f t="shared" si="22"/>
        <v>-167.93418999999997</v>
      </c>
      <c r="L247" s="578"/>
      <c r="M247" s="45">
        <f t="shared" si="23"/>
        <v>0</v>
      </c>
      <c r="N247" s="46">
        <f t="shared" si="20"/>
        <v>-167.93418999999997</v>
      </c>
      <c r="O247" s="46">
        <f t="shared" si="26"/>
        <v>0</v>
      </c>
      <c r="P247" s="234"/>
      <c r="Q247" s="46"/>
      <c r="R247" s="450"/>
      <c r="S247" s="257"/>
      <c r="T247" s="46"/>
      <c r="U247" s="46"/>
      <c r="V247" s="46"/>
      <c r="W247" s="46"/>
      <c r="X247" s="196"/>
      <c r="Y247" s="46"/>
      <c r="Z247" s="46"/>
      <c r="AA247" s="46"/>
      <c r="AB247" s="46"/>
      <c r="AC247" s="46"/>
      <c r="AD247" s="46"/>
      <c r="AE247" s="46"/>
      <c r="AF247" s="196"/>
      <c r="AG247" s="46"/>
      <c r="AH247" s="46"/>
      <c r="AI247" s="46"/>
      <c r="AJ247" s="46"/>
      <c r="AK247" s="46"/>
      <c r="AL247" s="46"/>
      <c r="AM247" s="46"/>
      <c r="AN247" s="196"/>
      <c r="AO247" s="438"/>
      <c r="AP247" s="46"/>
      <c r="AQ247" s="368"/>
      <c r="AR247" s="257"/>
      <c r="AS247" s="196"/>
      <c r="AT247" s="46"/>
      <c r="AU247" s="46"/>
      <c r="AV247" s="196"/>
      <c r="AW247" s="257"/>
      <c r="AX247" s="196"/>
      <c r="AY247" s="191"/>
      <c r="AZ247" s="257"/>
      <c r="BA247" s="196"/>
      <c r="BB247" s="46"/>
      <c r="BC247" s="257"/>
      <c r="BD247" s="196"/>
      <c r="BE247" s="191"/>
      <c r="BF247" s="46"/>
      <c r="BG247" s="196"/>
      <c r="BH247" s="46"/>
      <c r="BI247" s="257"/>
      <c r="BJ247" s="196"/>
      <c r="BK247" s="191"/>
      <c r="BL247" s="257"/>
      <c r="BM247" s="196"/>
      <c r="BN247" s="46"/>
      <c r="BO247" s="257"/>
      <c r="BP247" s="196"/>
      <c r="BQ247" s="190"/>
      <c r="BR247" s="46"/>
      <c r="BS247" s="196"/>
      <c r="BT247" s="46"/>
      <c r="BU247" s="257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196"/>
      <c r="CI247" s="46"/>
      <c r="CJ247" s="46"/>
      <c r="CK247" s="46"/>
      <c r="CL247" s="46"/>
      <c r="CM247" s="46"/>
      <c r="CN247" s="196"/>
      <c r="CO247" s="191"/>
      <c r="CP247" s="257"/>
      <c r="CQ247" s="196"/>
      <c r="CR247" s="167"/>
      <c r="CS247" s="257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191"/>
      <c r="DN247" s="46"/>
      <c r="DO247" s="196"/>
      <c r="DP247" s="221"/>
      <c r="DQ247" s="257">
        <f t="shared" si="25"/>
        <v>0</v>
      </c>
      <c r="DR247" s="296"/>
      <c r="DS247" s="295"/>
      <c r="DT247" s="386">
        <f t="shared" si="24"/>
        <v>0</v>
      </c>
      <c r="DU247" s="41"/>
      <c r="DV247" s="41"/>
      <c r="DW247" s="256"/>
      <c r="DX247" s="41"/>
      <c r="DY247" s="41"/>
      <c r="DZ247" s="68"/>
      <c r="EA247" s="41"/>
      <c r="EB247" s="41"/>
      <c r="EC247" s="256"/>
      <c r="ED247" s="308"/>
      <c r="EE247" s="308"/>
      <c r="EF247" s="308"/>
      <c r="EG247" s="41"/>
      <c r="EH247" s="41"/>
      <c r="EI247" s="41"/>
      <c r="EJ247" s="69"/>
      <c r="EK247" s="308"/>
      <c r="EL247" s="308"/>
      <c r="EM247" s="308"/>
      <c r="EN247" s="308"/>
      <c r="EO247" s="41"/>
      <c r="EP247" s="41"/>
      <c r="EQ247" s="41"/>
      <c r="ER247" s="256"/>
      <c r="ES247" s="293"/>
      <c r="ET247" s="293"/>
      <c r="EU247" s="293"/>
      <c r="EV247" s="293"/>
      <c r="EW247" s="41"/>
      <c r="EX247" s="41"/>
      <c r="EY247" s="41"/>
      <c r="EZ247" s="256"/>
      <c r="FA247" s="308"/>
      <c r="FB247" s="308"/>
      <c r="FC247" s="308"/>
      <c r="FD247" s="308"/>
      <c r="FE247" s="46"/>
      <c r="FF247" s="41"/>
      <c r="FG247" s="41"/>
      <c r="FH247" s="256"/>
      <c r="FI247" s="41"/>
      <c r="FJ247" s="41"/>
      <c r="FK247" s="41"/>
      <c r="FL247" s="276"/>
    </row>
    <row r="248" spans="1:168">
      <c r="A248" s="45">
        <v>241</v>
      </c>
      <c r="B248" s="45" t="s">
        <v>210</v>
      </c>
      <c r="C248" s="45">
        <v>4</v>
      </c>
      <c r="D248" s="29" t="s">
        <v>149</v>
      </c>
      <c r="E248" s="30">
        <v>157</v>
      </c>
      <c r="F248" s="30">
        <v>2</v>
      </c>
      <c r="G248" s="246">
        <f>881019.168/1000</f>
        <v>881.01916799999992</v>
      </c>
      <c r="H248" s="45">
        <v>881019.16799999995</v>
      </c>
      <c r="I248" s="45">
        <v>0</v>
      </c>
      <c r="J248" s="397">
        <v>526.46917000000008</v>
      </c>
      <c r="K248" s="495">
        <f t="shared" si="22"/>
        <v>1407.4883380000001</v>
      </c>
      <c r="L248" s="578"/>
      <c r="M248" s="45">
        <f t="shared" si="23"/>
        <v>0</v>
      </c>
      <c r="N248" s="46">
        <f t="shared" si="20"/>
        <v>1407.4883380000001</v>
      </c>
      <c r="O248" s="46">
        <f t="shared" si="26"/>
        <v>1265</v>
      </c>
      <c r="P248" s="234" t="s">
        <v>247</v>
      </c>
      <c r="Q248" s="46">
        <v>1</v>
      </c>
      <c r="R248" s="450">
        <v>1</v>
      </c>
      <c r="S248" s="257">
        <v>700000</v>
      </c>
      <c r="T248" s="46"/>
      <c r="U248" s="46"/>
      <c r="V248" s="167"/>
      <c r="W248" s="46"/>
      <c r="X248" s="196"/>
      <c r="Y248" s="46"/>
      <c r="Z248" s="167"/>
      <c r="AA248" s="46"/>
      <c r="AB248" s="46"/>
      <c r="AC248" s="46"/>
      <c r="AD248" s="167"/>
      <c r="AE248" s="46"/>
      <c r="AF248" s="196"/>
      <c r="AG248" s="46"/>
      <c r="AH248" s="46"/>
      <c r="AI248" s="46"/>
      <c r="AJ248" s="46"/>
      <c r="AK248" s="46"/>
      <c r="AL248" s="46"/>
      <c r="AM248" s="46"/>
      <c r="AN248" s="196"/>
      <c r="AO248" s="438"/>
      <c r="AP248" s="46"/>
      <c r="AQ248" s="368"/>
      <c r="AR248" s="257"/>
      <c r="AS248" s="196"/>
      <c r="AT248" s="46"/>
      <c r="AU248" s="167"/>
      <c r="AV248" s="196"/>
      <c r="AW248" s="257"/>
      <c r="AX248" s="196"/>
      <c r="AY248" s="190"/>
      <c r="AZ248" s="257"/>
      <c r="BA248" s="196"/>
      <c r="BB248" s="46"/>
      <c r="BC248" s="257"/>
      <c r="BD248" s="196"/>
      <c r="BE248" s="191"/>
      <c r="BF248" s="46"/>
      <c r="BG248" s="196"/>
      <c r="BH248" s="46"/>
      <c r="BI248" s="257"/>
      <c r="BJ248" s="196" t="s">
        <v>248</v>
      </c>
      <c r="BK248" s="191">
        <v>150</v>
      </c>
      <c r="BL248" s="257">
        <f>BK248*3500</f>
        <v>525000</v>
      </c>
      <c r="BM248" s="196"/>
      <c r="BN248" s="46"/>
      <c r="BO248" s="257"/>
      <c r="BP248" s="196"/>
      <c r="BQ248" s="190"/>
      <c r="BR248" s="46"/>
      <c r="BS248" s="196"/>
      <c r="BT248" s="46"/>
      <c r="BU248" s="257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196"/>
      <c r="CI248" s="46"/>
      <c r="CJ248" s="46"/>
      <c r="CK248" s="46"/>
      <c r="CL248" s="46"/>
      <c r="CM248" s="46"/>
      <c r="CN248" s="196"/>
      <c r="CO248" s="191"/>
      <c r="CP248" s="257"/>
      <c r="CQ248" s="196"/>
      <c r="CR248" s="167"/>
      <c r="CS248" s="257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191"/>
      <c r="DN248" s="46"/>
      <c r="DO248" s="196"/>
      <c r="DP248" s="221" t="s">
        <v>589</v>
      </c>
      <c r="DQ248" s="257">
        <f>DW248+EC248+EJ248+ER248+EZ248+FH248+40*1000</f>
        <v>40000</v>
      </c>
      <c r="DR248" s="296"/>
      <c r="DS248" s="295"/>
      <c r="DT248" s="386">
        <f t="shared" si="24"/>
        <v>0</v>
      </c>
      <c r="DU248" s="41"/>
      <c r="DV248" s="41"/>
      <c r="DW248" s="256"/>
      <c r="DX248" s="41"/>
      <c r="DY248" s="41"/>
      <c r="DZ248" s="68"/>
      <c r="EA248" s="41"/>
      <c r="EB248" s="41"/>
      <c r="EC248" s="256"/>
      <c r="ED248" s="308"/>
      <c r="EE248" s="308"/>
      <c r="EF248" s="308"/>
      <c r="EG248" s="41"/>
      <c r="EH248" s="41"/>
      <c r="EI248" s="41"/>
      <c r="EJ248" s="69"/>
      <c r="EK248" s="308"/>
      <c r="EL248" s="308"/>
      <c r="EM248" s="308"/>
      <c r="EN248" s="308"/>
      <c r="EO248" s="41"/>
      <c r="EP248" s="41"/>
      <c r="EQ248" s="41"/>
      <c r="ER248" s="256"/>
      <c r="ES248" s="293"/>
      <c r="ET248" s="293"/>
      <c r="EU248" s="293"/>
      <c r="EV248" s="293"/>
      <c r="EW248" s="41"/>
      <c r="EX248" s="41"/>
      <c r="EY248" s="41"/>
      <c r="EZ248" s="256"/>
      <c r="FA248" s="308"/>
      <c r="FB248" s="308"/>
      <c r="FC248" s="308"/>
      <c r="FD248" s="308"/>
      <c r="FE248" s="46"/>
      <c r="FF248" s="41"/>
      <c r="FG248" s="41"/>
      <c r="FH248" s="256"/>
      <c r="FI248" s="41"/>
      <c r="FJ248" s="41"/>
      <c r="FK248" s="41"/>
      <c r="FL248" s="276"/>
    </row>
    <row r="249" spans="1:168">
      <c r="A249" s="45">
        <v>242</v>
      </c>
      <c r="B249" s="45" t="s">
        <v>210</v>
      </c>
      <c r="C249" s="45">
        <v>5</v>
      </c>
      <c r="D249" s="29" t="s">
        <v>154</v>
      </c>
      <c r="E249" s="30" t="s">
        <v>155</v>
      </c>
      <c r="F249" s="30">
        <v>5</v>
      </c>
      <c r="G249" s="246">
        <f>65529.2484/1000</f>
        <v>65.5292484</v>
      </c>
      <c r="H249" s="45">
        <v>65529.248399999989</v>
      </c>
      <c r="I249" s="45">
        <v>0</v>
      </c>
      <c r="J249" s="397">
        <v>86.050939999999997</v>
      </c>
      <c r="K249" s="495">
        <f t="shared" si="22"/>
        <v>151.5801884</v>
      </c>
      <c r="L249" s="578"/>
      <c r="M249" s="45">
        <f t="shared" si="23"/>
        <v>0</v>
      </c>
      <c r="N249" s="46">
        <f t="shared" si="20"/>
        <v>151.5801884</v>
      </c>
      <c r="O249" s="46">
        <f t="shared" si="26"/>
        <v>123.8</v>
      </c>
      <c r="P249" s="234"/>
      <c r="Q249" s="46">
        <v>1</v>
      </c>
      <c r="R249" s="450">
        <v>1</v>
      </c>
      <c r="S249" s="257">
        <v>90000</v>
      </c>
      <c r="T249" s="46"/>
      <c r="U249" s="46"/>
      <c r="V249" s="46"/>
      <c r="W249" s="46"/>
      <c r="X249" s="196"/>
      <c r="Y249" s="46"/>
      <c r="Z249" s="46"/>
      <c r="AA249" s="46"/>
      <c r="AB249" s="46"/>
      <c r="AC249" s="46"/>
      <c r="AD249" s="46"/>
      <c r="AE249" s="46"/>
      <c r="AF249" s="196"/>
      <c r="AG249" s="46"/>
      <c r="AH249" s="46"/>
      <c r="AI249" s="46"/>
      <c r="AJ249" s="46"/>
      <c r="AK249" s="46"/>
      <c r="AL249" s="46"/>
      <c r="AM249" s="46"/>
      <c r="AN249" s="196" t="s">
        <v>249</v>
      </c>
      <c r="AO249" s="438" t="s">
        <v>335</v>
      </c>
      <c r="AP249" s="46">
        <v>26</v>
      </c>
      <c r="AQ249" s="368" t="s">
        <v>552</v>
      </c>
      <c r="AR249" s="257">
        <f>AP249*1300</f>
        <v>33800</v>
      </c>
      <c r="AS249" s="196"/>
      <c r="AT249" s="46"/>
      <c r="AU249" s="46"/>
      <c r="AV249" s="196"/>
      <c r="AW249" s="257"/>
      <c r="AX249" s="196"/>
      <c r="AY249" s="191"/>
      <c r="AZ249" s="257"/>
      <c r="BA249" s="196"/>
      <c r="BB249" s="46"/>
      <c r="BC249" s="257"/>
      <c r="BD249" s="196"/>
      <c r="BE249" s="191"/>
      <c r="BF249" s="46"/>
      <c r="BG249" s="196"/>
      <c r="BH249" s="46"/>
      <c r="BI249" s="257"/>
      <c r="BJ249" s="196"/>
      <c r="BK249" s="191"/>
      <c r="BL249" s="257"/>
      <c r="BM249" s="196"/>
      <c r="BN249" s="46"/>
      <c r="BO249" s="257"/>
      <c r="BP249" s="196"/>
      <c r="BQ249" s="190"/>
      <c r="BR249" s="46"/>
      <c r="BS249" s="196"/>
      <c r="BT249" s="46"/>
      <c r="BU249" s="257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196"/>
      <c r="CI249" s="46"/>
      <c r="CJ249" s="46"/>
      <c r="CK249" s="46"/>
      <c r="CL249" s="46"/>
      <c r="CM249" s="46"/>
      <c r="CN249" s="196"/>
      <c r="CO249" s="191"/>
      <c r="CP249" s="257"/>
      <c r="CQ249" s="196"/>
      <c r="CR249" s="167"/>
      <c r="CS249" s="257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191"/>
      <c r="DN249" s="46"/>
      <c r="DO249" s="196"/>
      <c r="DP249" s="221"/>
      <c r="DQ249" s="257">
        <f t="shared" si="25"/>
        <v>0</v>
      </c>
      <c r="DR249" s="294"/>
      <c r="DS249" s="295"/>
      <c r="DT249" s="386">
        <f t="shared" si="24"/>
        <v>0</v>
      </c>
      <c r="DU249" s="41"/>
      <c r="DV249" s="41"/>
      <c r="DW249" s="256"/>
      <c r="DX249" s="41"/>
      <c r="DY249" s="41"/>
      <c r="DZ249" s="68"/>
      <c r="EA249" s="41"/>
      <c r="EB249" s="41"/>
      <c r="EC249" s="256"/>
      <c r="ED249" s="308"/>
      <c r="EE249" s="308"/>
      <c r="EF249" s="308"/>
      <c r="EG249" s="41"/>
      <c r="EH249" s="41"/>
      <c r="EI249" s="41"/>
      <c r="EJ249" s="69"/>
      <c r="EK249" s="308"/>
      <c r="EL249" s="308"/>
      <c r="EM249" s="308"/>
      <c r="EN249" s="308"/>
      <c r="EO249" s="41"/>
      <c r="EP249" s="41"/>
      <c r="EQ249" s="41"/>
      <c r="ER249" s="256"/>
      <c r="ES249" s="293"/>
      <c r="ET249" s="293"/>
      <c r="EU249" s="293"/>
      <c r="EV249" s="293"/>
      <c r="EW249" s="41"/>
      <c r="EX249" s="41"/>
      <c r="EY249" s="41"/>
      <c r="EZ249" s="256"/>
      <c r="FA249" s="308"/>
      <c r="FB249" s="308"/>
      <c r="FC249" s="308"/>
      <c r="FD249" s="308"/>
      <c r="FE249" s="46"/>
      <c r="FF249" s="41"/>
      <c r="FG249" s="41"/>
      <c r="FH249" s="256"/>
      <c r="FI249" s="41"/>
      <c r="FJ249" s="41"/>
      <c r="FK249" s="41"/>
      <c r="FL249" s="276"/>
    </row>
    <row r="250" spans="1:168" ht="20.25">
      <c r="A250" s="45">
        <v>243</v>
      </c>
      <c r="B250" s="45" t="s">
        <v>210</v>
      </c>
      <c r="C250" s="45">
        <v>5</v>
      </c>
      <c r="D250" s="29" t="s">
        <v>508</v>
      </c>
      <c r="E250" s="175">
        <v>166</v>
      </c>
      <c r="F250" s="188">
        <v>7</v>
      </c>
      <c r="G250" s="246">
        <f>55960.758/1000</f>
        <v>55.960757999999998</v>
      </c>
      <c r="H250" s="45">
        <v>0</v>
      </c>
      <c r="I250" s="45">
        <v>55960.758000000009</v>
      </c>
      <c r="J250" s="397">
        <v>80.125410000000016</v>
      </c>
      <c r="K250" s="495">
        <f t="shared" si="22"/>
        <v>136.08616800000001</v>
      </c>
      <c r="L250" s="578"/>
      <c r="M250" s="45">
        <f t="shared" si="23"/>
        <v>0</v>
      </c>
      <c r="N250" s="46">
        <f>K250-M250</f>
        <v>136.08616800000001</v>
      </c>
      <c r="O250" s="46">
        <f t="shared" si="26"/>
        <v>100</v>
      </c>
      <c r="P250" s="234"/>
      <c r="Q250" s="46"/>
      <c r="R250" s="450"/>
      <c r="S250" s="257"/>
      <c r="T250" s="46"/>
      <c r="U250" s="46"/>
      <c r="V250" s="46"/>
      <c r="W250" s="46"/>
      <c r="X250" s="196"/>
      <c r="Y250" s="46"/>
      <c r="Z250" s="46"/>
      <c r="AA250" s="46"/>
      <c r="AB250" s="46"/>
      <c r="AC250" s="46"/>
      <c r="AD250" s="46"/>
      <c r="AE250" s="46"/>
      <c r="AF250" s="196"/>
      <c r="AG250" s="46"/>
      <c r="AH250" s="46"/>
      <c r="AI250" s="46"/>
      <c r="AJ250" s="46"/>
      <c r="AK250" s="46"/>
      <c r="AL250" s="46"/>
      <c r="AM250" s="46"/>
      <c r="AN250" s="196"/>
      <c r="AO250" s="438"/>
      <c r="AP250" s="46"/>
      <c r="AQ250" s="368"/>
      <c r="AR250" s="257"/>
      <c r="AS250" s="196"/>
      <c r="AT250" s="46"/>
      <c r="AU250" s="46"/>
      <c r="AV250" s="196"/>
      <c r="AW250" s="257"/>
      <c r="AX250" s="196"/>
      <c r="AY250" s="191"/>
      <c r="AZ250" s="257"/>
      <c r="BA250" s="196"/>
      <c r="BB250" s="46"/>
      <c r="BC250" s="257"/>
      <c r="BD250" s="196"/>
      <c r="BE250" s="191"/>
      <c r="BF250" s="46"/>
      <c r="BG250" s="196"/>
      <c r="BH250" s="46"/>
      <c r="BI250" s="257"/>
      <c r="BJ250" s="196"/>
      <c r="BK250" s="191"/>
      <c r="BL250" s="257"/>
      <c r="BM250" s="196"/>
      <c r="BN250" s="46"/>
      <c r="BO250" s="257"/>
      <c r="BP250" s="196"/>
      <c r="BQ250" s="190"/>
      <c r="BR250" s="46"/>
      <c r="BS250" s="196"/>
      <c r="BT250" s="46"/>
      <c r="BU250" s="257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196"/>
      <c r="CI250" s="46"/>
      <c r="CJ250" s="46"/>
      <c r="CK250" s="46"/>
      <c r="CL250" s="46"/>
      <c r="CM250" s="46"/>
      <c r="CN250" s="196" t="s">
        <v>249</v>
      </c>
      <c r="CO250" s="191" t="s">
        <v>522</v>
      </c>
      <c r="CP250" s="257">
        <v>70000</v>
      </c>
      <c r="CQ250" s="196"/>
      <c r="CR250" s="167"/>
      <c r="CS250" s="257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191"/>
      <c r="DN250" s="46"/>
      <c r="DO250" s="218"/>
      <c r="DP250" s="221" t="s">
        <v>944</v>
      </c>
      <c r="DQ250" s="257">
        <f>DW250+EC250+EJ250+ER250+EZ250+FH250+10000</f>
        <v>30000</v>
      </c>
      <c r="DR250" s="294"/>
      <c r="DS250" s="295"/>
      <c r="DT250" s="386">
        <f t="shared" si="24"/>
        <v>0</v>
      </c>
      <c r="DU250" s="41"/>
      <c r="DV250" s="41"/>
      <c r="DW250" s="256"/>
      <c r="DX250" s="41"/>
      <c r="DY250" s="41"/>
      <c r="DZ250" s="68"/>
      <c r="EA250" s="41"/>
      <c r="EB250" s="41"/>
      <c r="EC250" s="256"/>
      <c r="ED250" s="308"/>
      <c r="EE250" s="308"/>
      <c r="EF250" s="308"/>
      <c r="EG250" s="41"/>
      <c r="EH250" s="41"/>
      <c r="EI250" s="41"/>
      <c r="EJ250" s="69"/>
      <c r="EK250" s="308"/>
      <c r="EL250" s="308"/>
      <c r="EM250" s="308"/>
      <c r="EN250" s="308"/>
      <c r="EO250" s="41">
        <v>10</v>
      </c>
      <c r="EP250" s="41">
        <v>1</v>
      </c>
      <c r="EQ250" s="41">
        <v>1</v>
      </c>
      <c r="ER250" s="256">
        <v>20000</v>
      </c>
      <c r="ES250" s="293"/>
      <c r="ET250" s="293"/>
      <c r="EU250" s="293"/>
      <c r="EV250" s="293"/>
      <c r="EW250" s="41"/>
      <c r="EX250" s="41"/>
      <c r="EY250" s="41"/>
      <c r="EZ250" s="256"/>
      <c r="FA250" s="308"/>
      <c r="FB250" s="308"/>
      <c r="FC250" s="308"/>
      <c r="FD250" s="308"/>
      <c r="FE250" s="41"/>
      <c r="FF250" s="41"/>
      <c r="FG250" s="41"/>
      <c r="FH250" s="256"/>
      <c r="FI250" s="41"/>
      <c r="FJ250" s="41"/>
      <c r="FK250" s="41"/>
      <c r="FL250" s="276"/>
    </row>
    <row r="251" spans="1:168">
      <c r="A251" s="45">
        <v>244</v>
      </c>
      <c r="B251" s="45" t="s">
        <v>210</v>
      </c>
      <c r="C251" s="45">
        <v>5</v>
      </c>
      <c r="D251" s="29" t="s">
        <v>149</v>
      </c>
      <c r="E251" s="30">
        <v>168</v>
      </c>
      <c r="F251" s="30">
        <v>5</v>
      </c>
      <c r="G251" s="246">
        <f>43355.466/1000</f>
        <v>43.355466</v>
      </c>
      <c r="H251" s="45">
        <v>43355.466</v>
      </c>
      <c r="I251" s="45">
        <v>0</v>
      </c>
      <c r="J251" s="397">
        <v>30.465420000000016</v>
      </c>
      <c r="K251" s="495">
        <f t="shared" si="22"/>
        <v>73.820886000000016</v>
      </c>
      <c r="L251" s="578"/>
      <c r="M251" s="45">
        <f t="shared" si="23"/>
        <v>0</v>
      </c>
      <c r="N251" s="46">
        <f t="shared" si="20"/>
        <v>73.820886000000016</v>
      </c>
      <c r="O251" s="46">
        <f t="shared" si="26"/>
        <v>59</v>
      </c>
      <c r="P251" s="234"/>
      <c r="Q251" s="46"/>
      <c r="R251" s="450"/>
      <c r="S251" s="257"/>
      <c r="T251" s="46"/>
      <c r="U251" s="46"/>
      <c r="V251" s="46"/>
      <c r="W251" s="46"/>
      <c r="X251" s="196"/>
      <c r="Y251" s="46"/>
      <c r="Z251" s="46"/>
      <c r="AA251" s="46"/>
      <c r="AB251" s="46"/>
      <c r="AC251" s="46"/>
      <c r="AD251" s="46"/>
      <c r="AE251" s="46"/>
      <c r="AF251" s="196"/>
      <c r="AG251" s="46"/>
      <c r="AH251" s="46"/>
      <c r="AI251" s="46"/>
      <c r="AJ251" s="46"/>
      <c r="AK251" s="46"/>
      <c r="AL251" s="46"/>
      <c r="AM251" s="46"/>
      <c r="AN251" s="196" t="s">
        <v>248</v>
      </c>
      <c r="AO251" s="438" t="s">
        <v>335</v>
      </c>
      <c r="AP251" s="46">
        <v>30</v>
      </c>
      <c r="AQ251" s="368" t="s">
        <v>322</v>
      </c>
      <c r="AR251" s="257">
        <f>AP251*1300</f>
        <v>39000</v>
      </c>
      <c r="AS251" s="196"/>
      <c r="AT251" s="46"/>
      <c r="AU251" s="46"/>
      <c r="AV251" s="196"/>
      <c r="AW251" s="257"/>
      <c r="AX251" s="196"/>
      <c r="AY251" s="191"/>
      <c r="AZ251" s="257"/>
      <c r="BA251" s="196"/>
      <c r="BB251" s="46"/>
      <c r="BC251" s="257"/>
      <c r="BD251" s="196"/>
      <c r="BE251" s="191"/>
      <c r="BF251" s="46"/>
      <c r="BG251" s="196"/>
      <c r="BH251" s="46"/>
      <c r="BI251" s="257"/>
      <c r="BJ251" s="196"/>
      <c r="BK251" s="190"/>
      <c r="BL251" s="257"/>
      <c r="BM251" s="196"/>
      <c r="BN251" s="46"/>
      <c r="BO251" s="257"/>
      <c r="BP251" s="196"/>
      <c r="BQ251" s="190"/>
      <c r="BR251" s="46"/>
      <c r="BS251" s="196"/>
      <c r="BT251" s="46"/>
      <c r="BU251" s="257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196"/>
      <c r="CI251" s="46"/>
      <c r="CJ251" s="46"/>
      <c r="CK251" s="46"/>
      <c r="CL251" s="46"/>
      <c r="CM251" s="46"/>
      <c r="CN251" s="196"/>
      <c r="CO251" s="191"/>
      <c r="CP251" s="257"/>
      <c r="CQ251" s="196"/>
      <c r="CR251" s="167"/>
      <c r="CS251" s="257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191"/>
      <c r="DN251" s="46"/>
      <c r="DO251" s="196"/>
      <c r="DP251" s="221" t="s">
        <v>945</v>
      </c>
      <c r="DQ251" s="257">
        <f t="shared" si="25"/>
        <v>20000</v>
      </c>
      <c r="DR251" s="294"/>
      <c r="DS251" s="295"/>
      <c r="DT251" s="386">
        <f t="shared" si="24"/>
        <v>0</v>
      </c>
      <c r="DU251" s="41"/>
      <c r="DV251" s="41"/>
      <c r="DW251" s="256"/>
      <c r="DX251" s="41"/>
      <c r="DY251" s="41"/>
      <c r="DZ251" s="68"/>
      <c r="EA251" s="41"/>
      <c r="EB251" s="41"/>
      <c r="EC251" s="256"/>
      <c r="ED251" s="308"/>
      <c r="EE251" s="308"/>
      <c r="EF251" s="308"/>
      <c r="EG251" s="41"/>
      <c r="EH251" s="41"/>
      <c r="EI251" s="41"/>
      <c r="EJ251" s="69"/>
      <c r="EK251" s="308"/>
      <c r="EL251" s="308"/>
      <c r="EM251" s="308"/>
      <c r="EN251" s="308"/>
      <c r="EO251" s="41">
        <v>11</v>
      </c>
      <c r="EP251" s="41">
        <v>1</v>
      </c>
      <c r="EQ251" s="41">
        <v>2</v>
      </c>
      <c r="ER251" s="256">
        <v>20000</v>
      </c>
      <c r="ES251" s="293"/>
      <c r="ET251" s="293"/>
      <c r="EU251" s="293"/>
      <c r="EV251" s="293"/>
      <c r="EW251" s="41"/>
      <c r="EX251" s="41"/>
      <c r="EY251" s="41"/>
      <c r="EZ251" s="256"/>
      <c r="FA251" s="308"/>
      <c r="FB251" s="308"/>
      <c r="FC251" s="308"/>
      <c r="FD251" s="308"/>
      <c r="FE251" s="46"/>
      <c r="FF251" s="41"/>
      <c r="FG251" s="41"/>
      <c r="FH251" s="256"/>
      <c r="FI251" s="41"/>
      <c r="FJ251" s="41"/>
      <c r="FK251" s="41"/>
      <c r="FL251" s="276"/>
    </row>
    <row r="252" spans="1:168" ht="23.25">
      <c r="A252" s="45">
        <v>245</v>
      </c>
      <c r="B252" s="45" t="s">
        <v>210</v>
      </c>
      <c r="C252" s="45">
        <v>5</v>
      </c>
      <c r="D252" s="29" t="s">
        <v>149</v>
      </c>
      <c r="E252" s="30">
        <v>170</v>
      </c>
      <c r="F252" s="30">
        <v>7</v>
      </c>
      <c r="G252" s="246">
        <f>56525.4899999999/1000</f>
        <v>56.525489999999905</v>
      </c>
      <c r="H252" s="45">
        <v>0</v>
      </c>
      <c r="I252" s="45">
        <v>56525.489999999991</v>
      </c>
      <c r="J252" s="397">
        <v>260.529402</v>
      </c>
      <c r="K252" s="495">
        <f t="shared" si="22"/>
        <v>317.05489199999988</v>
      </c>
      <c r="L252" s="578"/>
      <c r="M252" s="45">
        <f t="shared" si="23"/>
        <v>0</v>
      </c>
      <c r="N252" s="46">
        <f t="shared" si="20"/>
        <v>317.05489199999988</v>
      </c>
      <c r="O252" s="46">
        <f t="shared" si="26"/>
        <v>110</v>
      </c>
      <c r="P252" s="234" t="s">
        <v>227</v>
      </c>
      <c r="Q252" s="46">
        <v>1</v>
      </c>
      <c r="R252" s="450" t="s">
        <v>853</v>
      </c>
      <c r="S252" s="257">
        <v>110000</v>
      </c>
      <c r="T252" s="46"/>
      <c r="U252" s="46"/>
      <c r="V252" s="46"/>
      <c r="W252" s="46"/>
      <c r="X252" s="196"/>
      <c r="Y252" s="46"/>
      <c r="Z252" s="46"/>
      <c r="AA252" s="46"/>
      <c r="AB252" s="46"/>
      <c r="AC252" s="46"/>
      <c r="AD252" s="46"/>
      <c r="AE252" s="46"/>
      <c r="AF252" s="196"/>
      <c r="AG252" s="46"/>
      <c r="AH252" s="46"/>
      <c r="AI252" s="46"/>
      <c r="AJ252" s="46"/>
      <c r="AK252" s="46"/>
      <c r="AL252" s="46"/>
      <c r="AM252" s="46"/>
      <c r="AN252" s="196"/>
      <c r="AO252" s="438"/>
      <c r="AP252" s="46"/>
      <c r="AQ252" s="368"/>
      <c r="AR252" s="257"/>
      <c r="AS252" s="196"/>
      <c r="AT252" s="46"/>
      <c r="AU252" s="46"/>
      <c r="AV252" s="196"/>
      <c r="AW252" s="257"/>
      <c r="AX252" s="196"/>
      <c r="AY252" s="191"/>
      <c r="AZ252" s="257"/>
      <c r="BA252" s="196"/>
      <c r="BB252" s="46"/>
      <c r="BC252" s="257"/>
      <c r="BD252" s="196"/>
      <c r="BE252" s="191"/>
      <c r="BF252" s="46"/>
      <c r="BG252" s="196"/>
      <c r="BH252" s="46"/>
      <c r="BI252" s="257"/>
      <c r="BJ252" s="196"/>
      <c r="BK252" s="191"/>
      <c r="BL252" s="257"/>
      <c r="BM252" s="196"/>
      <c r="BN252" s="46"/>
      <c r="BO252" s="257"/>
      <c r="BP252" s="196"/>
      <c r="BQ252" s="190"/>
      <c r="BR252" s="46"/>
      <c r="BS252" s="196"/>
      <c r="BT252" s="46"/>
      <c r="BU252" s="257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196"/>
      <c r="CI252" s="46"/>
      <c r="CJ252" s="46"/>
      <c r="CK252" s="46"/>
      <c r="CL252" s="46"/>
      <c r="CM252" s="46"/>
      <c r="CN252" s="196"/>
      <c r="CO252" s="191"/>
      <c r="CP252" s="257"/>
      <c r="CQ252" s="196"/>
      <c r="CR252" s="167"/>
      <c r="CS252" s="257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191"/>
      <c r="DN252" s="46"/>
      <c r="DO252" s="196"/>
      <c r="DP252" s="221"/>
      <c r="DQ252" s="257">
        <f t="shared" si="25"/>
        <v>0</v>
      </c>
      <c r="DR252" s="294"/>
      <c r="DS252" s="295"/>
      <c r="DT252" s="386">
        <f t="shared" si="24"/>
        <v>0</v>
      </c>
      <c r="DU252" s="41"/>
      <c r="DV252" s="41"/>
      <c r="DW252" s="256"/>
      <c r="DX252" s="41"/>
      <c r="DY252" s="41"/>
      <c r="DZ252" s="68"/>
      <c r="EA252" s="41"/>
      <c r="EB252" s="41"/>
      <c r="EC252" s="256"/>
      <c r="ED252" s="308"/>
      <c r="EE252" s="308"/>
      <c r="EF252" s="308"/>
      <c r="EG252" s="41"/>
      <c r="EH252" s="41"/>
      <c r="EI252" s="41"/>
      <c r="EJ252" s="69"/>
      <c r="EK252" s="308"/>
      <c r="EL252" s="308"/>
      <c r="EM252" s="308"/>
      <c r="EN252" s="308"/>
      <c r="EO252" s="41"/>
      <c r="EP252" s="41"/>
      <c r="EQ252" s="41"/>
      <c r="ER252" s="256"/>
      <c r="ES252" s="293"/>
      <c r="ET252" s="293"/>
      <c r="EU252" s="293"/>
      <c r="EV252" s="293"/>
      <c r="EW252" s="41"/>
      <c r="EX252" s="41"/>
      <c r="EY252" s="41"/>
      <c r="EZ252" s="256"/>
      <c r="FA252" s="308"/>
      <c r="FB252" s="308"/>
      <c r="FC252" s="308"/>
      <c r="FD252" s="308"/>
      <c r="FE252" s="41"/>
      <c r="FF252" s="41"/>
      <c r="FG252" s="41"/>
      <c r="FH252" s="256"/>
      <c r="FI252" s="41"/>
      <c r="FJ252" s="41"/>
      <c r="FK252" s="41"/>
      <c r="FL252" s="276"/>
    </row>
    <row r="253" spans="1:168" ht="23.25">
      <c r="A253" s="45">
        <v>246</v>
      </c>
      <c r="B253" s="45" t="s">
        <v>210</v>
      </c>
      <c r="C253" s="45">
        <v>5</v>
      </c>
      <c r="D253" s="29" t="s">
        <v>149</v>
      </c>
      <c r="E253" s="30" t="s">
        <v>156</v>
      </c>
      <c r="F253" s="30">
        <v>5</v>
      </c>
      <c r="G253" s="246">
        <f>63534.24/1000</f>
        <v>63.534239999999997</v>
      </c>
      <c r="H253" s="45">
        <v>63534.240000000005</v>
      </c>
      <c r="I253" s="45">
        <v>0</v>
      </c>
      <c r="J253" s="397">
        <v>92.905119999999997</v>
      </c>
      <c r="K253" s="495">
        <f t="shared" si="22"/>
        <v>156.43935999999999</v>
      </c>
      <c r="L253" s="578"/>
      <c r="M253" s="45">
        <f t="shared" si="23"/>
        <v>0</v>
      </c>
      <c r="N253" s="46">
        <f t="shared" si="20"/>
        <v>156.43935999999999</v>
      </c>
      <c r="O253" s="46">
        <f t="shared" si="26"/>
        <v>112</v>
      </c>
      <c r="P253" s="234"/>
      <c r="Q253" s="46">
        <v>3</v>
      </c>
      <c r="R253" s="450" t="s">
        <v>947</v>
      </c>
      <c r="S253" s="257">
        <f>15000*3</f>
        <v>45000</v>
      </c>
      <c r="T253" s="46"/>
      <c r="U253" s="46"/>
      <c r="V253" s="46"/>
      <c r="W253" s="46"/>
      <c r="X253" s="196"/>
      <c r="Y253" s="46"/>
      <c r="Z253" s="46"/>
      <c r="AA253" s="46"/>
      <c r="AB253" s="46"/>
      <c r="AC253" s="46"/>
      <c r="AD253" s="46"/>
      <c r="AE253" s="46"/>
      <c r="AF253" s="196"/>
      <c r="AG253" s="46"/>
      <c r="AH253" s="46"/>
      <c r="AI253" s="46"/>
      <c r="AJ253" s="46"/>
      <c r="AK253" s="46"/>
      <c r="AL253" s="46"/>
      <c r="AM253" s="46"/>
      <c r="AN253" s="196" t="s">
        <v>227</v>
      </c>
      <c r="AO253" s="438" t="s">
        <v>335</v>
      </c>
      <c r="AP253" s="46">
        <v>40</v>
      </c>
      <c r="AQ253" s="368" t="s">
        <v>254</v>
      </c>
      <c r="AR253" s="257">
        <f>AP253*1300</f>
        <v>52000</v>
      </c>
      <c r="AS253" s="196"/>
      <c r="AT253" s="46"/>
      <c r="AU253" s="46"/>
      <c r="AV253" s="196"/>
      <c r="AW253" s="257"/>
      <c r="AX253" s="196"/>
      <c r="AY253" s="191"/>
      <c r="AZ253" s="257"/>
      <c r="BA253" s="196"/>
      <c r="BB253" s="46"/>
      <c r="BC253" s="257"/>
      <c r="BD253" s="196"/>
      <c r="BE253" s="191"/>
      <c r="BF253" s="46"/>
      <c r="BG253" s="196"/>
      <c r="BH253" s="46"/>
      <c r="BI253" s="257"/>
      <c r="BJ253" s="196"/>
      <c r="BK253" s="191"/>
      <c r="BL253" s="257"/>
      <c r="BM253" s="196"/>
      <c r="BN253" s="46"/>
      <c r="BO253" s="257"/>
      <c r="BP253" s="196"/>
      <c r="BQ253" s="190"/>
      <c r="BR253" s="46"/>
      <c r="BS253" s="196"/>
      <c r="BT253" s="46"/>
      <c r="BU253" s="257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196"/>
      <c r="CI253" s="46"/>
      <c r="CJ253" s="46"/>
      <c r="CK253" s="46"/>
      <c r="CL253" s="46"/>
      <c r="CM253" s="46"/>
      <c r="CN253" s="196"/>
      <c r="CO253" s="191"/>
      <c r="CP253" s="257"/>
      <c r="CQ253" s="196"/>
      <c r="CR253" s="167"/>
      <c r="CS253" s="257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191"/>
      <c r="DN253" s="46"/>
      <c r="DO253" s="218"/>
      <c r="DP253" s="221" t="s">
        <v>946</v>
      </c>
      <c r="DQ253" s="257">
        <f t="shared" si="25"/>
        <v>15000</v>
      </c>
      <c r="DR253" s="294"/>
      <c r="DS253" s="295"/>
      <c r="DT253" s="386">
        <f t="shared" si="24"/>
        <v>0</v>
      </c>
      <c r="DU253" s="41"/>
      <c r="DV253" s="41"/>
      <c r="DW253" s="256"/>
      <c r="DX253" s="41"/>
      <c r="DY253" s="41"/>
      <c r="DZ253" s="68"/>
      <c r="EA253" s="41"/>
      <c r="EB253" s="41"/>
      <c r="EC253" s="256"/>
      <c r="ED253" s="308"/>
      <c r="EE253" s="308"/>
      <c r="EF253" s="308"/>
      <c r="EG253" s="41"/>
      <c r="EH253" s="41"/>
      <c r="EI253" s="41"/>
      <c r="EJ253" s="69"/>
      <c r="EK253" s="308"/>
      <c r="EL253" s="308"/>
      <c r="EM253" s="308"/>
      <c r="EN253" s="308"/>
      <c r="EO253" s="41"/>
      <c r="EP253" s="41"/>
      <c r="EQ253" s="41"/>
      <c r="ER253" s="256"/>
      <c r="ES253" s="293"/>
      <c r="ET253" s="293"/>
      <c r="EU253" s="293"/>
      <c r="EV253" s="293"/>
      <c r="EW253" s="41"/>
      <c r="EX253" s="41"/>
      <c r="EY253" s="41"/>
      <c r="EZ253" s="256"/>
      <c r="FA253" s="308"/>
      <c r="FB253" s="308"/>
      <c r="FC253" s="308"/>
      <c r="FD253" s="308"/>
      <c r="FE253" s="46">
        <v>9</v>
      </c>
      <c r="FF253" s="41">
        <v>1</v>
      </c>
      <c r="FG253" s="41">
        <v>2</v>
      </c>
      <c r="FH253" s="256">
        <v>15000</v>
      </c>
      <c r="FI253" s="41"/>
      <c r="FJ253" s="41"/>
      <c r="FK253" s="41"/>
      <c r="FL253" s="276"/>
    </row>
    <row r="254" spans="1:168">
      <c r="A254" s="45">
        <v>247</v>
      </c>
      <c r="B254" s="45" t="s">
        <v>210</v>
      </c>
      <c r="C254" s="45">
        <v>4</v>
      </c>
      <c r="D254" s="29" t="s">
        <v>149</v>
      </c>
      <c r="E254" s="30">
        <v>176</v>
      </c>
      <c r="F254" s="30">
        <v>5</v>
      </c>
      <c r="G254" s="246">
        <f>59459.4/1000</f>
        <v>59.459400000000002</v>
      </c>
      <c r="H254" s="45">
        <v>59459.399999999994</v>
      </c>
      <c r="I254" s="45">
        <v>0</v>
      </c>
      <c r="J254" s="397">
        <v>-13.171679999999999</v>
      </c>
      <c r="K254" s="495">
        <f t="shared" si="22"/>
        <v>46.287720000000007</v>
      </c>
      <c r="L254" s="578"/>
      <c r="M254" s="45">
        <f t="shared" si="23"/>
        <v>0</v>
      </c>
      <c r="N254" s="46">
        <f t="shared" ref="N254:N340" si="27">K254-M254</f>
        <v>46.287720000000007</v>
      </c>
      <c r="O254" s="46">
        <f t="shared" si="26"/>
        <v>46</v>
      </c>
      <c r="P254" s="234"/>
      <c r="Q254" s="46"/>
      <c r="R254" s="450"/>
      <c r="S254" s="257"/>
      <c r="T254" s="46"/>
      <c r="U254" s="46"/>
      <c r="V254" s="46"/>
      <c r="W254" s="46"/>
      <c r="X254" s="196"/>
      <c r="Y254" s="46"/>
      <c r="Z254" s="46"/>
      <c r="AA254" s="46"/>
      <c r="AB254" s="46"/>
      <c r="AC254" s="46"/>
      <c r="AD254" s="46"/>
      <c r="AE254" s="46"/>
      <c r="AF254" s="196"/>
      <c r="AG254" s="46"/>
      <c r="AH254" s="46"/>
      <c r="AI254" s="46"/>
      <c r="AJ254" s="46"/>
      <c r="AK254" s="46"/>
      <c r="AL254" s="46"/>
      <c r="AM254" s="46"/>
      <c r="AN254" s="196"/>
      <c r="AO254" s="438"/>
      <c r="AP254" s="46"/>
      <c r="AQ254" s="368"/>
      <c r="AR254" s="257"/>
      <c r="AS254" s="196"/>
      <c r="AT254" s="46"/>
      <c r="AU254" s="46"/>
      <c r="AV254" s="196"/>
      <c r="AW254" s="257"/>
      <c r="AX254" s="196"/>
      <c r="AY254" s="191"/>
      <c r="AZ254" s="257"/>
      <c r="BA254" s="196"/>
      <c r="BB254" s="46"/>
      <c r="BC254" s="257"/>
      <c r="BD254" s="196"/>
      <c r="BE254" s="191"/>
      <c r="BF254" s="46"/>
      <c r="BG254" s="196"/>
      <c r="BH254" s="46"/>
      <c r="BI254" s="257"/>
      <c r="BJ254" s="196"/>
      <c r="BK254" s="191"/>
      <c r="BL254" s="257"/>
      <c r="BM254" s="196"/>
      <c r="BN254" s="46"/>
      <c r="BO254" s="257"/>
      <c r="BP254" s="196"/>
      <c r="BQ254" s="190"/>
      <c r="BR254" s="46"/>
      <c r="BS254" s="196"/>
      <c r="BT254" s="46"/>
      <c r="BU254" s="257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196"/>
      <c r="CI254" s="46"/>
      <c r="CJ254" s="46"/>
      <c r="CK254" s="46"/>
      <c r="CL254" s="46"/>
      <c r="CM254" s="46"/>
      <c r="CN254" s="196"/>
      <c r="CO254" s="191"/>
      <c r="CP254" s="257"/>
      <c r="CQ254" s="196"/>
      <c r="CR254" s="167"/>
      <c r="CS254" s="257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191"/>
      <c r="DN254" s="46"/>
      <c r="DO254" s="196"/>
      <c r="DP254" s="221" t="s">
        <v>531</v>
      </c>
      <c r="DQ254" s="257">
        <f>DW254+EC254+EJ254+ER254+EZ254+FH254+46000</f>
        <v>46000</v>
      </c>
      <c r="DR254" s="294"/>
      <c r="DS254" s="295"/>
      <c r="DT254" s="386">
        <f t="shared" si="24"/>
        <v>0</v>
      </c>
      <c r="DU254" s="41"/>
      <c r="DV254" s="41"/>
      <c r="DW254" s="256"/>
      <c r="DX254" s="41"/>
      <c r="DY254" s="41"/>
      <c r="DZ254" s="68"/>
      <c r="EA254" s="41"/>
      <c r="EB254" s="41"/>
      <c r="EC254" s="256"/>
      <c r="ED254" s="308"/>
      <c r="EE254" s="308"/>
      <c r="EF254" s="308"/>
      <c r="EG254" s="41"/>
      <c r="EH254" s="41"/>
      <c r="EI254" s="41"/>
      <c r="EJ254" s="69"/>
      <c r="EK254" s="308"/>
      <c r="EL254" s="308"/>
      <c r="EM254" s="308"/>
      <c r="EN254" s="308"/>
      <c r="EO254" s="41"/>
      <c r="EP254" s="41"/>
      <c r="EQ254" s="41"/>
      <c r="ER254" s="256"/>
      <c r="ES254" s="293"/>
      <c r="ET254" s="293"/>
      <c r="EU254" s="293"/>
      <c r="EV254" s="293"/>
      <c r="EW254" s="41"/>
      <c r="EX254" s="41"/>
      <c r="EY254" s="41"/>
      <c r="EZ254" s="256"/>
      <c r="FA254" s="308"/>
      <c r="FB254" s="308"/>
      <c r="FC254" s="308"/>
      <c r="FD254" s="308"/>
      <c r="FE254" s="46"/>
      <c r="FF254" s="41"/>
      <c r="FG254" s="41"/>
      <c r="FH254" s="256"/>
      <c r="FI254" s="41"/>
      <c r="FJ254" s="41"/>
      <c r="FK254" s="41"/>
      <c r="FL254" s="276"/>
    </row>
    <row r="255" spans="1:168">
      <c r="A255" s="45">
        <v>248</v>
      </c>
      <c r="B255" s="45" t="s">
        <v>210</v>
      </c>
      <c r="C255" s="45">
        <v>4</v>
      </c>
      <c r="D255" s="29" t="s">
        <v>157</v>
      </c>
      <c r="E255" s="30" t="s">
        <v>158</v>
      </c>
      <c r="F255" s="30">
        <v>5</v>
      </c>
      <c r="G255" s="246">
        <f>94115.4984/1000</f>
        <v>94.115498399999993</v>
      </c>
      <c r="H255" s="45">
        <v>94115.498399999982</v>
      </c>
      <c r="I255" s="45">
        <v>0</v>
      </c>
      <c r="J255" s="397">
        <v>201.86142999999998</v>
      </c>
      <c r="K255" s="495">
        <f t="shared" si="22"/>
        <v>295.97692839999996</v>
      </c>
      <c r="L255" s="578"/>
      <c r="M255" s="45">
        <f t="shared" si="23"/>
        <v>0</v>
      </c>
      <c r="N255" s="46">
        <f t="shared" si="27"/>
        <v>295.97692839999996</v>
      </c>
      <c r="O255" s="46">
        <f t="shared" si="26"/>
        <v>104.8</v>
      </c>
      <c r="P255" s="234"/>
      <c r="Q255" s="46"/>
      <c r="R255" s="450"/>
      <c r="S255" s="257"/>
      <c r="T255" s="46"/>
      <c r="U255" s="46"/>
      <c r="V255" s="46"/>
      <c r="W255" s="46"/>
      <c r="X255" s="196"/>
      <c r="Y255" s="46"/>
      <c r="Z255" s="46"/>
      <c r="AA255" s="46"/>
      <c r="AB255" s="46"/>
      <c r="AC255" s="46"/>
      <c r="AD255" s="46"/>
      <c r="AE255" s="46"/>
      <c r="AF255" s="196"/>
      <c r="AG255" s="46"/>
      <c r="AH255" s="46"/>
      <c r="AI255" s="46"/>
      <c r="AJ255" s="46"/>
      <c r="AK255" s="46"/>
      <c r="AL255" s="46"/>
      <c r="AM255" s="46"/>
      <c r="AN255" s="196"/>
      <c r="AO255" s="438"/>
      <c r="AP255" s="46"/>
      <c r="AQ255" s="368"/>
      <c r="AR255" s="257"/>
      <c r="AS255" s="196"/>
      <c r="AT255" s="46"/>
      <c r="AU255" s="46"/>
      <c r="AV255" s="196"/>
      <c r="AW255" s="257"/>
      <c r="AX255" s="196"/>
      <c r="AY255" s="191"/>
      <c r="AZ255" s="257"/>
      <c r="BA255" s="196"/>
      <c r="BB255" s="46"/>
      <c r="BC255" s="257"/>
      <c r="BD255" s="196"/>
      <c r="BE255" s="191"/>
      <c r="BF255" s="46"/>
      <c r="BG255" s="196"/>
      <c r="BH255" s="46"/>
      <c r="BI255" s="257"/>
      <c r="BJ255" s="196"/>
      <c r="BK255" s="191"/>
      <c r="BL255" s="257"/>
      <c r="BM255" s="196"/>
      <c r="BN255" s="46"/>
      <c r="BO255" s="257"/>
      <c r="BP255" s="196"/>
      <c r="BQ255" s="190"/>
      <c r="BR255" s="46"/>
      <c r="BS255" s="196"/>
      <c r="BT255" s="46"/>
      <c r="BU255" s="257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196"/>
      <c r="CI255" s="46"/>
      <c r="CJ255" s="46"/>
      <c r="CK255" s="46"/>
      <c r="CL255" s="46"/>
      <c r="CM255" s="46"/>
      <c r="CN255" s="196"/>
      <c r="CO255" s="191"/>
      <c r="CP255" s="257"/>
      <c r="CQ255" s="196"/>
      <c r="CR255" s="167"/>
      <c r="CS255" s="257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191"/>
      <c r="DN255" s="46"/>
      <c r="DO255" s="196"/>
      <c r="DP255" s="221" t="s">
        <v>883</v>
      </c>
      <c r="DQ255" s="257">
        <f t="shared" si="25"/>
        <v>104800</v>
      </c>
      <c r="DR255" s="294"/>
      <c r="DS255" s="295"/>
      <c r="DT255" s="386">
        <f t="shared" si="24"/>
        <v>0</v>
      </c>
      <c r="DU255" s="41"/>
      <c r="DV255" s="41"/>
      <c r="DW255" s="256"/>
      <c r="DX255" s="41"/>
      <c r="DY255" s="41"/>
      <c r="DZ255" s="68"/>
      <c r="EA255" s="41">
        <v>7</v>
      </c>
      <c r="EB255" s="41">
        <v>131</v>
      </c>
      <c r="EC255" s="256">
        <f>EB255*800</f>
        <v>104800</v>
      </c>
      <c r="ED255" s="308"/>
      <c r="EE255" s="308"/>
      <c r="EF255" s="308"/>
      <c r="EG255" s="41"/>
      <c r="EH255" s="41"/>
      <c r="EI255" s="41"/>
      <c r="EJ255" s="69"/>
      <c r="EK255" s="308"/>
      <c r="EL255" s="308"/>
      <c r="EM255" s="308"/>
      <c r="EN255" s="308"/>
      <c r="EO255" s="41"/>
      <c r="EP255" s="41"/>
      <c r="EQ255" s="41"/>
      <c r="ER255" s="256"/>
      <c r="ES255" s="293"/>
      <c r="ET255" s="293"/>
      <c r="EU255" s="293"/>
      <c r="EV255" s="293"/>
      <c r="EW255" s="41"/>
      <c r="EX255" s="41"/>
      <c r="EY255" s="41"/>
      <c r="EZ255" s="256"/>
      <c r="FA255" s="308"/>
      <c r="FB255" s="308"/>
      <c r="FC255" s="308"/>
      <c r="FD255" s="308"/>
      <c r="FE255" s="46"/>
      <c r="FF255" s="41"/>
      <c r="FG255" s="41"/>
      <c r="FH255" s="256"/>
      <c r="FI255" s="41"/>
      <c r="FJ255" s="41"/>
      <c r="FK255" s="41"/>
      <c r="FL255" s="276"/>
    </row>
    <row r="256" spans="1:168" ht="23.25">
      <c r="A256" s="45">
        <v>249</v>
      </c>
      <c r="B256" s="45" t="s">
        <v>210</v>
      </c>
      <c r="C256" s="45">
        <v>4</v>
      </c>
      <c r="D256" s="29" t="s">
        <v>159</v>
      </c>
      <c r="E256" s="30" t="s">
        <v>160</v>
      </c>
      <c r="F256" s="30">
        <v>5</v>
      </c>
      <c r="G256" s="246">
        <f>271645.4664/1000</f>
        <v>271.64546639999998</v>
      </c>
      <c r="H256" s="45">
        <v>271645.46639999998</v>
      </c>
      <c r="I256" s="45">
        <v>0</v>
      </c>
      <c r="J256" s="397">
        <v>602.37814000000003</v>
      </c>
      <c r="K256" s="495">
        <f t="shared" si="22"/>
        <v>874.02360640000006</v>
      </c>
      <c r="L256" s="578"/>
      <c r="M256" s="45">
        <f t="shared" si="23"/>
        <v>32.331600000000002</v>
      </c>
      <c r="N256" s="46">
        <f t="shared" si="27"/>
        <v>841.69200640000008</v>
      </c>
      <c r="O256" s="46">
        <f t="shared" si="26"/>
        <v>525</v>
      </c>
      <c r="P256" s="234" t="s">
        <v>227</v>
      </c>
      <c r="Q256" s="46">
        <v>3</v>
      </c>
      <c r="R256" s="450" t="s">
        <v>896</v>
      </c>
      <c r="S256" s="257">
        <f>2*90000</f>
        <v>180000</v>
      </c>
      <c r="T256" s="46"/>
      <c r="U256" s="46"/>
      <c r="V256" s="46"/>
      <c r="W256" s="46"/>
      <c r="X256" s="196"/>
      <c r="Y256" s="46"/>
      <c r="Z256" s="46"/>
      <c r="AA256" s="46"/>
      <c r="AB256" s="46"/>
      <c r="AC256" s="46"/>
      <c r="AD256" s="46"/>
      <c r="AE256" s="46"/>
      <c r="AF256" s="196"/>
      <c r="AG256" s="46"/>
      <c r="AH256" s="46"/>
      <c r="AI256" s="46"/>
      <c r="AJ256" s="46"/>
      <c r="AK256" s="46"/>
      <c r="AL256" s="46"/>
      <c r="AM256" s="46"/>
      <c r="AN256" s="196"/>
      <c r="AO256" s="438"/>
      <c r="AP256" s="46"/>
      <c r="AQ256" s="368"/>
      <c r="AR256" s="257"/>
      <c r="AS256" s="196"/>
      <c r="AT256" s="46"/>
      <c r="AU256" s="46"/>
      <c r="AV256" s="196"/>
      <c r="AW256" s="257"/>
      <c r="AX256" s="196" t="s">
        <v>229</v>
      </c>
      <c r="AY256" s="191">
        <v>88</v>
      </c>
      <c r="AZ256" s="257">
        <f>AY256*2500</f>
        <v>220000</v>
      </c>
      <c r="BA256" s="196" t="s">
        <v>523</v>
      </c>
      <c r="BB256" s="46">
        <f>3</f>
        <v>3</v>
      </c>
      <c r="BC256" s="257">
        <f>5265.71+15027.61</f>
        <v>20293.32</v>
      </c>
      <c r="BD256" s="196"/>
      <c r="BE256" s="191"/>
      <c r="BF256" s="46"/>
      <c r="BG256" s="196"/>
      <c r="BH256" s="46"/>
      <c r="BI256" s="257"/>
      <c r="BJ256" s="196" t="s">
        <v>248</v>
      </c>
      <c r="BK256" s="190" t="s">
        <v>551</v>
      </c>
      <c r="BL256" s="257">
        <v>25000</v>
      </c>
      <c r="BM256" s="196"/>
      <c r="BN256" s="46"/>
      <c r="BO256" s="257"/>
      <c r="BP256" s="196"/>
      <c r="BQ256" s="190"/>
      <c r="BR256" s="46"/>
      <c r="BS256" s="196"/>
      <c r="BT256" s="46"/>
      <c r="BU256" s="257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196"/>
      <c r="CI256" s="46"/>
      <c r="CJ256" s="46"/>
      <c r="CK256" s="46"/>
      <c r="CL256" s="46"/>
      <c r="CM256" s="46"/>
      <c r="CN256" s="196" t="s">
        <v>226</v>
      </c>
      <c r="CO256" s="191" t="s">
        <v>948</v>
      </c>
      <c r="CP256" s="257">
        <v>100000</v>
      </c>
      <c r="CQ256" s="196"/>
      <c r="CR256" s="167"/>
      <c r="CS256" s="257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191"/>
      <c r="DN256" s="46"/>
      <c r="DO256" s="196"/>
      <c r="DP256" s="221"/>
      <c r="DQ256" s="257">
        <f t="shared" si="25"/>
        <v>0</v>
      </c>
      <c r="DR256" s="296" t="s">
        <v>523</v>
      </c>
      <c r="DS256" s="295" t="s">
        <v>562</v>
      </c>
      <c r="DT256" s="386">
        <f>DZ256+EF256+EN256+EV256+FD256+FL256+12038.28</f>
        <v>12038.28</v>
      </c>
      <c r="DU256" s="41"/>
      <c r="DV256" s="41"/>
      <c r="DW256" s="256"/>
      <c r="DX256" s="41"/>
      <c r="DY256" s="41"/>
      <c r="DZ256" s="68"/>
      <c r="EA256" s="41"/>
      <c r="EB256" s="41"/>
      <c r="EC256" s="256"/>
      <c r="ED256" s="308"/>
      <c r="EE256" s="308"/>
      <c r="EF256" s="308"/>
      <c r="EG256" s="41"/>
      <c r="EH256" s="41"/>
      <c r="EI256" s="41"/>
      <c r="EJ256" s="69"/>
      <c r="EK256" s="308"/>
      <c r="EL256" s="308"/>
      <c r="EM256" s="308"/>
      <c r="EN256" s="308"/>
      <c r="EO256" s="41"/>
      <c r="EP256" s="41"/>
      <c r="EQ256" s="41"/>
      <c r="ER256" s="256"/>
      <c r="ES256" s="293"/>
      <c r="ET256" s="293"/>
      <c r="EU256" s="293"/>
      <c r="EV256" s="293"/>
      <c r="EW256" s="41"/>
      <c r="EX256" s="41"/>
      <c r="EY256" s="41"/>
      <c r="EZ256" s="256"/>
      <c r="FA256" s="308"/>
      <c r="FB256" s="308"/>
      <c r="FC256" s="308"/>
      <c r="FD256" s="308"/>
      <c r="FE256" s="46"/>
      <c r="FF256" s="41"/>
      <c r="FG256" s="41"/>
      <c r="FH256" s="256"/>
      <c r="FI256" s="41"/>
      <c r="FJ256" s="41"/>
      <c r="FK256" s="41"/>
      <c r="FL256" s="276"/>
    </row>
    <row r="257" spans="1:168" ht="20.25">
      <c r="A257" s="45">
        <v>250</v>
      </c>
      <c r="B257" s="45" t="s">
        <v>210</v>
      </c>
      <c r="C257" s="45">
        <v>4</v>
      </c>
      <c r="D257" s="29" t="s">
        <v>159</v>
      </c>
      <c r="E257" s="30">
        <v>15</v>
      </c>
      <c r="F257" s="30">
        <v>5</v>
      </c>
      <c r="G257" s="246">
        <f>212914.548/1000</f>
        <v>212.914548</v>
      </c>
      <c r="H257" s="45">
        <v>212914.54800000001</v>
      </c>
      <c r="I257" s="45">
        <v>0</v>
      </c>
      <c r="J257" s="397">
        <v>349.03834199999994</v>
      </c>
      <c r="K257" s="495">
        <f t="shared" si="22"/>
        <v>561.95288999999991</v>
      </c>
      <c r="L257" s="578"/>
      <c r="M257" s="45">
        <f t="shared" si="23"/>
        <v>0</v>
      </c>
      <c r="N257" s="46">
        <f t="shared" si="27"/>
        <v>561.95288999999991</v>
      </c>
      <c r="O257" s="46">
        <f t="shared" si="26"/>
        <v>494.2</v>
      </c>
      <c r="P257" s="234"/>
      <c r="Q257" s="46"/>
      <c r="R257" s="450"/>
      <c r="S257" s="257"/>
      <c r="T257" s="46"/>
      <c r="U257" s="46"/>
      <c r="V257" s="167"/>
      <c r="W257" s="46"/>
      <c r="X257" s="196"/>
      <c r="Y257" s="46"/>
      <c r="Z257" s="46"/>
      <c r="AA257" s="46"/>
      <c r="AB257" s="46"/>
      <c r="AC257" s="46"/>
      <c r="AD257" s="46"/>
      <c r="AE257" s="46"/>
      <c r="AF257" s="196"/>
      <c r="AG257" s="46"/>
      <c r="AH257" s="46"/>
      <c r="AI257" s="46"/>
      <c r="AJ257" s="46"/>
      <c r="AK257" s="46"/>
      <c r="AL257" s="46"/>
      <c r="AM257" s="46"/>
      <c r="AN257" s="196"/>
      <c r="AO257" s="438"/>
      <c r="AP257" s="46"/>
      <c r="AQ257" s="368"/>
      <c r="AR257" s="257"/>
      <c r="AS257" s="196"/>
      <c r="AT257" s="46"/>
      <c r="AU257" s="46"/>
      <c r="AV257" s="196"/>
      <c r="AW257" s="257"/>
      <c r="AX257" s="196" t="s">
        <v>229</v>
      </c>
      <c r="AY257" s="191">
        <v>66</v>
      </c>
      <c r="AZ257" s="257">
        <f>AY257*2500</f>
        <v>165000</v>
      </c>
      <c r="BA257" s="196"/>
      <c r="BB257" s="46"/>
      <c r="BC257" s="257"/>
      <c r="BD257" s="196"/>
      <c r="BE257" s="191"/>
      <c r="BF257" s="46"/>
      <c r="BG257" s="196"/>
      <c r="BH257" s="46"/>
      <c r="BI257" s="257"/>
      <c r="BJ257" s="196"/>
      <c r="BK257" s="191"/>
      <c r="BL257" s="257"/>
      <c r="BM257" s="196"/>
      <c r="BN257" s="46"/>
      <c r="BO257" s="257"/>
      <c r="BP257" s="196"/>
      <c r="BQ257" s="190"/>
      <c r="BR257" s="46"/>
      <c r="BS257" s="196"/>
      <c r="BT257" s="46"/>
      <c r="BU257" s="257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196"/>
      <c r="CI257" s="46"/>
      <c r="CJ257" s="46"/>
      <c r="CK257" s="46"/>
      <c r="CL257" s="46"/>
      <c r="CM257" s="46"/>
      <c r="CN257" s="196"/>
      <c r="CO257" s="191"/>
      <c r="CP257" s="257"/>
      <c r="CQ257" s="196"/>
      <c r="CR257" s="167"/>
      <c r="CS257" s="257"/>
      <c r="CT257" s="46"/>
      <c r="CU257" s="46"/>
      <c r="CV257" s="46"/>
      <c r="CW257" s="46"/>
      <c r="CX257" s="46"/>
      <c r="CY257" s="46"/>
      <c r="CZ257" s="46">
        <v>5</v>
      </c>
      <c r="DA257" s="46">
        <v>108</v>
      </c>
      <c r="DB257" s="46">
        <f>DA257*1800</f>
        <v>194400</v>
      </c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191"/>
      <c r="DN257" s="46"/>
      <c r="DO257" s="196"/>
      <c r="DP257" s="221" t="s">
        <v>949</v>
      </c>
      <c r="DQ257" s="257">
        <f t="shared" si="25"/>
        <v>134800</v>
      </c>
      <c r="DR257" s="294"/>
      <c r="DS257" s="295"/>
      <c r="DT257" s="386">
        <f t="shared" si="24"/>
        <v>0</v>
      </c>
      <c r="DU257" s="41"/>
      <c r="DV257" s="41"/>
      <c r="DW257" s="256"/>
      <c r="DX257" s="41"/>
      <c r="DY257" s="41"/>
      <c r="DZ257" s="68"/>
      <c r="EA257" s="41">
        <v>7</v>
      </c>
      <c r="EB257" s="41">
        <v>131</v>
      </c>
      <c r="EC257" s="256">
        <f>EB257*800</f>
        <v>104800</v>
      </c>
      <c r="ED257" s="308"/>
      <c r="EE257" s="308"/>
      <c r="EF257" s="308"/>
      <c r="EG257" s="41">
        <v>7</v>
      </c>
      <c r="EH257" s="41">
        <v>2</v>
      </c>
      <c r="EI257" s="41">
        <v>1.3</v>
      </c>
      <c r="EJ257" s="69">
        <f>30000</f>
        <v>30000</v>
      </c>
      <c r="EK257" s="308"/>
      <c r="EL257" s="308"/>
      <c r="EM257" s="308"/>
      <c r="EN257" s="308"/>
      <c r="EO257" s="41"/>
      <c r="EP257" s="41"/>
      <c r="EQ257" s="41"/>
      <c r="ER257" s="256"/>
      <c r="ES257" s="293"/>
      <c r="ET257" s="293"/>
      <c r="EU257" s="293"/>
      <c r="EV257" s="293"/>
      <c r="EW257" s="41"/>
      <c r="EX257" s="41"/>
      <c r="EY257" s="41"/>
      <c r="EZ257" s="256"/>
      <c r="FA257" s="308"/>
      <c r="FB257" s="308"/>
      <c r="FC257" s="308"/>
      <c r="FD257" s="308"/>
      <c r="FE257" s="46"/>
      <c r="FF257" s="41"/>
      <c r="FG257" s="41"/>
      <c r="FH257" s="256"/>
      <c r="FI257" s="41"/>
      <c r="FJ257" s="41"/>
      <c r="FK257" s="41"/>
      <c r="FL257" s="276"/>
    </row>
    <row r="258" spans="1:168">
      <c r="A258" s="45">
        <v>251</v>
      </c>
      <c r="B258" s="45" t="s">
        <v>210</v>
      </c>
      <c r="C258" s="45">
        <v>5</v>
      </c>
      <c r="D258" s="29" t="s">
        <v>159</v>
      </c>
      <c r="E258" s="30">
        <v>19</v>
      </c>
      <c r="F258" s="30">
        <v>5</v>
      </c>
      <c r="G258" s="246">
        <f>84614.4684/1000</f>
        <v>84.614468399999993</v>
      </c>
      <c r="H258" s="45">
        <v>84614.468400000012</v>
      </c>
      <c r="I258" s="45">
        <v>0</v>
      </c>
      <c r="J258" s="397">
        <v>9.094680000000011</v>
      </c>
      <c r="K258" s="495">
        <f t="shared" ref="K258:K319" si="28">G258+J258</f>
        <v>93.709148400000004</v>
      </c>
      <c r="L258" s="578"/>
      <c r="M258" s="45">
        <f t="shared" si="23"/>
        <v>0</v>
      </c>
      <c r="N258" s="46">
        <f t="shared" si="27"/>
        <v>93.709148400000004</v>
      </c>
      <c r="O258" s="46">
        <f t="shared" si="26"/>
        <v>90</v>
      </c>
      <c r="P258" s="234" t="s">
        <v>249</v>
      </c>
      <c r="Q258" s="46">
        <v>1</v>
      </c>
      <c r="R258" s="450">
        <v>2</v>
      </c>
      <c r="S258" s="257">
        <v>90000</v>
      </c>
      <c r="T258" s="46"/>
      <c r="U258" s="46"/>
      <c r="V258" s="46"/>
      <c r="W258" s="46"/>
      <c r="X258" s="196"/>
      <c r="Y258" s="46"/>
      <c r="Z258" s="46"/>
      <c r="AA258" s="46"/>
      <c r="AB258" s="46"/>
      <c r="AC258" s="46"/>
      <c r="AD258" s="46"/>
      <c r="AE258" s="46"/>
      <c r="AF258" s="196"/>
      <c r="AG258" s="46"/>
      <c r="AH258" s="46"/>
      <c r="AI258" s="46"/>
      <c r="AJ258" s="46"/>
      <c r="AK258" s="46"/>
      <c r="AL258" s="46"/>
      <c r="AM258" s="46"/>
      <c r="AN258" s="196"/>
      <c r="AO258" s="438"/>
      <c r="AP258" s="46"/>
      <c r="AQ258" s="368"/>
      <c r="AR258" s="257"/>
      <c r="AS258" s="196"/>
      <c r="AT258" s="46"/>
      <c r="AU258" s="46"/>
      <c r="AV258" s="196"/>
      <c r="AW258" s="257"/>
      <c r="AX258" s="196"/>
      <c r="AY258" s="191"/>
      <c r="AZ258" s="257"/>
      <c r="BA258" s="196"/>
      <c r="BB258" s="46"/>
      <c r="BC258" s="257"/>
      <c r="BD258" s="196"/>
      <c r="BE258" s="191"/>
      <c r="BF258" s="46"/>
      <c r="BG258" s="196"/>
      <c r="BH258" s="46"/>
      <c r="BI258" s="257"/>
      <c r="BJ258" s="196"/>
      <c r="BK258" s="191"/>
      <c r="BL258" s="257"/>
      <c r="BM258" s="196"/>
      <c r="BN258" s="46"/>
      <c r="BO258" s="257"/>
      <c r="BP258" s="196"/>
      <c r="BQ258" s="190"/>
      <c r="BR258" s="46"/>
      <c r="BS258" s="196"/>
      <c r="BT258" s="46"/>
      <c r="BU258" s="257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196"/>
      <c r="CI258" s="46"/>
      <c r="CJ258" s="46"/>
      <c r="CK258" s="46"/>
      <c r="CL258" s="46"/>
      <c r="CM258" s="46"/>
      <c r="CN258" s="196"/>
      <c r="CO258" s="191"/>
      <c r="CP258" s="257"/>
      <c r="CQ258" s="196"/>
      <c r="CR258" s="167"/>
      <c r="CS258" s="257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191"/>
      <c r="DN258" s="46"/>
      <c r="DO258" s="196"/>
      <c r="DP258" s="221"/>
      <c r="DQ258" s="257">
        <f t="shared" si="25"/>
        <v>0</v>
      </c>
      <c r="DR258" s="294"/>
      <c r="DS258" s="295"/>
      <c r="DT258" s="386">
        <f t="shared" si="24"/>
        <v>0</v>
      </c>
      <c r="DU258" s="41"/>
      <c r="DV258" s="41"/>
      <c r="DW258" s="256"/>
      <c r="DX258" s="41"/>
      <c r="DY258" s="41"/>
      <c r="DZ258" s="68"/>
      <c r="EA258" s="41"/>
      <c r="EB258" s="41"/>
      <c r="EC258" s="256"/>
      <c r="ED258" s="308"/>
      <c r="EE258" s="308"/>
      <c r="EF258" s="308"/>
      <c r="EG258" s="41"/>
      <c r="EH258" s="41"/>
      <c r="EI258" s="41"/>
      <c r="EJ258" s="69"/>
      <c r="EK258" s="308"/>
      <c r="EL258" s="308"/>
      <c r="EM258" s="308"/>
      <c r="EN258" s="308"/>
      <c r="EO258" s="41"/>
      <c r="EP258" s="41"/>
      <c r="EQ258" s="41"/>
      <c r="ER258" s="256"/>
      <c r="ES258" s="293"/>
      <c r="ET258" s="293"/>
      <c r="EU258" s="293"/>
      <c r="EV258" s="293"/>
      <c r="EW258" s="41"/>
      <c r="EX258" s="41"/>
      <c r="EY258" s="41"/>
      <c r="EZ258" s="256"/>
      <c r="FA258" s="308"/>
      <c r="FB258" s="308"/>
      <c r="FC258" s="308"/>
      <c r="FD258" s="308"/>
      <c r="FE258" s="46"/>
      <c r="FF258" s="41"/>
      <c r="FG258" s="41"/>
      <c r="FH258" s="256"/>
      <c r="FI258" s="41"/>
      <c r="FJ258" s="41"/>
      <c r="FK258" s="41"/>
      <c r="FL258" s="276"/>
    </row>
    <row r="259" spans="1:168" ht="30">
      <c r="A259" s="45">
        <v>252</v>
      </c>
      <c r="B259" s="45" t="s">
        <v>210</v>
      </c>
      <c r="C259" s="45">
        <v>5</v>
      </c>
      <c r="D259" s="29" t="s">
        <v>159</v>
      </c>
      <c r="E259" s="30">
        <v>21</v>
      </c>
      <c r="F259" s="30">
        <v>5</v>
      </c>
      <c r="G259" s="246">
        <f>76565.412/1000</f>
        <v>76.565411999999995</v>
      </c>
      <c r="H259" s="45">
        <v>76565.411999999997</v>
      </c>
      <c r="I259" s="45">
        <v>0</v>
      </c>
      <c r="J259" s="397">
        <v>256.76439000000005</v>
      </c>
      <c r="K259" s="495">
        <f t="shared" si="28"/>
        <v>333.32980200000003</v>
      </c>
      <c r="L259" s="578"/>
      <c r="M259" s="45">
        <f t="shared" si="23"/>
        <v>0</v>
      </c>
      <c r="N259" s="46">
        <f t="shared" si="27"/>
        <v>333.32980200000003</v>
      </c>
      <c r="O259" s="46">
        <f t="shared" si="26"/>
        <v>235</v>
      </c>
      <c r="P259" s="234" t="s">
        <v>227</v>
      </c>
      <c r="Q259" s="46">
        <v>1</v>
      </c>
      <c r="R259" s="450" t="s">
        <v>950</v>
      </c>
      <c r="S259" s="257">
        <f>90000*2+20000</f>
        <v>200000</v>
      </c>
      <c r="T259" s="46"/>
      <c r="U259" s="46"/>
      <c r="V259" s="46"/>
      <c r="W259" s="46"/>
      <c r="X259" s="196"/>
      <c r="Y259" s="46"/>
      <c r="Z259" s="46"/>
      <c r="AA259" s="46"/>
      <c r="AB259" s="46"/>
      <c r="AC259" s="46"/>
      <c r="AD259" s="46"/>
      <c r="AE259" s="46"/>
      <c r="AF259" s="196"/>
      <c r="AG259" s="46"/>
      <c r="AH259" s="46"/>
      <c r="AI259" s="46"/>
      <c r="AJ259" s="46"/>
      <c r="AK259" s="46"/>
      <c r="AL259" s="46"/>
      <c r="AM259" s="46"/>
      <c r="AN259" s="196"/>
      <c r="AO259" s="438"/>
      <c r="AP259" s="46"/>
      <c r="AQ259" s="368"/>
      <c r="AR259" s="257"/>
      <c r="AS259" s="196"/>
      <c r="AT259" s="46"/>
      <c r="AU259" s="46"/>
      <c r="AV259" s="196"/>
      <c r="AW259" s="257"/>
      <c r="AX259" s="196"/>
      <c r="AY259" s="191"/>
      <c r="AZ259" s="257"/>
      <c r="BA259" s="196"/>
      <c r="BB259" s="46"/>
      <c r="BC259" s="257"/>
      <c r="BD259" s="196"/>
      <c r="BE259" s="191"/>
      <c r="BF259" s="46"/>
      <c r="BG259" s="196"/>
      <c r="BH259" s="46"/>
      <c r="BI259" s="257"/>
      <c r="BJ259" s="196"/>
      <c r="BK259" s="191"/>
      <c r="BL259" s="257"/>
      <c r="BM259" s="196"/>
      <c r="BN259" s="46"/>
      <c r="BO259" s="257"/>
      <c r="BP259" s="196"/>
      <c r="BQ259" s="190"/>
      <c r="BR259" s="46"/>
      <c r="BS259" s="196"/>
      <c r="BT259" s="46"/>
      <c r="BU259" s="257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196"/>
      <c r="CI259" s="46"/>
      <c r="CJ259" s="46"/>
      <c r="CK259" s="46"/>
      <c r="CL259" s="46"/>
      <c r="CM259" s="46"/>
      <c r="CN259" s="196"/>
      <c r="CO259" s="191"/>
      <c r="CP259" s="257"/>
      <c r="CQ259" s="196"/>
      <c r="CR259" s="167"/>
      <c r="CS259" s="257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191"/>
      <c r="DN259" s="46"/>
      <c r="DO259" s="196"/>
      <c r="DP259" s="221" t="s">
        <v>951</v>
      </c>
      <c r="DQ259" s="257">
        <f>DW259+EC259+EJ259+ER259+EZ259+FH259+15000+15000</f>
        <v>35000</v>
      </c>
      <c r="DR259" s="294"/>
      <c r="DS259" s="295"/>
      <c r="DT259" s="386">
        <f t="shared" si="24"/>
        <v>0</v>
      </c>
      <c r="DU259" s="41"/>
      <c r="DV259" s="41"/>
      <c r="DW259" s="256"/>
      <c r="DX259" s="41"/>
      <c r="DY259" s="41"/>
      <c r="DZ259" s="68"/>
      <c r="EA259" s="41"/>
      <c r="EB259" s="41"/>
      <c r="EC259" s="256"/>
      <c r="ED259" s="308"/>
      <c r="EE259" s="308"/>
      <c r="EF259" s="308"/>
      <c r="EG259" s="41"/>
      <c r="EH259" s="41"/>
      <c r="EI259" s="41"/>
      <c r="EJ259" s="69"/>
      <c r="EK259" s="308"/>
      <c r="EL259" s="308"/>
      <c r="EM259" s="308"/>
      <c r="EN259" s="308"/>
      <c r="EO259" s="41">
        <v>4</v>
      </c>
      <c r="EP259" s="41">
        <v>1</v>
      </c>
      <c r="EQ259" s="41">
        <v>2</v>
      </c>
      <c r="ER259" s="256">
        <v>5000</v>
      </c>
      <c r="ES259" s="293"/>
      <c r="ET259" s="293"/>
      <c r="EU259" s="293"/>
      <c r="EV259" s="293"/>
      <c r="EW259" s="41"/>
      <c r="EX259" s="41"/>
      <c r="EY259" s="41"/>
      <c r="EZ259" s="256"/>
      <c r="FA259" s="308"/>
      <c r="FB259" s="308"/>
      <c r="FC259" s="308"/>
      <c r="FD259" s="308"/>
      <c r="FE259" s="46"/>
      <c r="FF259" s="41"/>
      <c r="FG259" s="41"/>
      <c r="FH259" s="256"/>
      <c r="FI259" s="41"/>
      <c r="FJ259" s="41"/>
      <c r="FK259" s="41"/>
      <c r="FL259" s="276"/>
    </row>
    <row r="260" spans="1:168" ht="23.25">
      <c r="A260" s="45">
        <v>253</v>
      </c>
      <c r="B260" s="45" t="s">
        <v>210</v>
      </c>
      <c r="C260" s="45">
        <v>5</v>
      </c>
      <c r="D260" s="29" t="s">
        <v>159</v>
      </c>
      <c r="E260" s="30">
        <v>23</v>
      </c>
      <c r="F260" s="30">
        <v>5</v>
      </c>
      <c r="G260" s="246">
        <f>101463.516/1000</f>
        <v>101.463516</v>
      </c>
      <c r="H260" s="45">
        <v>101463.516</v>
      </c>
      <c r="I260" s="45">
        <v>0</v>
      </c>
      <c r="J260" s="397">
        <v>20.190169999999966</v>
      </c>
      <c r="K260" s="495">
        <f t="shared" si="28"/>
        <v>121.65368599999996</v>
      </c>
      <c r="L260" s="578"/>
      <c r="M260" s="45">
        <f t="shared" si="23"/>
        <v>0</v>
      </c>
      <c r="N260" s="46">
        <f t="shared" si="27"/>
        <v>121.65368599999996</v>
      </c>
      <c r="O260" s="46">
        <f t="shared" si="26"/>
        <v>112.5</v>
      </c>
      <c r="P260" s="234"/>
      <c r="Q260" s="46">
        <v>3</v>
      </c>
      <c r="R260" s="450" t="s">
        <v>843</v>
      </c>
      <c r="S260" s="257">
        <f>3*20000</f>
        <v>60000</v>
      </c>
      <c r="T260" s="46"/>
      <c r="U260" s="46"/>
      <c r="V260" s="46"/>
      <c r="W260" s="46"/>
      <c r="X260" s="196"/>
      <c r="Y260" s="46"/>
      <c r="Z260" s="46"/>
      <c r="AA260" s="46"/>
      <c r="AB260" s="46"/>
      <c r="AC260" s="46"/>
      <c r="AD260" s="46"/>
      <c r="AE260" s="46"/>
      <c r="AF260" s="196"/>
      <c r="AG260" s="46"/>
      <c r="AH260" s="46"/>
      <c r="AI260" s="46"/>
      <c r="AJ260" s="46"/>
      <c r="AK260" s="46"/>
      <c r="AL260" s="46"/>
      <c r="AM260" s="46"/>
      <c r="AN260" s="196"/>
      <c r="AO260" s="438"/>
      <c r="AP260" s="46"/>
      <c r="AQ260" s="368"/>
      <c r="AR260" s="257"/>
      <c r="AS260" s="196"/>
      <c r="AT260" s="46"/>
      <c r="AU260" s="46"/>
      <c r="AV260" s="196"/>
      <c r="AW260" s="257"/>
      <c r="AX260" s="196"/>
      <c r="AY260" s="191"/>
      <c r="AZ260" s="257"/>
      <c r="BA260" s="196"/>
      <c r="BB260" s="46"/>
      <c r="BC260" s="257"/>
      <c r="BD260" s="196"/>
      <c r="BE260" s="191"/>
      <c r="BF260" s="46"/>
      <c r="BG260" s="196"/>
      <c r="BH260" s="46"/>
      <c r="BI260" s="257"/>
      <c r="BJ260" s="196"/>
      <c r="BK260" s="191"/>
      <c r="BL260" s="257"/>
      <c r="BM260" s="196"/>
      <c r="BN260" s="46"/>
      <c r="BO260" s="257"/>
      <c r="BP260" s="196"/>
      <c r="BQ260" s="190"/>
      <c r="BR260" s="46"/>
      <c r="BS260" s="196"/>
      <c r="BT260" s="46"/>
      <c r="BU260" s="257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196" t="s">
        <v>249</v>
      </c>
      <c r="CI260" s="46">
        <v>7</v>
      </c>
      <c r="CJ260" s="46">
        <f>CI260*7500</f>
        <v>52500</v>
      </c>
      <c r="CK260" s="46"/>
      <c r="CL260" s="46"/>
      <c r="CM260" s="46"/>
      <c r="CN260" s="196"/>
      <c r="CO260" s="191"/>
      <c r="CP260" s="257"/>
      <c r="CQ260" s="196"/>
      <c r="CR260" s="167"/>
      <c r="CS260" s="257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191"/>
      <c r="DN260" s="46"/>
      <c r="DO260" s="196"/>
      <c r="DP260" s="221"/>
      <c r="DQ260" s="257">
        <f t="shared" si="25"/>
        <v>0</v>
      </c>
      <c r="DR260" s="294"/>
      <c r="DS260" s="295"/>
      <c r="DT260" s="386">
        <f t="shared" si="24"/>
        <v>0</v>
      </c>
      <c r="DU260" s="41"/>
      <c r="DV260" s="41"/>
      <c r="DW260" s="256"/>
      <c r="DX260" s="41"/>
      <c r="DY260" s="41"/>
      <c r="DZ260" s="68"/>
      <c r="EA260" s="41"/>
      <c r="EB260" s="41"/>
      <c r="EC260" s="256"/>
      <c r="ED260" s="308"/>
      <c r="EE260" s="308"/>
      <c r="EF260" s="308"/>
      <c r="EG260" s="41"/>
      <c r="EH260" s="41"/>
      <c r="EI260" s="41"/>
      <c r="EJ260" s="69"/>
      <c r="EK260" s="308"/>
      <c r="EL260" s="308"/>
      <c r="EM260" s="308"/>
      <c r="EN260" s="308"/>
      <c r="EO260" s="41"/>
      <c r="EP260" s="41"/>
      <c r="EQ260" s="41"/>
      <c r="ER260" s="256"/>
      <c r="ES260" s="295"/>
      <c r="ET260" s="293"/>
      <c r="EU260" s="293"/>
      <c r="EV260" s="293"/>
      <c r="EW260" s="41"/>
      <c r="EX260" s="41"/>
      <c r="EY260" s="41"/>
      <c r="EZ260" s="256"/>
      <c r="FA260" s="308"/>
      <c r="FB260" s="308"/>
      <c r="FC260" s="308"/>
      <c r="FD260" s="308"/>
      <c r="FE260" s="46"/>
      <c r="FF260" s="41"/>
      <c r="FG260" s="41"/>
      <c r="FH260" s="256"/>
      <c r="FI260" s="41"/>
      <c r="FJ260" s="41"/>
      <c r="FK260" s="41"/>
      <c r="FL260" s="276"/>
    </row>
    <row r="261" spans="1:168">
      <c r="A261" s="45">
        <v>254</v>
      </c>
      <c r="B261" s="45" t="s">
        <v>210</v>
      </c>
      <c r="C261" s="45">
        <v>5</v>
      </c>
      <c r="D261" s="29" t="s">
        <v>159</v>
      </c>
      <c r="E261" s="30">
        <v>25</v>
      </c>
      <c r="F261" s="30">
        <v>5</v>
      </c>
      <c r="G261" s="246">
        <f>42918.876/1000</f>
        <v>42.918875999999997</v>
      </c>
      <c r="H261" s="45">
        <v>42918.876000000004</v>
      </c>
      <c r="I261" s="45">
        <v>0</v>
      </c>
      <c r="J261" s="397">
        <v>76.890260000000012</v>
      </c>
      <c r="K261" s="495">
        <f t="shared" si="28"/>
        <v>119.80913600000001</v>
      </c>
      <c r="L261" s="578"/>
      <c r="M261" s="45">
        <f t="shared" si="23"/>
        <v>0</v>
      </c>
      <c r="N261" s="46">
        <f t="shared" si="27"/>
        <v>119.80913600000001</v>
      </c>
      <c r="O261" s="46">
        <f t="shared" si="26"/>
        <v>90</v>
      </c>
      <c r="P261" s="234"/>
      <c r="Q261" s="46">
        <v>1</v>
      </c>
      <c r="R261" s="450" t="s">
        <v>224</v>
      </c>
      <c r="S261" s="257">
        <v>90000</v>
      </c>
      <c r="T261" s="46"/>
      <c r="U261" s="46"/>
      <c r="V261" s="46"/>
      <c r="W261" s="46"/>
      <c r="X261" s="196"/>
      <c r="Y261" s="46"/>
      <c r="Z261" s="46"/>
      <c r="AA261" s="46"/>
      <c r="AB261" s="46"/>
      <c r="AC261" s="46"/>
      <c r="AD261" s="46"/>
      <c r="AE261" s="46"/>
      <c r="AF261" s="196"/>
      <c r="AG261" s="46"/>
      <c r="AH261" s="46"/>
      <c r="AI261" s="46"/>
      <c r="AJ261" s="46"/>
      <c r="AK261" s="46"/>
      <c r="AL261" s="46"/>
      <c r="AM261" s="46"/>
      <c r="AN261" s="196"/>
      <c r="AO261" s="438"/>
      <c r="AP261" s="46"/>
      <c r="AQ261" s="368"/>
      <c r="AR261" s="257"/>
      <c r="AS261" s="196"/>
      <c r="AT261" s="46"/>
      <c r="AU261" s="46"/>
      <c r="AV261" s="196"/>
      <c r="AW261" s="257"/>
      <c r="AX261" s="196"/>
      <c r="AY261" s="191"/>
      <c r="AZ261" s="257"/>
      <c r="BA261" s="196"/>
      <c r="BB261" s="46"/>
      <c r="BC261" s="257"/>
      <c r="BD261" s="196"/>
      <c r="BE261" s="191"/>
      <c r="BF261" s="46"/>
      <c r="BG261" s="196"/>
      <c r="BH261" s="46"/>
      <c r="BI261" s="257"/>
      <c r="BJ261" s="196"/>
      <c r="BK261" s="191"/>
      <c r="BL261" s="257"/>
      <c r="BM261" s="196"/>
      <c r="BN261" s="46"/>
      <c r="BO261" s="257"/>
      <c r="BP261" s="196"/>
      <c r="BQ261" s="190"/>
      <c r="BR261" s="46"/>
      <c r="BS261" s="196"/>
      <c r="BT261" s="46"/>
      <c r="BU261" s="257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196"/>
      <c r="CI261" s="46"/>
      <c r="CJ261" s="46"/>
      <c r="CK261" s="46"/>
      <c r="CL261" s="46"/>
      <c r="CM261" s="46"/>
      <c r="CN261" s="196"/>
      <c r="CO261" s="191"/>
      <c r="CP261" s="257"/>
      <c r="CQ261" s="196"/>
      <c r="CR261" s="167"/>
      <c r="CS261" s="257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191"/>
      <c r="DN261" s="46"/>
      <c r="DO261" s="196"/>
      <c r="DP261" s="221"/>
      <c r="DQ261" s="257">
        <f t="shared" si="25"/>
        <v>0</v>
      </c>
      <c r="DR261" s="294"/>
      <c r="DS261" s="295"/>
      <c r="DT261" s="386">
        <f t="shared" si="24"/>
        <v>0</v>
      </c>
      <c r="DU261" s="41"/>
      <c r="DV261" s="41"/>
      <c r="DW261" s="256"/>
      <c r="DX261" s="41"/>
      <c r="DY261" s="41"/>
      <c r="DZ261" s="68"/>
      <c r="EA261" s="41"/>
      <c r="EB261" s="41"/>
      <c r="EC261" s="256"/>
      <c r="ED261" s="308"/>
      <c r="EE261" s="308"/>
      <c r="EF261" s="308"/>
      <c r="EG261" s="41"/>
      <c r="EH261" s="41"/>
      <c r="EI261" s="41"/>
      <c r="EJ261" s="69"/>
      <c r="EK261" s="308"/>
      <c r="EL261" s="308"/>
      <c r="EM261" s="308"/>
      <c r="EN261" s="308"/>
      <c r="EO261" s="41"/>
      <c r="EP261" s="41"/>
      <c r="EQ261" s="41"/>
      <c r="ER261" s="256"/>
      <c r="ES261" s="293"/>
      <c r="ET261" s="293"/>
      <c r="EU261" s="293"/>
      <c r="EV261" s="293"/>
      <c r="EW261" s="41"/>
      <c r="EX261" s="41"/>
      <c r="EY261" s="41"/>
      <c r="EZ261" s="256"/>
      <c r="FA261" s="308"/>
      <c r="FB261" s="308"/>
      <c r="FC261" s="308"/>
      <c r="FD261" s="308"/>
      <c r="FE261" s="46"/>
      <c r="FF261" s="41"/>
      <c r="FG261" s="41"/>
      <c r="FH261" s="256"/>
      <c r="FI261" s="41"/>
      <c r="FJ261" s="41"/>
      <c r="FK261" s="41"/>
      <c r="FL261" s="276"/>
    </row>
    <row r="262" spans="1:168" ht="23.25">
      <c r="A262" s="45">
        <v>255</v>
      </c>
      <c r="B262" s="45" t="s">
        <v>210</v>
      </c>
      <c r="C262" s="45">
        <v>5</v>
      </c>
      <c r="D262" s="29" t="s">
        <v>161</v>
      </c>
      <c r="E262" s="30" t="s">
        <v>162</v>
      </c>
      <c r="F262" s="30">
        <v>5</v>
      </c>
      <c r="G262" s="246">
        <f>92906.352/1000</f>
        <v>92.906351999999998</v>
      </c>
      <c r="H262" s="45">
        <v>92906.351999999999</v>
      </c>
      <c r="I262" s="45">
        <v>0</v>
      </c>
      <c r="J262" s="397">
        <v>300.89314999999999</v>
      </c>
      <c r="K262" s="495">
        <f t="shared" si="28"/>
        <v>393.79950199999996</v>
      </c>
      <c r="L262" s="578"/>
      <c r="M262" s="45">
        <f t="shared" si="23"/>
        <v>0</v>
      </c>
      <c r="N262" s="46">
        <f t="shared" si="27"/>
        <v>393.79950199999996</v>
      </c>
      <c r="O262" s="46">
        <f t="shared" si="26"/>
        <v>345</v>
      </c>
      <c r="P262" s="234" t="s">
        <v>1006</v>
      </c>
      <c r="Q262" s="46">
        <v>3</v>
      </c>
      <c r="R262" s="450" t="s">
        <v>952</v>
      </c>
      <c r="S262" s="257">
        <f>3*110000</f>
        <v>330000</v>
      </c>
      <c r="T262" s="46"/>
      <c r="U262" s="46"/>
      <c r="V262" s="46"/>
      <c r="W262" s="46"/>
      <c r="X262" s="196"/>
      <c r="Y262" s="46"/>
      <c r="Z262" s="46"/>
      <c r="AA262" s="46"/>
      <c r="AB262" s="46"/>
      <c r="AC262" s="46"/>
      <c r="AD262" s="46"/>
      <c r="AE262" s="46"/>
      <c r="AF262" s="196"/>
      <c r="AG262" s="46"/>
      <c r="AH262" s="46"/>
      <c r="AI262" s="46"/>
      <c r="AJ262" s="46"/>
      <c r="AK262" s="46"/>
      <c r="AL262" s="46"/>
      <c r="AM262" s="46"/>
      <c r="AN262" s="196"/>
      <c r="AO262" s="438"/>
      <c r="AP262" s="46"/>
      <c r="AQ262" s="368"/>
      <c r="AR262" s="257"/>
      <c r="AS262" s="196"/>
      <c r="AT262" s="46"/>
      <c r="AU262" s="46"/>
      <c r="AV262" s="196"/>
      <c r="AW262" s="257"/>
      <c r="AX262" s="196"/>
      <c r="AY262" s="191"/>
      <c r="AZ262" s="257"/>
      <c r="BA262" s="196"/>
      <c r="BB262" s="46"/>
      <c r="BC262" s="257"/>
      <c r="BD262" s="196"/>
      <c r="BE262" s="191"/>
      <c r="BF262" s="46"/>
      <c r="BG262" s="196"/>
      <c r="BH262" s="46"/>
      <c r="BI262" s="257"/>
      <c r="BJ262" s="196"/>
      <c r="BK262" s="191"/>
      <c r="BL262" s="257"/>
      <c r="BM262" s="196"/>
      <c r="BN262" s="46"/>
      <c r="BO262" s="257"/>
      <c r="BP262" s="196"/>
      <c r="BQ262" s="190"/>
      <c r="BR262" s="46"/>
      <c r="BS262" s="196"/>
      <c r="BT262" s="46"/>
      <c r="BU262" s="257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196"/>
      <c r="CI262" s="46"/>
      <c r="CJ262" s="46"/>
      <c r="CK262" s="46"/>
      <c r="CL262" s="46"/>
      <c r="CM262" s="46"/>
      <c r="CN262" s="196"/>
      <c r="CO262" s="191"/>
      <c r="CP262" s="257"/>
      <c r="CQ262" s="196"/>
      <c r="CR262" s="167"/>
      <c r="CS262" s="257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191"/>
      <c r="DN262" s="46"/>
      <c r="DO262" s="196"/>
      <c r="DP262" s="221" t="s">
        <v>953</v>
      </c>
      <c r="DQ262" s="257">
        <f>DW262+EC262+EJ262+ER262+EZ262+FH262+15000</f>
        <v>15000</v>
      </c>
      <c r="DR262" s="294"/>
      <c r="DS262" s="295"/>
      <c r="DT262" s="386">
        <f t="shared" si="24"/>
        <v>0</v>
      </c>
      <c r="DU262" s="41"/>
      <c r="DV262" s="41"/>
      <c r="DW262" s="256"/>
      <c r="DX262" s="41"/>
      <c r="DY262" s="41"/>
      <c r="DZ262" s="68"/>
      <c r="EA262" s="41"/>
      <c r="EB262" s="41"/>
      <c r="EC262" s="256"/>
      <c r="ED262" s="308"/>
      <c r="EE262" s="308"/>
      <c r="EF262" s="308"/>
      <c r="EG262" s="41"/>
      <c r="EH262" s="41"/>
      <c r="EI262" s="41"/>
      <c r="EJ262" s="69"/>
      <c r="EK262" s="308"/>
      <c r="EL262" s="308"/>
      <c r="EM262" s="308"/>
      <c r="EN262" s="308"/>
      <c r="EO262" s="41"/>
      <c r="EP262" s="41"/>
      <c r="EQ262" s="41"/>
      <c r="ER262" s="256"/>
      <c r="ES262" s="293"/>
      <c r="ET262" s="293"/>
      <c r="EU262" s="293"/>
      <c r="EV262" s="293"/>
      <c r="EW262" s="41"/>
      <c r="EX262" s="41"/>
      <c r="EY262" s="41"/>
      <c r="EZ262" s="256"/>
      <c r="FA262" s="308"/>
      <c r="FB262" s="308"/>
      <c r="FC262" s="308"/>
      <c r="FD262" s="308"/>
      <c r="FE262" s="46"/>
      <c r="FF262" s="41"/>
      <c r="FG262" s="41"/>
      <c r="FH262" s="256"/>
      <c r="FI262" s="41"/>
      <c r="FJ262" s="41"/>
      <c r="FK262" s="41"/>
      <c r="FL262" s="276"/>
    </row>
    <row r="263" spans="1:168">
      <c r="A263" s="45">
        <v>256</v>
      </c>
      <c r="B263" s="45" t="s">
        <v>210</v>
      </c>
      <c r="C263" s="45">
        <v>5</v>
      </c>
      <c r="D263" s="29" t="s">
        <v>159</v>
      </c>
      <c r="E263" s="30">
        <v>34</v>
      </c>
      <c r="F263" s="30">
        <v>6</v>
      </c>
      <c r="G263" s="246">
        <f>42895.8479999999/1000</f>
        <v>42.895847999999901</v>
      </c>
      <c r="H263" s="45">
        <v>12131.922</v>
      </c>
      <c r="I263" s="45">
        <v>30763.926000000007</v>
      </c>
      <c r="J263" s="397">
        <v>162.88397000000001</v>
      </c>
      <c r="K263" s="495">
        <f t="shared" si="28"/>
        <v>205.77981799999992</v>
      </c>
      <c r="L263" s="578"/>
      <c r="M263" s="45">
        <f t="shared" si="23"/>
        <v>0</v>
      </c>
      <c r="N263" s="46">
        <f t="shared" si="27"/>
        <v>205.77981799999992</v>
      </c>
      <c r="O263" s="46">
        <f t="shared" ref="O263:O324" si="29">(S263+AA263+AI263+AR263+AZ263+BF263+BL263+BR263+BX263+CD263+CJ263+CP263+CV263+DB263+DH263+DN263+DQ263)/1000</f>
        <v>200.6</v>
      </c>
      <c r="P263" s="234" t="s">
        <v>229</v>
      </c>
      <c r="Q263" s="46">
        <v>2</v>
      </c>
      <c r="R263" s="450" t="s">
        <v>523</v>
      </c>
      <c r="S263" s="257">
        <v>90000</v>
      </c>
      <c r="T263" s="46"/>
      <c r="U263" s="46"/>
      <c r="V263" s="46"/>
      <c r="W263" s="46"/>
      <c r="X263" s="196"/>
      <c r="Y263" s="46"/>
      <c r="Z263" s="46"/>
      <c r="AA263" s="46"/>
      <c r="AB263" s="46"/>
      <c r="AC263" s="46"/>
      <c r="AD263" s="46"/>
      <c r="AE263" s="46"/>
      <c r="AF263" s="196"/>
      <c r="AG263" s="46"/>
      <c r="AH263" s="46"/>
      <c r="AI263" s="46"/>
      <c r="AJ263" s="46"/>
      <c r="AK263" s="46"/>
      <c r="AL263" s="46"/>
      <c r="AM263" s="46"/>
      <c r="AN263" s="196" t="s">
        <v>228</v>
      </c>
      <c r="AO263" s="438" t="s">
        <v>335</v>
      </c>
      <c r="AP263" s="46">
        <v>26</v>
      </c>
      <c r="AQ263" s="368" t="s">
        <v>552</v>
      </c>
      <c r="AR263" s="257">
        <f>AP263*1300</f>
        <v>33800</v>
      </c>
      <c r="AS263" s="196"/>
      <c r="AT263" s="46"/>
      <c r="AU263" s="46"/>
      <c r="AV263" s="196"/>
      <c r="AW263" s="257"/>
      <c r="AX263" s="196"/>
      <c r="AY263" s="191"/>
      <c r="AZ263" s="257"/>
      <c r="BA263" s="196"/>
      <c r="BB263" s="46"/>
      <c r="BC263" s="257"/>
      <c r="BD263" s="196"/>
      <c r="BE263" s="191"/>
      <c r="BF263" s="46"/>
      <c r="BG263" s="196"/>
      <c r="BH263" s="46"/>
      <c r="BI263" s="257"/>
      <c r="BJ263" s="196"/>
      <c r="BK263" s="191"/>
      <c r="BL263" s="257"/>
      <c r="BM263" s="196"/>
      <c r="BN263" s="46"/>
      <c r="BO263" s="257"/>
      <c r="BP263" s="196"/>
      <c r="BQ263" s="190"/>
      <c r="BR263" s="46"/>
      <c r="BS263" s="196"/>
      <c r="BT263" s="46"/>
      <c r="BU263" s="257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196"/>
      <c r="CI263" s="46"/>
      <c r="CJ263" s="46"/>
      <c r="CK263" s="46"/>
      <c r="CL263" s="46"/>
      <c r="CM263" s="46"/>
      <c r="CN263" s="196"/>
      <c r="CO263" s="191"/>
      <c r="CP263" s="257"/>
      <c r="CQ263" s="196"/>
      <c r="CR263" s="167"/>
      <c r="CS263" s="257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191"/>
      <c r="DN263" s="46"/>
      <c r="DO263" s="196"/>
      <c r="DP263" s="221" t="s">
        <v>851</v>
      </c>
      <c r="DQ263" s="257">
        <f t="shared" si="25"/>
        <v>76800</v>
      </c>
      <c r="DR263" s="294"/>
      <c r="DS263" s="295"/>
      <c r="DT263" s="386">
        <f t="shared" si="24"/>
        <v>0</v>
      </c>
      <c r="DU263" s="41"/>
      <c r="DV263" s="41"/>
      <c r="DW263" s="256"/>
      <c r="DX263" s="41"/>
      <c r="DY263" s="41"/>
      <c r="DZ263" s="68"/>
      <c r="EA263" s="41">
        <v>6</v>
      </c>
      <c r="EB263" s="41">
        <v>96</v>
      </c>
      <c r="EC263" s="256">
        <f>EB263*800</f>
        <v>76800</v>
      </c>
      <c r="ED263" s="308"/>
      <c r="EE263" s="308"/>
      <c r="EF263" s="308"/>
      <c r="EG263" s="41"/>
      <c r="EH263" s="41"/>
      <c r="EI263" s="41"/>
      <c r="EJ263" s="69"/>
      <c r="EK263" s="308"/>
      <c r="EL263" s="308"/>
      <c r="EM263" s="308"/>
      <c r="EN263" s="308"/>
      <c r="EO263" s="41"/>
      <c r="EP263" s="41"/>
      <c r="EQ263" s="41"/>
      <c r="ER263" s="256"/>
      <c r="ES263" s="293"/>
      <c r="ET263" s="293"/>
      <c r="EU263" s="293"/>
      <c r="EV263" s="293"/>
      <c r="EW263" s="41"/>
      <c r="EX263" s="41"/>
      <c r="EY263" s="41"/>
      <c r="EZ263" s="256"/>
      <c r="FA263" s="308"/>
      <c r="FB263" s="308"/>
      <c r="FC263" s="308"/>
      <c r="FD263" s="308"/>
      <c r="FE263" s="41"/>
      <c r="FF263" s="41"/>
      <c r="FG263" s="41"/>
      <c r="FH263" s="256"/>
      <c r="FI263" s="41"/>
      <c r="FJ263" s="41"/>
      <c r="FK263" s="41"/>
      <c r="FL263" s="276"/>
    </row>
    <row r="264" spans="1:168">
      <c r="A264" s="45">
        <v>257</v>
      </c>
      <c r="B264" s="45" t="s">
        <v>210</v>
      </c>
      <c r="C264" s="45">
        <v>5</v>
      </c>
      <c r="D264" s="29" t="s">
        <v>159</v>
      </c>
      <c r="E264" s="30">
        <v>38</v>
      </c>
      <c r="F264" s="30">
        <v>6</v>
      </c>
      <c r="G264" s="246">
        <f>42566.808/1000</f>
        <v>42.566807999999995</v>
      </c>
      <c r="H264" s="45">
        <v>12038.862000000001</v>
      </c>
      <c r="I264" s="45">
        <v>30527.946</v>
      </c>
      <c r="J264" s="397">
        <v>141.38257000000002</v>
      </c>
      <c r="K264" s="495">
        <f t="shared" si="28"/>
        <v>183.94937800000002</v>
      </c>
      <c r="L264" s="578"/>
      <c r="M264" s="45">
        <f t="shared" si="23"/>
        <v>0</v>
      </c>
      <c r="N264" s="46">
        <f t="shared" si="27"/>
        <v>183.94937800000002</v>
      </c>
      <c r="O264" s="46">
        <f t="shared" si="29"/>
        <v>180</v>
      </c>
      <c r="P264" s="234" t="s">
        <v>228</v>
      </c>
      <c r="Q264" s="46">
        <v>1</v>
      </c>
      <c r="R264" s="450">
        <v>2</v>
      </c>
      <c r="S264" s="257">
        <v>80000</v>
      </c>
      <c r="T264" s="46"/>
      <c r="U264" s="46"/>
      <c r="V264" s="46"/>
      <c r="W264" s="46"/>
      <c r="X264" s="196"/>
      <c r="Y264" s="46"/>
      <c r="Z264" s="46"/>
      <c r="AA264" s="46"/>
      <c r="AB264" s="46"/>
      <c r="AC264" s="46"/>
      <c r="AD264" s="46"/>
      <c r="AE264" s="46"/>
      <c r="AF264" s="196"/>
      <c r="AG264" s="46"/>
      <c r="AH264" s="46"/>
      <c r="AI264" s="46"/>
      <c r="AJ264" s="46"/>
      <c r="AK264" s="46"/>
      <c r="AL264" s="46"/>
      <c r="AM264" s="46"/>
      <c r="AN264" s="196"/>
      <c r="AO264" s="438"/>
      <c r="AP264" s="46"/>
      <c r="AQ264" s="368"/>
      <c r="AR264" s="257"/>
      <c r="AS264" s="196"/>
      <c r="AT264" s="46"/>
      <c r="AU264" s="46"/>
      <c r="AV264" s="196"/>
      <c r="AW264" s="257"/>
      <c r="AX264" s="196"/>
      <c r="AY264" s="191"/>
      <c r="AZ264" s="257"/>
      <c r="BA264" s="196"/>
      <c r="BB264" s="46"/>
      <c r="BC264" s="257"/>
      <c r="BD264" s="196"/>
      <c r="BE264" s="191"/>
      <c r="BF264" s="46"/>
      <c r="BG264" s="196"/>
      <c r="BH264" s="46"/>
      <c r="BI264" s="257"/>
      <c r="BJ264" s="196" t="s">
        <v>226</v>
      </c>
      <c r="BK264" s="191">
        <v>40</v>
      </c>
      <c r="BL264" s="257">
        <f>BK264*2500</f>
        <v>100000</v>
      </c>
      <c r="BM264" s="196"/>
      <c r="BN264" s="167"/>
      <c r="BO264" s="257"/>
      <c r="BP264" s="196"/>
      <c r="BQ264" s="190"/>
      <c r="BR264" s="46"/>
      <c r="BS264" s="196"/>
      <c r="BT264" s="46"/>
      <c r="BU264" s="257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196"/>
      <c r="CI264" s="46"/>
      <c r="CJ264" s="46"/>
      <c r="CK264" s="46"/>
      <c r="CL264" s="46"/>
      <c r="CM264" s="46"/>
      <c r="CN264" s="196"/>
      <c r="CO264" s="191"/>
      <c r="CP264" s="257"/>
      <c r="CQ264" s="196"/>
      <c r="CR264" s="167"/>
      <c r="CS264" s="257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191"/>
      <c r="DN264" s="46"/>
      <c r="DO264" s="196"/>
      <c r="DP264" s="221"/>
      <c r="DQ264" s="257">
        <f t="shared" si="25"/>
        <v>0</v>
      </c>
      <c r="DR264" s="294"/>
      <c r="DS264" s="295"/>
      <c r="DT264" s="386">
        <f t="shared" si="24"/>
        <v>0</v>
      </c>
      <c r="DU264" s="41"/>
      <c r="DV264" s="41"/>
      <c r="DW264" s="256"/>
      <c r="DX264" s="41"/>
      <c r="DY264" s="41"/>
      <c r="DZ264" s="68"/>
      <c r="EA264" s="41"/>
      <c r="EB264" s="41"/>
      <c r="EC264" s="256"/>
      <c r="ED264" s="308"/>
      <c r="EE264" s="308"/>
      <c r="EF264" s="308"/>
      <c r="EG264" s="41"/>
      <c r="EH264" s="41"/>
      <c r="EI264" s="41"/>
      <c r="EJ264" s="69"/>
      <c r="EK264" s="308"/>
      <c r="EL264" s="308"/>
      <c r="EM264" s="308"/>
      <c r="EN264" s="308"/>
      <c r="EO264" s="41"/>
      <c r="EP264" s="41"/>
      <c r="EQ264" s="41"/>
      <c r="ER264" s="256"/>
      <c r="ES264" s="293"/>
      <c r="ET264" s="293"/>
      <c r="EU264" s="293"/>
      <c r="EV264" s="293"/>
      <c r="EW264" s="41"/>
      <c r="EX264" s="41"/>
      <c r="EY264" s="41"/>
      <c r="EZ264" s="256"/>
      <c r="FA264" s="308"/>
      <c r="FB264" s="308"/>
      <c r="FC264" s="308"/>
      <c r="FD264" s="308"/>
      <c r="FE264" s="41"/>
      <c r="FF264" s="41"/>
      <c r="FG264" s="41"/>
      <c r="FH264" s="256"/>
      <c r="FI264" s="41"/>
      <c r="FJ264" s="41"/>
      <c r="FK264" s="41"/>
      <c r="FL264" s="276"/>
    </row>
    <row r="265" spans="1:168" ht="23.25">
      <c r="A265" s="45">
        <v>258</v>
      </c>
      <c r="B265" s="45" t="s">
        <v>210</v>
      </c>
      <c r="C265" s="45">
        <v>5</v>
      </c>
      <c r="D265" s="29" t="s">
        <v>159</v>
      </c>
      <c r="E265" s="30">
        <v>40</v>
      </c>
      <c r="F265" s="30">
        <v>6</v>
      </c>
      <c r="G265" s="246">
        <f>43148.112/1000</f>
        <v>43.148111999999998</v>
      </c>
      <c r="H265" s="45">
        <v>12203.268</v>
      </c>
      <c r="I265" s="45">
        <v>30944.844000000001</v>
      </c>
      <c r="J265" s="397">
        <v>106.316006</v>
      </c>
      <c r="K265" s="495">
        <f t="shared" si="28"/>
        <v>149.46411799999998</v>
      </c>
      <c r="L265" s="578"/>
      <c r="M265" s="45">
        <f t="shared" ref="M265:M328" si="30">(W265+AE265+AM265+AW265+BC265+BI265+BO265+BU265+CA265+CG265+CM265+CS265+CY265+DE265+DK265+DT265)/1000</f>
        <v>0</v>
      </c>
      <c r="N265" s="46">
        <f t="shared" si="27"/>
        <v>149.46411799999998</v>
      </c>
      <c r="O265" s="46">
        <f t="shared" si="29"/>
        <v>130</v>
      </c>
      <c r="P265" s="234" t="s">
        <v>228</v>
      </c>
      <c r="Q265" s="46">
        <v>1</v>
      </c>
      <c r="R265" s="450" t="s">
        <v>853</v>
      </c>
      <c r="S265" s="257">
        <v>110000</v>
      </c>
      <c r="T265" s="46"/>
      <c r="U265" s="46"/>
      <c r="V265" s="46"/>
      <c r="W265" s="46"/>
      <c r="X265" s="196"/>
      <c r="Y265" s="46"/>
      <c r="Z265" s="46"/>
      <c r="AA265" s="46"/>
      <c r="AB265" s="46"/>
      <c r="AC265" s="46"/>
      <c r="AD265" s="46"/>
      <c r="AE265" s="46"/>
      <c r="AF265" s="196"/>
      <c r="AG265" s="46"/>
      <c r="AH265" s="46"/>
      <c r="AI265" s="46"/>
      <c r="AJ265" s="46"/>
      <c r="AK265" s="46"/>
      <c r="AL265" s="46"/>
      <c r="AM265" s="46"/>
      <c r="AN265" s="196"/>
      <c r="AO265" s="438"/>
      <c r="AP265" s="46"/>
      <c r="AQ265" s="368"/>
      <c r="AR265" s="257"/>
      <c r="AS265" s="196"/>
      <c r="AT265" s="46"/>
      <c r="AU265" s="46"/>
      <c r="AV265" s="196"/>
      <c r="AW265" s="257"/>
      <c r="AX265" s="196"/>
      <c r="AY265" s="191"/>
      <c r="AZ265" s="257"/>
      <c r="BA265" s="196"/>
      <c r="BB265" s="46"/>
      <c r="BC265" s="257"/>
      <c r="BD265" s="196"/>
      <c r="BE265" s="191"/>
      <c r="BF265" s="46"/>
      <c r="BG265" s="196"/>
      <c r="BH265" s="46"/>
      <c r="BI265" s="257"/>
      <c r="BJ265" s="196"/>
      <c r="BK265" s="191"/>
      <c r="BL265" s="257"/>
      <c r="BM265" s="196"/>
      <c r="BN265" s="46"/>
      <c r="BO265" s="257"/>
      <c r="BP265" s="196"/>
      <c r="BQ265" s="190"/>
      <c r="BR265" s="46"/>
      <c r="BS265" s="196"/>
      <c r="BT265" s="46"/>
      <c r="BU265" s="257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196"/>
      <c r="CI265" s="46"/>
      <c r="CJ265" s="46"/>
      <c r="CK265" s="46"/>
      <c r="CL265" s="46"/>
      <c r="CM265" s="46"/>
      <c r="CN265" s="196"/>
      <c r="CO265" s="191"/>
      <c r="CP265" s="257"/>
      <c r="CQ265" s="196"/>
      <c r="CR265" s="167"/>
      <c r="CS265" s="257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191"/>
      <c r="DN265" s="46"/>
      <c r="DO265" s="218"/>
      <c r="DP265" s="221" t="s">
        <v>530</v>
      </c>
      <c r="DQ265" s="257">
        <f t="shared" ref="DQ265:DQ328" si="31">DW265+EC265+EJ265+ER265+EZ265+FH265</f>
        <v>20000</v>
      </c>
      <c r="DR265" s="294"/>
      <c r="DS265" s="295"/>
      <c r="DT265" s="386">
        <f t="shared" ref="DT265:DT328" si="32">DZ265+EF265+EN265+EV265+FD265+FL265</f>
        <v>0</v>
      </c>
      <c r="DU265" s="41"/>
      <c r="DV265" s="41"/>
      <c r="DW265" s="256"/>
      <c r="DX265" s="41"/>
      <c r="DY265" s="41"/>
      <c r="DZ265" s="68"/>
      <c r="EA265" s="41"/>
      <c r="EB265" s="41"/>
      <c r="EC265" s="256"/>
      <c r="ED265" s="308"/>
      <c r="EE265" s="308"/>
      <c r="EF265" s="308"/>
      <c r="EG265" s="41"/>
      <c r="EH265" s="41"/>
      <c r="EI265" s="41"/>
      <c r="EJ265" s="69"/>
      <c r="EK265" s="308"/>
      <c r="EL265" s="308"/>
      <c r="EM265" s="308"/>
      <c r="EN265" s="308"/>
      <c r="EO265" s="41">
        <v>9</v>
      </c>
      <c r="EP265" s="41">
        <v>1</v>
      </c>
      <c r="EQ265" s="41">
        <v>1</v>
      </c>
      <c r="ER265" s="256">
        <v>20000</v>
      </c>
      <c r="ES265" s="293"/>
      <c r="ET265" s="293"/>
      <c r="EU265" s="293"/>
      <c r="EV265" s="293"/>
      <c r="EW265" s="41"/>
      <c r="EX265" s="41"/>
      <c r="EY265" s="41"/>
      <c r="EZ265" s="256"/>
      <c r="FA265" s="308"/>
      <c r="FB265" s="308"/>
      <c r="FC265" s="308"/>
      <c r="FD265" s="308"/>
      <c r="FE265" s="41"/>
      <c r="FF265" s="41"/>
      <c r="FG265" s="41"/>
      <c r="FH265" s="256"/>
      <c r="FI265" s="41"/>
      <c r="FJ265" s="41"/>
      <c r="FK265" s="41"/>
      <c r="FL265" s="276"/>
    </row>
    <row r="266" spans="1:168" ht="30">
      <c r="A266" s="45">
        <v>259</v>
      </c>
      <c r="B266" s="45" t="s">
        <v>210</v>
      </c>
      <c r="C266" s="45">
        <v>5</v>
      </c>
      <c r="D266" s="29" t="s">
        <v>159</v>
      </c>
      <c r="E266" s="30">
        <v>48</v>
      </c>
      <c r="F266" s="30">
        <v>5</v>
      </c>
      <c r="G266" s="246">
        <f>60098.9004/1000</f>
        <v>60.098900399999998</v>
      </c>
      <c r="H266" s="45">
        <v>60098.900399999984</v>
      </c>
      <c r="I266" s="45">
        <v>0</v>
      </c>
      <c r="J266" s="397">
        <v>147.97656999999998</v>
      </c>
      <c r="K266" s="495">
        <f t="shared" si="28"/>
        <v>208.07547039999997</v>
      </c>
      <c r="L266" s="578"/>
      <c r="M266" s="45">
        <f t="shared" si="30"/>
        <v>0</v>
      </c>
      <c r="N266" s="46">
        <f t="shared" si="27"/>
        <v>208.07547039999997</v>
      </c>
      <c r="O266" s="46">
        <f t="shared" si="29"/>
        <v>191.1</v>
      </c>
      <c r="P266" s="234"/>
      <c r="Q266" s="46"/>
      <c r="R266" s="450"/>
      <c r="S266" s="257"/>
      <c r="T266" s="46"/>
      <c r="U266" s="46"/>
      <c r="V266" s="46"/>
      <c r="W266" s="46"/>
      <c r="X266" s="196"/>
      <c r="Y266" s="46"/>
      <c r="Z266" s="46"/>
      <c r="AA266" s="46"/>
      <c r="AB266" s="46"/>
      <c r="AC266" s="46"/>
      <c r="AD266" s="46"/>
      <c r="AE266" s="46"/>
      <c r="AF266" s="196"/>
      <c r="AG266" s="46"/>
      <c r="AH266" s="46"/>
      <c r="AI266" s="46"/>
      <c r="AJ266" s="46"/>
      <c r="AK266" s="46"/>
      <c r="AL266" s="46"/>
      <c r="AM266" s="46"/>
      <c r="AN266" s="196" t="s">
        <v>227</v>
      </c>
      <c r="AO266" s="438" t="s">
        <v>335</v>
      </c>
      <c r="AP266" s="46">
        <v>77</v>
      </c>
      <c r="AQ266" s="368" t="s">
        <v>954</v>
      </c>
      <c r="AR266" s="257">
        <f>AP266*1300</f>
        <v>100100</v>
      </c>
      <c r="AS266" s="196"/>
      <c r="AT266" s="46"/>
      <c r="AU266" s="46"/>
      <c r="AV266" s="196"/>
      <c r="AW266" s="257"/>
      <c r="AX266" s="196"/>
      <c r="AY266" s="191"/>
      <c r="AZ266" s="257"/>
      <c r="BA266" s="196"/>
      <c r="BB266" s="46"/>
      <c r="BC266" s="257"/>
      <c r="BD266" s="196"/>
      <c r="BE266" s="191"/>
      <c r="BF266" s="46"/>
      <c r="BG266" s="196"/>
      <c r="BH266" s="46"/>
      <c r="BI266" s="257"/>
      <c r="BJ266" s="196"/>
      <c r="BK266" s="191"/>
      <c r="BL266" s="257"/>
      <c r="BM266" s="196"/>
      <c r="BN266" s="46"/>
      <c r="BO266" s="257"/>
      <c r="BP266" s="196"/>
      <c r="BQ266" s="190"/>
      <c r="BR266" s="46"/>
      <c r="BS266" s="196"/>
      <c r="BT266" s="46"/>
      <c r="BU266" s="257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196"/>
      <c r="CI266" s="46"/>
      <c r="CJ266" s="46"/>
      <c r="CK266" s="46"/>
      <c r="CL266" s="46"/>
      <c r="CM266" s="46"/>
      <c r="CN266" s="196"/>
      <c r="CO266" s="191"/>
      <c r="CP266" s="257"/>
      <c r="CQ266" s="196"/>
      <c r="CR266" s="167"/>
      <c r="CS266" s="257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191"/>
      <c r="DN266" s="46"/>
      <c r="DO266" s="196"/>
      <c r="DP266" s="221" t="s">
        <v>955</v>
      </c>
      <c r="DQ266" s="257">
        <f t="shared" si="31"/>
        <v>91000</v>
      </c>
      <c r="DR266" s="294"/>
      <c r="DS266" s="295"/>
      <c r="DT266" s="386">
        <f t="shared" si="32"/>
        <v>0</v>
      </c>
      <c r="DU266" s="41"/>
      <c r="DV266" s="41"/>
      <c r="DW266" s="256"/>
      <c r="DX266" s="41"/>
      <c r="DY266" s="41"/>
      <c r="DZ266" s="68"/>
      <c r="EA266" s="46">
        <v>6</v>
      </c>
      <c r="EB266" s="46">
        <v>70</v>
      </c>
      <c r="EC266" s="256">
        <f>EB266*800</f>
        <v>56000</v>
      </c>
      <c r="ED266" s="308"/>
      <c r="EE266" s="308"/>
      <c r="EF266" s="308"/>
      <c r="EG266" s="41"/>
      <c r="EH266" s="41"/>
      <c r="EI266" s="41"/>
      <c r="EJ266" s="69"/>
      <c r="EK266" s="308"/>
      <c r="EL266" s="308"/>
      <c r="EM266" s="308"/>
      <c r="EN266" s="308"/>
      <c r="EO266" s="41">
        <v>6</v>
      </c>
      <c r="EP266" s="41">
        <v>1</v>
      </c>
      <c r="EQ266" s="41">
        <v>1</v>
      </c>
      <c r="ER266" s="256">
        <v>20000</v>
      </c>
      <c r="ES266" s="293"/>
      <c r="ET266" s="293"/>
      <c r="EU266" s="293"/>
      <c r="EV266" s="293"/>
      <c r="EW266" s="41"/>
      <c r="EX266" s="41"/>
      <c r="EY266" s="41"/>
      <c r="EZ266" s="256"/>
      <c r="FA266" s="308"/>
      <c r="FB266" s="308"/>
      <c r="FC266" s="308"/>
      <c r="FD266" s="308"/>
      <c r="FE266" s="46">
        <v>9</v>
      </c>
      <c r="FF266" s="41">
        <v>1</v>
      </c>
      <c r="FG266" s="41">
        <v>1</v>
      </c>
      <c r="FH266" s="256">
        <v>15000</v>
      </c>
      <c r="FI266" s="41"/>
      <c r="FJ266" s="41"/>
      <c r="FK266" s="41"/>
      <c r="FL266" s="276"/>
    </row>
    <row r="267" spans="1:168">
      <c r="A267" s="45">
        <v>260</v>
      </c>
      <c r="B267" s="45" t="s">
        <v>210</v>
      </c>
      <c r="C267" s="45">
        <v>5</v>
      </c>
      <c r="D267" s="29" t="s">
        <v>159</v>
      </c>
      <c r="E267" s="30" t="s">
        <v>163</v>
      </c>
      <c r="F267" s="30">
        <v>5</v>
      </c>
      <c r="G267" s="246">
        <f>87243.9876/1000</f>
        <v>87.243987599999997</v>
      </c>
      <c r="H267" s="45">
        <v>87243.987599999993</v>
      </c>
      <c r="I267" s="45">
        <v>0</v>
      </c>
      <c r="J267" s="397">
        <v>-41.222810000000052</v>
      </c>
      <c r="K267" s="495">
        <f t="shared" si="28"/>
        <v>46.021177599999945</v>
      </c>
      <c r="L267" s="578"/>
      <c r="M267" s="45">
        <f t="shared" si="30"/>
        <v>0</v>
      </c>
      <c r="N267" s="46">
        <f t="shared" si="27"/>
        <v>46.021177599999945</v>
      </c>
      <c r="O267" s="46">
        <f t="shared" si="29"/>
        <v>46</v>
      </c>
      <c r="P267" s="234"/>
      <c r="Q267" s="46"/>
      <c r="R267" s="450"/>
      <c r="S267" s="257"/>
      <c r="T267" s="46"/>
      <c r="U267" s="46"/>
      <c r="V267" s="46"/>
      <c r="W267" s="46"/>
      <c r="X267" s="196"/>
      <c r="Y267" s="46"/>
      <c r="Z267" s="46"/>
      <c r="AA267" s="46"/>
      <c r="AB267" s="46"/>
      <c r="AC267" s="46"/>
      <c r="AD267" s="46"/>
      <c r="AE267" s="46"/>
      <c r="AF267" s="196"/>
      <c r="AG267" s="46"/>
      <c r="AH267" s="46"/>
      <c r="AI267" s="46"/>
      <c r="AJ267" s="46"/>
      <c r="AK267" s="46"/>
      <c r="AL267" s="46"/>
      <c r="AM267" s="46"/>
      <c r="AN267" s="196"/>
      <c r="AO267" s="438"/>
      <c r="AP267" s="46"/>
      <c r="AQ267" s="368"/>
      <c r="AR267" s="257"/>
      <c r="AS267" s="196"/>
      <c r="AT267" s="46"/>
      <c r="AU267" s="46"/>
      <c r="AV267" s="196"/>
      <c r="AW267" s="257"/>
      <c r="AX267" s="196"/>
      <c r="AY267" s="191"/>
      <c r="AZ267" s="257"/>
      <c r="BA267" s="196"/>
      <c r="BB267" s="46"/>
      <c r="BC267" s="257"/>
      <c r="BD267" s="196"/>
      <c r="BE267" s="191"/>
      <c r="BF267" s="46"/>
      <c r="BG267" s="196"/>
      <c r="BH267" s="46"/>
      <c r="BI267" s="257"/>
      <c r="BJ267" s="196"/>
      <c r="BK267" s="191"/>
      <c r="BL267" s="257"/>
      <c r="BM267" s="218"/>
      <c r="BN267" s="167"/>
      <c r="BO267" s="257"/>
      <c r="BP267" s="196"/>
      <c r="BQ267" s="190"/>
      <c r="BR267" s="46"/>
      <c r="BS267" s="196"/>
      <c r="BT267" s="46"/>
      <c r="BU267" s="257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196"/>
      <c r="CI267" s="46"/>
      <c r="CJ267" s="46"/>
      <c r="CK267" s="46"/>
      <c r="CL267" s="46"/>
      <c r="CM267" s="46"/>
      <c r="CN267" s="196"/>
      <c r="CO267" s="191"/>
      <c r="CP267" s="257"/>
      <c r="CQ267" s="196"/>
      <c r="CR267" s="167"/>
      <c r="CS267" s="257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191"/>
      <c r="DN267" s="46"/>
      <c r="DO267" s="196"/>
      <c r="DP267" s="221" t="s">
        <v>554</v>
      </c>
      <c r="DQ267" s="257">
        <f>DW267+EC267+EJ267+ER267+EZ267+FH267+46000</f>
        <v>46000</v>
      </c>
      <c r="DR267" s="294"/>
      <c r="DS267" s="295"/>
      <c r="DT267" s="386">
        <f t="shared" si="32"/>
        <v>0</v>
      </c>
      <c r="DU267" s="41"/>
      <c r="DV267" s="41"/>
      <c r="DW267" s="256"/>
      <c r="DX267" s="41"/>
      <c r="DY267" s="41"/>
      <c r="DZ267" s="68"/>
      <c r="EA267" s="41"/>
      <c r="EB267" s="41"/>
      <c r="EC267" s="256"/>
      <c r="ED267" s="308"/>
      <c r="EE267" s="308"/>
      <c r="EF267" s="308"/>
      <c r="EG267" s="41"/>
      <c r="EH267" s="41"/>
      <c r="EI267" s="41"/>
      <c r="EJ267" s="69"/>
      <c r="EK267" s="308"/>
      <c r="EL267" s="308"/>
      <c r="EM267" s="308"/>
      <c r="EN267" s="308"/>
      <c r="EO267" s="41"/>
      <c r="EP267" s="41"/>
      <c r="EQ267" s="41"/>
      <c r="ER267" s="256"/>
      <c r="ES267" s="293"/>
      <c r="ET267" s="293"/>
      <c r="EU267" s="293"/>
      <c r="EV267" s="293"/>
      <c r="EW267" s="41"/>
      <c r="EX267" s="41"/>
      <c r="EY267" s="41"/>
      <c r="EZ267" s="256"/>
      <c r="FA267" s="308"/>
      <c r="FB267" s="308"/>
      <c r="FC267" s="308"/>
      <c r="FD267" s="308"/>
      <c r="FE267" s="46"/>
      <c r="FF267" s="41"/>
      <c r="FG267" s="41"/>
      <c r="FH267" s="256"/>
      <c r="FI267" s="41"/>
      <c r="FJ267" s="41"/>
      <c r="FK267" s="41"/>
      <c r="FL267" s="276"/>
    </row>
    <row r="268" spans="1:168" ht="20.25">
      <c r="A268" s="45">
        <v>261</v>
      </c>
      <c r="B268" s="45" t="s">
        <v>210</v>
      </c>
      <c r="C268" s="45">
        <v>5</v>
      </c>
      <c r="D268" s="29" t="s">
        <v>159</v>
      </c>
      <c r="E268" s="30">
        <v>54</v>
      </c>
      <c r="F268" s="30">
        <v>5</v>
      </c>
      <c r="G268" s="246">
        <f>35184.996/1000</f>
        <v>35.184995999999998</v>
      </c>
      <c r="H268" s="45">
        <v>35184.995999999999</v>
      </c>
      <c r="I268" s="45">
        <v>0</v>
      </c>
      <c r="J268" s="397">
        <v>66.221530000000016</v>
      </c>
      <c r="K268" s="495">
        <f t="shared" si="28"/>
        <v>101.40652600000001</v>
      </c>
      <c r="L268" s="578"/>
      <c r="M268" s="45">
        <f t="shared" si="30"/>
        <v>0</v>
      </c>
      <c r="N268" s="46">
        <f t="shared" si="27"/>
        <v>101.40652600000001</v>
      </c>
      <c r="O268" s="46">
        <f t="shared" si="29"/>
        <v>22.5</v>
      </c>
      <c r="P268" s="234"/>
      <c r="Q268" s="46"/>
      <c r="R268" s="450"/>
      <c r="S268" s="257"/>
      <c r="T268" s="46"/>
      <c r="U268" s="46"/>
      <c r="V268" s="46"/>
      <c r="W268" s="46"/>
      <c r="X268" s="196"/>
      <c r="Y268" s="46"/>
      <c r="Z268" s="46"/>
      <c r="AA268" s="46"/>
      <c r="AB268" s="46"/>
      <c r="AC268" s="46"/>
      <c r="AD268" s="46"/>
      <c r="AE268" s="46"/>
      <c r="AF268" s="196"/>
      <c r="AG268" s="46"/>
      <c r="AH268" s="46"/>
      <c r="AI268" s="46"/>
      <c r="AJ268" s="46"/>
      <c r="AK268" s="46"/>
      <c r="AL268" s="46"/>
      <c r="AM268" s="46"/>
      <c r="AN268" s="196"/>
      <c r="AO268" s="438"/>
      <c r="AP268" s="46"/>
      <c r="AQ268" s="368"/>
      <c r="AR268" s="257"/>
      <c r="AS268" s="196"/>
      <c r="AT268" s="46"/>
      <c r="AU268" s="46"/>
      <c r="AV268" s="196"/>
      <c r="AW268" s="257"/>
      <c r="AX268" s="196"/>
      <c r="AY268" s="191"/>
      <c r="AZ268" s="257"/>
      <c r="BA268" s="196"/>
      <c r="BB268" s="46"/>
      <c r="BC268" s="257"/>
      <c r="BD268" s="196"/>
      <c r="BE268" s="191"/>
      <c r="BF268" s="46"/>
      <c r="BG268" s="196"/>
      <c r="BH268" s="46"/>
      <c r="BI268" s="257"/>
      <c r="BJ268" s="196"/>
      <c r="BK268" s="191"/>
      <c r="BL268" s="257"/>
      <c r="BM268" s="196"/>
      <c r="BN268" s="46"/>
      <c r="BO268" s="257"/>
      <c r="BP268" s="196"/>
      <c r="BQ268" s="190"/>
      <c r="BR268" s="46"/>
      <c r="BS268" s="196"/>
      <c r="BT268" s="46"/>
      <c r="BU268" s="257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196"/>
      <c r="CI268" s="46"/>
      <c r="CJ268" s="46"/>
      <c r="CK268" s="46"/>
      <c r="CL268" s="46"/>
      <c r="CM268" s="46"/>
      <c r="CN268" s="196"/>
      <c r="CO268" s="191"/>
      <c r="CP268" s="257"/>
      <c r="CQ268" s="196"/>
      <c r="CR268" s="167"/>
      <c r="CS268" s="257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191"/>
      <c r="DN268" s="46"/>
      <c r="DO268" s="196"/>
      <c r="DP268" s="221" t="s">
        <v>891</v>
      </c>
      <c r="DQ268" s="257">
        <f t="shared" si="31"/>
        <v>22500</v>
      </c>
      <c r="DR268" s="294"/>
      <c r="DS268" s="295"/>
      <c r="DT268" s="386">
        <f t="shared" si="32"/>
        <v>0</v>
      </c>
      <c r="DU268" s="41"/>
      <c r="DV268" s="41"/>
      <c r="DW268" s="256"/>
      <c r="DX268" s="41"/>
      <c r="DY268" s="41"/>
      <c r="DZ268" s="68"/>
      <c r="EA268" s="41"/>
      <c r="EB268" s="41"/>
      <c r="EC268" s="256"/>
      <c r="ED268" s="308"/>
      <c r="EE268" s="308"/>
      <c r="EF268" s="308"/>
      <c r="EG268" s="41"/>
      <c r="EH268" s="41"/>
      <c r="EI268" s="41"/>
      <c r="EJ268" s="69"/>
      <c r="EK268" s="308"/>
      <c r="EL268" s="308"/>
      <c r="EM268" s="308"/>
      <c r="EN268" s="308"/>
      <c r="EO268" s="41">
        <v>10</v>
      </c>
      <c r="EP268" s="41">
        <v>1</v>
      </c>
      <c r="EQ268" s="41">
        <v>1</v>
      </c>
      <c r="ER268" s="256">
        <v>20000</v>
      </c>
      <c r="ES268" s="293"/>
      <c r="ET268" s="293"/>
      <c r="EU268" s="293"/>
      <c r="EV268" s="293"/>
      <c r="EW268" s="41"/>
      <c r="EX268" s="41"/>
      <c r="EY268" s="41"/>
      <c r="EZ268" s="256"/>
      <c r="FA268" s="308"/>
      <c r="FB268" s="308"/>
      <c r="FC268" s="308"/>
      <c r="FD268" s="308"/>
      <c r="FE268" s="46">
        <v>9</v>
      </c>
      <c r="FF268" s="41">
        <v>1</v>
      </c>
      <c r="FG268" s="41">
        <v>1</v>
      </c>
      <c r="FH268" s="256">
        <v>2500</v>
      </c>
      <c r="FI268" s="41"/>
      <c r="FJ268" s="41"/>
      <c r="FK268" s="41"/>
      <c r="FL268" s="276"/>
    </row>
    <row r="269" spans="1:168">
      <c r="A269" s="45">
        <v>262</v>
      </c>
      <c r="B269" s="45" t="s">
        <v>210</v>
      </c>
      <c r="C269" s="45">
        <v>4</v>
      </c>
      <c r="D269" s="29" t="s">
        <v>509</v>
      </c>
      <c r="E269" s="30">
        <v>152</v>
      </c>
      <c r="F269" s="30">
        <v>6</v>
      </c>
      <c r="G269" s="246">
        <f>42929.8488/1000</f>
        <v>42.929848800000002</v>
      </c>
      <c r="H269" s="45">
        <v>12141.538199999999</v>
      </c>
      <c r="I269" s="45">
        <v>30788.310600000004</v>
      </c>
      <c r="J269" s="397">
        <v>25.933100000000003</v>
      </c>
      <c r="K269" s="495">
        <f t="shared" si="28"/>
        <v>68.862948799999998</v>
      </c>
      <c r="L269" s="578"/>
      <c r="M269" s="45">
        <f t="shared" si="30"/>
        <v>0</v>
      </c>
      <c r="N269" s="46">
        <f t="shared" si="27"/>
        <v>68.862948799999998</v>
      </c>
      <c r="O269" s="46">
        <f t="shared" si="29"/>
        <v>68</v>
      </c>
      <c r="P269" s="234"/>
      <c r="Q269" s="46"/>
      <c r="R269" s="450"/>
      <c r="S269" s="257"/>
      <c r="T269" s="46"/>
      <c r="U269" s="46"/>
      <c r="V269" s="46"/>
      <c r="W269" s="46"/>
      <c r="X269" s="196"/>
      <c r="Y269" s="46"/>
      <c r="Z269" s="46"/>
      <c r="AA269" s="46"/>
      <c r="AB269" s="46"/>
      <c r="AC269" s="46"/>
      <c r="AD269" s="46"/>
      <c r="AE269" s="46"/>
      <c r="AF269" s="196"/>
      <c r="AG269" s="46"/>
      <c r="AH269" s="46"/>
      <c r="AI269" s="46"/>
      <c r="AJ269" s="46"/>
      <c r="AK269" s="46"/>
      <c r="AL269" s="46"/>
      <c r="AM269" s="46"/>
      <c r="AN269" s="196"/>
      <c r="AO269" s="438"/>
      <c r="AP269" s="46"/>
      <c r="AQ269" s="368"/>
      <c r="AR269" s="257"/>
      <c r="AS269" s="196"/>
      <c r="AT269" s="46"/>
      <c r="AU269" s="46"/>
      <c r="AV269" s="196"/>
      <c r="AW269" s="257"/>
      <c r="AX269" s="196"/>
      <c r="AY269" s="191"/>
      <c r="AZ269" s="257"/>
      <c r="BA269" s="196"/>
      <c r="BB269" s="46"/>
      <c r="BC269" s="257"/>
      <c r="BD269" s="196"/>
      <c r="BE269" s="191"/>
      <c r="BF269" s="46"/>
      <c r="BG269" s="196"/>
      <c r="BH269" s="46"/>
      <c r="BI269" s="257"/>
      <c r="BJ269" s="196"/>
      <c r="BK269" s="191"/>
      <c r="BL269" s="257"/>
      <c r="BM269" s="196"/>
      <c r="BN269" s="46"/>
      <c r="BO269" s="257"/>
      <c r="BP269" s="196"/>
      <c r="BQ269" s="190"/>
      <c r="BR269" s="46"/>
      <c r="BS269" s="196"/>
      <c r="BT269" s="46"/>
      <c r="BU269" s="257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196"/>
      <c r="CI269" s="46"/>
      <c r="CJ269" s="46"/>
      <c r="CK269" s="46"/>
      <c r="CL269" s="46"/>
      <c r="CM269" s="46"/>
      <c r="CN269" s="196"/>
      <c r="CO269" s="191"/>
      <c r="CP269" s="257"/>
      <c r="CQ269" s="196"/>
      <c r="CR269" s="167"/>
      <c r="CS269" s="257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191"/>
      <c r="DN269" s="46"/>
      <c r="DO269" s="196"/>
      <c r="DP269" s="221" t="s">
        <v>531</v>
      </c>
      <c r="DQ269" s="257">
        <f>DW269+EC269+EJ269+ER269+EZ269+FH269+68000</f>
        <v>68000</v>
      </c>
      <c r="DR269" s="296"/>
      <c r="DS269" s="295"/>
      <c r="DT269" s="386">
        <f t="shared" si="32"/>
        <v>0</v>
      </c>
      <c r="DU269" s="41"/>
      <c r="DV269" s="41"/>
      <c r="DW269" s="256"/>
      <c r="DX269" s="41"/>
      <c r="DY269" s="41"/>
      <c r="DZ269" s="68"/>
      <c r="EA269" s="41"/>
      <c r="EB269" s="41"/>
      <c r="EC269" s="256"/>
      <c r="ED269" s="308"/>
      <c r="EE269" s="308"/>
      <c r="EF269" s="308"/>
      <c r="EG269" s="41"/>
      <c r="EH269" s="41"/>
      <c r="EI269" s="41"/>
      <c r="EJ269" s="69"/>
      <c r="EK269" s="308"/>
      <c r="EL269" s="308"/>
      <c r="EM269" s="308"/>
      <c r="EN269" s="308"/>
      <c r="EO269" s="41"/>
      <c r="EP269" s="41"/>
      <c r="EQ269" s="41"/>
      <c r="ER269" s="256"/>
      <c r="ES269" s="293"/>
      <c r="ET269" s="293"/>
      <c r="EU269" s="293"/>
      <c r="EV269" s="293"/>
      <c r="EW269" s="41"/>
      <c r="EX269" s="41"/>
      <c r="EY269" s="41"/>
      <c r="EZ269" s="256"/>
      <c r="FA269" s="308"/>
      <c r="FB269" s="308"/>
      <c r="FC269" s="308"/>
      <c r="FD269" s="308"/>
      <c r="FE269" s="41"/>
      <c r="FF269" s="41"/>
      <c r="FG269" s="41"/>
      <c r="FH269" s="256"/>
      <c r="FI269" s="41"/>
      <c r="FJ269" s="41"/>
      <c r="FK269" s="41"/>
      <c r="FL269" s="276"/>
    </row>
    <row r="270" spans="1:168">
      <c r="A270" s="45">
        <v>263</v>
      </c>
      <c r="B270" s="45" t="s">
        <v>210</v>
      </c>
      <c r="C270" s="45">
        <v>4</v>
      </c>
      <c r="D270" s="29" t="s">
        <v>509</v>
      </c>
      <c r="E270" s="178">
        <v>156</v>
      </c>
      <c r="F270" s="188">
        <v>6</v>
      </c>
      <c r="G270" s="246">
        <f>42501/1000</f>
        <v>42.500999999999998</v>
      </c>
      <c r="H270" s="45">
        <v>12020.25</v>
      </c>
      <c r="I270" s="45">
        <v>30480.75</v>
      </c>
      <c r="J270" s="397">
        <v>153.12551999999999</v>
      </c>
      <c r="K270" s="495">
        <f t="shared" si="28"/>
        <v>195.62652</v>
      </c>
      <c r="L270" s="578"/>
      <c r="M270" s="45">
        <f t="shared" si="30"/>
        <v>0</v>
      </c>
      <c r="N270" s="46">
        <f>K270-M270</f>
        <v>195.62652</v>
      </c>
      <c r="O270" s="46">
        <f t="shared" si="29"/>
        <v>195</v>
      </c>
      <c r="P270" s="234"/>
      <c r="Q270" s="46"/>
      <c r="R270" s="450"/>
      <c r="S270" s="257"/>
      <c r="T270" s="46"/>
      <c r="U270" s="46"/>
      <c r="V270" s="46"/>
      <c r="W270" s="46"/>
      <c r="X270" s="196"/>
      <c r="Y270" s="46"/>
      <c r="Z270" s="46"/>
      <c r="AA270" s="46"/>
      <c r="AB270" s="46"/>
      <c r="AC270" s="46"/>
      <c r="AD270" s="46"/>
      <c r="AE270" s="46"/>
      <c r="AF270" s="196"/>
      <c r="AG270" s="46"/>
      <c r="AH270" s="46"/>
      <c r="AI270" s="46"/>
      <c r="AJ270" s="46"/>
      <c r="AK270" s="46"/>
      <c r="AL270" s="46"/>
      <c r="AM270" s="46"/>
      <c r="AN270" s="196"/>
      <c r="AO270" s="438"/>
      <c r="AP270" s="46"/>
      <c r="AQ270" s="368"/>
      <c r="AR270" s="257"/>
      <c r="AS270" s="196"/>
      <c r="AT270" s="46"/>
      <c r="AU270" s="46"/>
      <c r="AV270" s="196"/>
      <c r="AW270" s="257"/>
      <c r="AX270" s="196"/>
      <c r="AY270" s="191"/>
      <c r="AZ270" s="257"/>
      <c r="BA270" s="196"/>
      <c r="BB270" s="46"/>
      <c r="BC270" s="257"/>
      <c r="BD270" s="196"/>
      <c r="BE270" s="191"/>
      <c r="BF270" s="46"/>
      <c r="BG270" s="196"/>
      <c r="BH270" s="46"/>
      <c r="BI270" s="257"/>
      <c r="BJ270" s="196"/>
      <c r="BK270" s="191"/>
      <c r="BL270" s="257"/>
      <c r="BM270" s="196"/>
      <c r="BN270" s="46"/>
      <c r="BO270" s="257"/>
      <c r="BP270" s="196"/>
      <c r="BQ270" s="190"/>
      <c r="BR270" s="46"/>
      <c r="BS270" s="196"/>
      <c r="BT270" s="46"/>
      <c r="BU270" s="257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196"/>
      <c r="CI270" s="46"/>
      <c r="CJ270" s="46"/>
      <c r="CK270" s="46"/>
      <c r="CL270" s="46"/>
      <c r="CM270" s="46"/>
      <c r="CN270" s="196"/>
      <c r="CO270" s="191"/>
      <c r="CP270" s="257"/>
      <c r="CQ270" s="196"/>
      <c r="CR270" s="167"/>
      <c r="CS270" s="257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191"/>
      <c r="DN270" s="46"/>
      <c r="DO270" s="196"/>
      <c r="DP270" s="221" t="s">
        <v>531</v>
      </c>
      <c r="DQ270" s="257">
        <f>DW270+EC270+EJ270+ER270+EZ270+FH270+195000</f>
        <v>195000</v>
      </c>
      <c r="DR270" s="294"/>
      <c r="DS270" s="295"/>
      <c r="DT270" s="386">
        <f t="shared" si="32"/>
        <v>0</v>
      </c>
      <c r="DU270" s="41"/>
      <c r="DV270" s="41"/>
      <c r="DW270" s="256"/>
      <c r="DX270" s="41"/>
      <c r="DY270" s="41"/>
      <c r="DZ270" s="68"/>
      <c r="EA270" s="41"/>
      <c r="EB270" s="41"/>
      <c r="EC270" s="256"/>
      <c r="ED270" s="308"/>
      <c r="EE270" s="308"/>
      <c r="EF270" s="308"/>
      <c r="EG270" s="41"/>
      <c r="EH270" s="41"/>
      <c r="EI270" s="41"/>
      <c r="EJ270" s="69"/>
      <c r="EK270" s="308"/>
      <c r="EL270" s="308"/>
      <c r="EM270" s="308"/>
      <c r="EN270" s="308"/>
      <c r="EO270" s="41"/>
      <c r="EP270" s="41"/>
      <c r="EQ270" s="41"/>
      <c r="ER270" s="256"/>
      <c r="ES270" s="293"/>
      <c r="ET270" s="293"/>
      <c r="EU270" s="293"/>
      <c r="EV270" s="293"/>
      <c r="EW270" s="41"/>
      <c r="EX270" s="41"/>
      <c r="EY270" s="41"/>
      <c r="EZ270" s="256"/>
      <c r="FA270" s="308"/>
      <c r="FB270" s="308"/>
      <c r="FC270" s="308"/>
      <c r="FD270" s="308"/>
      <c r="FE270" s="41"/>
      <c r="FF270" s="41"/>
      <c r="FG270" s="41"/>
      <c r="FH270" s="256"/>
      <c r="FI270" s="41"/>
      <c r="FJ270" s="41"/>
      <c r="FK270" s="41"/>
      <c r="FL270" s="276"/>
    </row>
    <row r="271" spans="1:168" ht="23.25">
      <c r="A271" s="45">
        <v>264</v>
      </c>
      <c r="B271" s="45" t="s">
        <v>210</v>
      </c>
      <c r="C271" s="45">
        <v>4</v>
      </c>
      <c r="D271" s="29" t="s">
        <v>164</v>
      </c>
      <c r="E271" s="30">
        <v>158</v>
      </c>
      <c r="F271" s="30">
        <v>6</v>
      </c>
      <c r="G271" s="246">
        <f>40811.928/1000</f>
        <v>40.811928000000002</v>
      </c>
      <c r="H271" s="45">
        <v>11542.542000000001</v>
      </c>
      <c r="I271" s="45">
        <v>29269.385999999999</v>
      </c>
      <c r="J271" s="397">
        <v>152.31186</v>
      </c>
      <c r="K271" s="495">
        <f t="shared" si="28"/>
        <v>193.12378799999999</v>
      </c>
      <c r="L271" s="578"/>
      <c r="M271" s="45">
        <f t="shared" si="30"/>
        <v>0</v>
      </c>
      <c r="N271" s="46">
        <f t="shared" si="27"/>
        <v>193.12378799999999</v>
      </c>
      <c r="O271" s="46">
        <f t="shared" si="29"/>
        <v>120</v>
      </c>
      <c r="P271" s="234" t="s">
        <v>226</v>
      </c>
      <c r="Q271" s="46">
        <v>2</v>
      </c>
      <c r="R271" s="450" t="s">
        <v>896</v>
      </c>
      <c r="S271" s="257">
        <v>40000</v>
      </c>
      <c r="T271" s="46"/>
      <c r="U271" s="46"/>
      <c r="V271" s="46"/>
      <c r="W271" s="46"/>
      <c r="X271" s="196"/>
      <c r="Y271" s="46"/>
      <c r="Z271" s="46"/>
      <c r="AA271" s="46"/>
      <c r="AB271" s="46"/>
      <c r="AC271" s="46"/>
      <c r="AD271" s="46"/>
      <c r="AE271" s="46"/>
      <c r="AF271" s="196"/>
      <c r="AG271" s="46"/>
      <c r="AH271" s="46"/>
      <c r="AI271" s="46"/>
      <c r="AJ271" s="46"/>
      <c r="AK271" s="46"/>
      <c r="AL271" s="46"/>
      <c r="AM271" s="46"/>
      <c r="AN271" s="196"/>
      <c r="AO271" s="438"/>
      <c r="AP271" s="46"/>
      <c r="AQ271" s="368"/>
      <c r="AR271" s="257"/>
      <c r="AS271" s="196"/>
      <c r="AT271" s="46"/>
      <c r="AU271" s="46"/>
      <c r="AV271" s="196"/>
      <c r="AW271" s="257"/>
      <c r="AX271" s="196"/>
      <c r="AY271" s="191"/>
      <c r="AZ271" s="257"/>
      <c r="BA271" s="196"/>
      <c r="BB271" s="46"/>
      <c r="BC271" s="257"/>
      <c r="BD271" s="196"/>
      <c r="BE271" s="191"/>
      <c r="BF271" s="46"/>
      <c r="BG271" s="196"/>
      <c r="BH271" s="46"/>
      <c r="BI271" s="257"/>
      <c r="BJ271" s="196"/>
      <c r="BK271" s="191"/>
      <c r="BL271" s="257"/>
      <c r="BM271" s="196"/>
      <c r="BN271" s="46"/>
      <c r="BO271" s="257"/>
      <c r="BP271" s="196"/>
      <c r="BQ271" s="190"/>
      <c r="BR271" s="46"/>
      <c r="BS271" s="196"/>
      <c r="BT271" s="46"/>
      <c r="BU271" s="257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196"/>
      <c r="CI271" s="46"/>
      <c r="CJ271" s="46"/>
      <c r="CK271" s="46"/>
      <c r="CL271" s="46"/>
      <c r="CM271" s="46"/>
      <c r="CN271" s="196" t="s">
        <v>229</v>
      </c>
      <c r="CO271" s="191" t="s">
        <v>880</v>
      </c>
      <c r="CP271" s="257">
        <v>50000</v>
      </c>
      <c r="CQ271" s="196"/>
      <c r="CR271" s="167"/>
      <c r="CS271" s="257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191"/>
      <c r="DN271" s="46"/>
      <c r="DO271" s="218"/>
      <c r="DP271" s="221" t="s">
        <v>957</v>
      </c>
      <c r="DQ271" s="257">
        <f t="shared" si="31"/>
        <v>30000</v>
      </c>
      <c r="DR271" s="294"/>
      <c r="DS271" s="295"/>
      <c r="DT271" s="386">
        <f t="shared" si="32"/>
        <v>0</v>
      </c>
      <c r="DU271" s="41"/>
      <c r="DV271" s="41"/>
      <c r="DW271" s="256"/>
      <c r="DX271" s="41"/>
      <c r="DY271" s="41"/>
      <c r="DZ271" s="68"/>
      <c r="EA271" s="41"/>
      <c r="EB271" s="41"/>
      <c r="EC271" s="256"/>
      <c r="ED271" s="308"/>
      <c r="EE271" s="308"/>
      <c r="EF271" s="308"/>
      <c r="EG271" s="41"/>
      <c r="EH271" s="41"/>
      <c r="EI271" s="41"/>
      <c r="EJ271" s="69"/>
      <c r="EK271" s="308"/>
      <c r="EL271" s="308"/>
      <c r="EM271" s="308"/>
      <c r="EN271" s="308"/>
      <c r="EO271" s="41"/>
      <c r="EP271" s="41"/>
      <c r="EQ271" s="41"/>
      <c r="ER271" s="256"/>
      <c r="ES271" s="293"/>
      <c r="ET271" s="293"/>
      <c r="EU271" s="293"/>
      <c r="EV271" s="293"/>
      <c r="EW271" s="41"/>
      <c r="EX271" s="41"/>
      <c r="EY271" s="41"/>
      <c r="EZ271" s="256"/>
      <c r="FA271" s="308"/>
      <c r="FB271" s="308"/>
      <c r="FC271" s="308"/>
      <c r="FD271" s="308"/>
      <c r="FE271" s="41">
        <v>9</v>
      </c>
      <c r="FF271" s="41">
        <v>2</v>
      </c>
      <c r="FG271" s="41">
        <v>1.2</v>
      </c>
      <c r="FH271" s="256">
        <v>30000</v>
      </c>
      <c r="FI271" s="41"/>
      <c r="FJ271" s="41"/>
      <c r="FK271" s="41"/>
      <c r="FL271" s="276"/>
    </row>
    <row r="272" spans="1:168" ht="69">
      <c r="A272" s="45">
        <v>265</v>
      </c>
      <c r="B272" s="45" t="s">
        <v>210</v>
      </c>
      <c r="C272" s="45">
        <v>4</v>
      </c>
      <c r="D272" s="29" t="s">
        <v>165</v>
      </c>
      <c r="E272" s="30">
        <v>11</v>
      </c>
      <c r="F272" s="30">
        <v>2</v>
      </c>
      <c r="G272" s="246">
        <f>994627.488/1000</f>
        <v>994.62748799999997</v>
      </c>
      <c r="H272" s="45">
        <v>994627.48800000013</v>
      </c>
      <c r="I272" s="45">
        <v>0</v>
      </c>
      <c r="J272" s="397">
        <v>313.62001999999984</v>
      </c>
      <c r="K272" s="495">
        <f t="shared" si="28"/>
        <v>1308.2475079999999</v>
      </c>
      <c r="L272" s="578"/>
      <c r="M272" s="45">
        <f t="shared" si="30"/>
        <v>0</v>
      </c>
      <c r="N272" s="46">
        <f t="shared" si="27"/>
        <v>1308.2475079999999</v>
      </c>
      <c r="O272" s="46">
        <f t="shared" si="29"/>
        <v>1125.5</v>
      </c>
      <c r="P272" s="234" t="s">
        <v>227</v>
      </c>
      <c r="Q272" s="46">
        <v>1</v>
      </c>
      <c r="R272" s="450">
        <v>1</v>
      </c>
      <c r="S272" s="257">
        <v>450000</v>
      </c>
      <c r="T272" s="46"/>
      <c r="U272" s="46"/>
      <c r="V272" s="46"/>
      <c r="W272" s="46"/>
      <c r="X272" s="196"/>
      <c r="Y272" s="46"/>
      <c r="Z272" s="46"/>
      <c r="AA272" s="46"/>
      <c r="AB272" s="46"/>
      <c r="AC272" s="46"/>
      <c r="AD272" s="46"/>
      <c r="AE272" s="46"/>
      <c r="AF272" s="196" t="s">
        <v>226</v>
      </c>
      <c r="AG272" s="46">
        <v>24</v>
      </c>
      <c r="AH272" s="46">
        <v>56</v>
      </c>
      <c r="AI272" s="46">
        <f>AG272*750</f>
        <v>18000</v>
      </c>
      <c r="AJ272" s="46"/>
      <c r="AK272" s="46"/>
      <c r="AL272" s="46"/>
      <c r="AM272" s="46"/>
      <c r="AN272" s="196"/>
      <c r="AO272" s="438"/>
      <c r="AP272" s="46"/>
      <c r="AQ272" s="368"/>
      <c r="AR272" s="257"/>
      <c r="AS272" s="196"/>
      <c r="AT272" s="46"/>
      <c r="AU272" s="46"/>
      <c r="AV272" s="196"/>
      <c r="AW272" s="257"/>
      <c r="AX272" s="196" t="s">
        <v>229</v>
      </c>
      <c r="AY272" s="190" t="s">
        <v>812</v>
      </c>
      <c r="AZ272" s="257">
        <f>27*2500</f>
        <v>67500</v>
      </c>
      <c r="BA272" s="218"/>
      <c r="BB272" s="46"/>
      <c r="BC272" s="257"/>
      <c r="BD272" s="196"/>
      <c r="BE272" s="191"/>
      <c r="BF272" s="46"/>
      <c r="BG272" s="196"/>
      <c r="BH272" s="46"/>
      <c r="BI272" s="257"/>
      <c r="BJ272" s="196"/>
      <c r="BK272" s="191"/>
      <c r="BL272" s="257"/>
      <c r="BM272" s="196"/>
      <c r="BN272" s="46"/>
      <c r="BO272" s="257"/>
      <c r="BP272" s="196"/>
      <c r="BQ272" s="190"/>
      <c r="BR272" s="46"/>
      <c r="BS272" s="196"/>
      <c r="BT272" s="46"/>
      <c r="BU272" s="257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196"/>
      <c r="CI272" s="46"/>
      <c r="CJ272" s="46"/>
      <c r="CK272" s="46"/>
      <c r="CL272" s="46"/>
      <c r="CM272" s="46"/>
      <c r="CN272" s="196" t="s">
        <v>228</v>
      </c>
      <c r="CO272" s="441" t="s">
        <v>813</v>
      </c>
      <c r="CP272" s="257">
        <f>500000</f>
        <v>500000</v>
      </c>
      <c r="CQ272" s="196"/>
      <c r="CR272" s="167"/>
      <c r="CS272" s="257"/>
      <c r="CT272" s="46"/>
      <c r="CU272" s="46"/>
      <c r="CV272" s="46"/>
      <c r="CW272" s="46"/>
      <c r="CX272" s="167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191"/>
      <c r="DN272" s="46"/>
      <c r="DO272" s="196"/>
      <c r="DP272" s="221" t="s">
        <v>814</v>
      </c>
      <c r="DQ272" s="257">
        <f>DW272+EC272+EJ272+ER272+EZ272+FH272+5*15000+10000+5000</f>
        <v>90000</v>
      </c>
      <c r="DR272" s="296"/>
      <c r="DS272" s="295"/>
      <c r="DT272" s="386">
        <f t="shared" si="32"/>
        <v>0</v>
      </c>
      <c r="DU272" s="41"/>
      <c r="DV272" s="41"/>
      <c r="DW272" s="256"/>
      <c r="DX272" s="41"/>
      <c r="DY272" s="41"/>
      <c r="DZ272" s="68"/>
      <c r="EA272" s="41"/>
      <c r="EB272" s="41"/>
      <c r="EC272" s="256"/>
      <c r="ED272" s="308"/>
      <c r="EE272" s="308"/>
      <c r="EF272" s="308"/>
      <c r="EG272" s="41"/>
      <c r="EH272" s="41"/>
      <c r="EI272" s="41"/>
      <c r="EJ272" s="69"/>
      <c r="EK272" s="308"/>
      <c r="EL272" s="308"/>
      <c r="EM272" s="308"/>
      <c r="EN272" s="308"/>
      <c r="EO272" s="41"/>
      <c r="EP272" s="41"/>
      <c r="EQ272" s="41"/>
      <c r="ER272" s="256"/>
      <c r="ES272" s="293"/>
      <c r="ET272" s="293"/>
      <c r="EU272" s="293"/>
      <c r="EV272" s="293"/>
      <c r="EW272" s="41"/>
      <c r="EX272" s="41"/>
      <c r="EY272" s="41"/>
      <c r="EZ272" s="256"/>
      <c r="FA272" s="308"/>
      <c r="FB272" s="308"/>
      <c r="FC272" s="308"/>
      <c r="FD272" s="308"/>
      <c r="FE272" s="46"/>
      <c r="FF272" s="41"/>
      <c r="FG272" s="41"/>
      <c r="FH272" s="256"/>
      <c r="FI272" s="41"/>
      <c r="FJ272" s="41"/>
      <c r="FK272" s="41"/>
      <c r="FL272" s="276"/>
    </row>
    <row r="273" spans="1:168">
      <c r="A273" s="45">
        <v>266</v>
      </c>
      <c r="B273" s="45" t="s">
        <v>210</v>
      </c>
      <c r="C273" s="45">
        <v>4</v>
      </c>
      <c r="D273" s="29" t="s">
        <v>165</v>
      </c>
      <c r="E273" s="177">
        <v>33</v>
      </c>
      <c r="F273" s="188">
        <v>5</v>
      </c>
      <c r="G273" s="246">
        <f>44024.904/1000</f>
        <v>44.024903999999999</v>
      </c>
      <c r="H273" s="45">
        <v>44024.904000000002</v>
      </c>
      <c r="I273" s="45">
        <v>0</v>
      </c>
      <c r="J273" s="397">
        <v>55.331299999999985</v>
      </c>
      <c r="K273" s="495">
        <f t="shared" si="28"/>
        <v>99.356203999999991</v>
      </c>
      <c r="L273" s="578"/>
      <c r="M273" s="45">
        <f t="shared" si="30"/>
        <v>0</v>
      </c>
      <c r="N273" s="46">
        <f>K273-M273</f>
        <v>99.356203999999991</v>
      </c>
      <c r="O273" s="46">
        <f t="shared" si="29"/>
        <v>99</v>
      </c>
      <c r="P273" s="234"/>
      <c r="Q273" s="46"/>
      <c r="R273" s="450"/>
      <c r="S273" s="257"/>
      <c r="T273" s="46"/>
      <c r="U273" s="46"/>
      <c r="V273" s="46"/>
      <c r="W273" s="46"/>
      <c r="X273" s="196"/>
      <c r="Y273" s="46"/>
      <c r="Z273" s="46"/>
      <c r="AA273" s="46"/>
      <c r="AB273" s="46"/>
      <c r="AC273" s="46"/>
      <c r="AD273" s="46"/>
      <c r="AE273" s="46"/>
      <c r="AF273" s="196"/>
      <c r="AG273" s="46"/>
      <c r="AH273" s="46"/>
      <c r="AI273" s="46"/>
      <c r="AJ273" s="46"/>
      <c r="AK273" s="46"/>
      <c r="AL273" s="46"/>
      <c r="AM273" s="46"/>
      <c r="AN273" s="196"/>
      <c r="AO273" s="438"/>
      <c r="AP273" s="46"/>
      <c r="AQ273" s="368"/>
      <c r="AR273" s="257"/>
      <c r="AS273" s="196"/>
      <c r="AT273" s="46"/>
      <c r="AU273" s="46"/>
      <c r="AV273" s="196"/>
      <c r="AW273" s="257"/>
      <c r="AX273" s="196"/>
      <c r="AY273" s="191"/>
      <c r="AZ273" s="257"/>
      <c r="BA273" s="196"/>
      <c r="BB273" s="46"/>
      <c r="BC273" s="257"/>
      <c r="BD273" s="196"/>
      <c r="BE273" s="191"/>
      <c r="BF273" s="46"/>
      <c r="BG273" s="196"/>
      <c r="BH273" s="46"/>
      <c r="BI273" s="257"/>
      <c r="BJ273" s="196"/>
      <c r="BK273" s="191"/>
      <c r="BL273" s="257"/>
      <c r="BM273" s="196"/>
      <c r="BN273" s="46"/>
      <c r="BO273" s="257"/>
      <c r="BP273" s="196"/>
      <c r="BQ273" s="190"/>
      <c r="BR273" s="46"/>
      <c r="BS273" s="196"/>
      <c r="BT273" s="46"/>
      <c r="BU273" s="257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196"/>
      <c r="CI273" s="46"/>
      <c r="CJ273" s="46"/>
      <c r="CK273" s="46"/>
      <c r="CL273" s="46"/>
      <c r="CM273" s="46"/>
      <c r="CN273" s="196"/>
      <c r="CO273" s="191"/>
      <c r="CP273" s="257"/>
      <c r="CQ273" s="196"/>
      <c r="CR273" s="167"/>
      <c r="CS273" s="257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191"/>
      <c r="DN273" s="46"/>
      <c r="DO273" s="196"/>
      <c r="DP273" s="221" t="s">
        <v>531</v>
      </c>
      <c r="DQ273" s="257">
        <f>DW273+EC273+EJ273+ER273+EZ273+FH273+99000</f>
        <v>99000</v>
      </c>
      <c r="DR273" s="294"/>
      <c r="DS273" s="295"/>
      <c r="DT273" s="386">
        <f t="shared" si="32"/>
        <v>0</v>
      </c>
      <c r="DU273" s="41"/>
      <c r="DV273" s="41"/>
      <c r="DW273" s="256"/>
      <c r="DX273" s="41"/>
      <c r="DY273" s="41"/>
      <c r="DZ273" s="68"/>
      <c r="EA273" s="41"/>
      <c r="EB273" s="41"/>
      <c r="EC273" s="256"/>
      <c r="ED273" s="308"/>
      <c r="EE273" s="308"/>
      <c r="EF273" s="308"/>
      <c r="EG273" s="41"/>
      <c r="EH273" s="41"/>
      <c r="EI273" s="41"/>
      <c r="EJ273" s="69"/>
      <c r="EK273" s="308"/>
      <c r="EL273" s="308"/>
      <c r="EM273" s="308"/>
      <c r="EN273" s="308"/>
      <c r="EO273" s="41"/>
      <c r="EP273" s="41"/>
      <c r="EQ273" s="41"/>
      <c r="ER273" s="256"/>
      <c r="ES273" s="293"/>
      <c r="ET273" s="293"/>
      <c r="EU273" s="293"/>
      <c r="EV273" s="293"/>
      <c r="EW273" s="41"/>
      <c r="EX273" s="41"/>
      <c r="EY273" s="41"/>
      <c r="EZ273" s="256"/>
      <c r="FA273" s="308"/>
      <c r="FB273" s="308"/>
      <c r="FC273" s="308"/>
      <c r="FD273" s="308"/>
      <c r="FE273" s="46"/>
      <c r="FF273" s="41"/>
      <c r="FG273" s="41"/>
      <c r="FH273" s="256"/>
      <c r="FI273" s="41"/>
      <c r="FJ273" s="41"/>
      <c r="FK273" s="41"/>
      <c r="FL273" s="276"/>
    </row>
    <row r="274" spans="1:168">
      <c r="A274" s="45">
        <v>267</v>
      </c>
      <c r="B274" s="45" t="s">
        <v>210</v>
      </c>
      <c r="C274" s="45">
        <v>5</v>
      </c>
      <c r="D274" s="29" t="s">
        <v>165</v>
      </c>
      <c r="E274" s="30">
        <v>36</v>
      </c>
      <c r="F274" s="30">
        <v>5</v>
      </c>
      <c r="G274" s="246">
        <f>60000.7716/1000</f>
        <v>60.0007716</v>
      </c>
      <c r="H274" s="45">
        <v>60000.7716</v>
      </c>
      <c r="I274" s="45">
        <v>0</v>
      </c>
      <c r="J274" s="397">
        <v>-136.37494000000001</v>
      </c>
      <c r="K274" s="495">
        <f t="shared" si="28"/>
        <v>-76.374168400000002</v>
      </c>
      <c r="L274" s="578"/>
      <c r="M274" s="45">
        <f t="shared" si="30"/>
        <v>0</v>
      </c>
      <c r="N274" s="46">
        <f t="shared" si="27"/>
        <v>-76.374168400000002</v>
      </c>
      <c r="O274" s="46">
        <f t="shared" si="29"/>
        <v>0</v>
      </c>
      <c r="P274" s="234"/>
      <c r="Q274" s="46"/>
      <c r="R274" s="450"/>
      <c r="S274" s="257"/>
      <c r="T274" s="46"/>
      <c r="U274" s="46"/>
      <c r="V274" s="46"/>
      <c r="W274" s="46"/>
      <c r="X274" s="196"/>
      <c r="Y274" s="46"/>
      <c r="Z274" s="46"/>
      <c r="AA274" s="46"/>
      <c r="AB274" s="46"/>
      <c r="AC274" s="46"/>
      <c r="AD274" s="46"/>
      <c r="AE274" s="46"/>
      <c r="AF274" s="196"/>
      <c r="AG274" s="46"/>
      <c r="AH274" s="46"/>
      <c r="AI274" s="46"/>
      <c r="AJ274" s="46"/>
      <c r="AK274" s="46"/>
      <c r="AL274" s="46"/>
      <c r="AM274" s="46"/>
      <c r="AN274" s="196"/>
      <c r="AO274" s="438"/>
      <c r="AP274" s="46"/>
      <c r="AQ274" s="368"/>
      <c r="AR274" s="257"/>
      <c r="AS274" s="196"/>
      <c r="AT274" s="46"/>
      <c r="AU274" s="167"/>
      <c r="AV274" s="196"/>
      <c r="AW274" s="257"/>
      <c r="AX274" s="196"/>
      <c r="AY274" s="191"/>
      <c r="AZ274" s="257"/>
      <c r="BA274" s="196"/>
      <c r="BB274" s="46"/>
      <c r="BC274" s="257"/>
      <c r="BD274" s="196"/>
      <c r="BE274" s="191"/>
      <c r="BF274" s="46"/>
      <c r="BG274" s="196"/>
      <c r="BH274" s="46"/>
      <c r="BI274" s="257"/>
      <c r="BJ274" s="196"/>
      <c r="BK274" s="191"/>
      <c r="BL274" s="257"/>
      <c r="BM274" s="196"/>
      <c r="BN274" s="46"/>
      <c r="BO274" s="257"/>
      <c r="BP274" s="196"/>
      <c r="BQ274" s="190"/>
      <c r="BR274" s="46"/>
      <c r="BS274" s="196"/>
      <c r="BT274" s="46"/>
      <c r="BU274" s="257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196"/>
      <c r="CI274" s="46"/>
      <c r="CJ274" s="46"/>
      <c r="CK274" s="46"/>
      <c r="CL274" s="46"/>
      <c r="CM274" s="46"/>
      <c r="CN274" s="196"/>
      <c r="CO274" s="191"/>
      <c r="CP274" s="257"/>
      <c r="CQ274" s="196"/>
      <c r="CR274" s="167"/>
      <c r="CS274" s="257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191"/>
      <c r="DN274" s="46"/>
      <c r="DO274" s="196"/>
      <c r="DP274" s="221"/>
      <c r="DQ274" s="257">
        <f t="shared" si="31"/>
        <v>0</v>
      </c>
      <c r="DR274" s="294"/>
      <c r="DS274" s="295"/>
      <c r="DT274" s="386">
        <f t="shared" si="32"/>
        <v>0</v>
      </c>
      <c r="DU274" s="41"/>
      <c r="DV274" s="41"/>
      <c r="DW274" s="256"/>
      <c r="DX274" s="41"/>
      <c r="DY274" s="41"/>
      <c r="DZ274" s="68"/>
      <c r="EA274" s="41"/>
      <c r="EB274" s="41"/>
      <c r="EC274" s="256"/>
      <c r="ED274" s="308"/>
      <c r="EE274" s="308"/>
      <c r="EF274" s="308"/>
      <c r="EG274" s="41"/>
      <c r="EH274" s="41"/>
      <c r="EI274" s="41"/>
      <c r="EJ274" s="69"/>
      <c r="EK274" s="308"/>
      <c r="EL274" s="308"/>
      <c r="EM274" s="308"/>
      <c r="EN274" s="308"/>
      <c r="EO274" s="41"/>
      <c r="EP274" s="41"/>
      <c r="EQ274" s="41"/>
      <c r="ER274" s="256"/>
      <c r="ES274" s="293"/>
      <c r="ET274" s="293"/>
      <c r="EU274" s="293"/>
      <c r="EV274" s="293"/>
      <c r="EW274" s="41"/>
      <c r="EX274" s="41"/>
      <c r="EY274" s="41"/>
      <c r="EZ274" s="256"/>
      <c r="FA274" s="308"/>
      <c r="FB274" s="308"/>
      <c r="FC274" s="308"/>
      <c r="FD274" s="308"/>
      <c r="FE274" s="46"/>
      <c r="FF274" s="41"/>
      <c r="FG274" s="41"/>
      <c r="FH274" s="256"/>
      <c r="FI274" s="41"/>
      <c r="FJ274" s="41"/>
      <c r="FK274" s="41"/>
      <c r="FL274" s="276"/>
    </row>
    <row r="275" spans="1:168">
      <c r="A275" s="45">
        <v>268</v>
      </c>
      <c r="B275" s="45" t="s">
        <v>210</v>
      </c>
      <c r="C275" s="45">
        <v>5</v>
      </c>
      <c r="D275" s="29" t="s">
        <v>165</v>
      </c>
      <c r="E275" s="30" t="s">
        <v>166</v>
      </c>
      <c r="F275" s="30">
        <v>6</v>
      </c>
      <c r="G275" s="246">
        <f>44362.2695999999/1000</f>
        <v>44.362269599999898</v>
      </c>
      <c r="H275" s="45">
        <v>12546.659400000002</v>
      </c>
      <c r="I275" s="45">
        <v>31815.610200000006</v>
      </c>
      <c r="J275" s="397">
        <v>141.42918</v>
      </c>
      <c r="K275" s="495">
        <f t="shared" si="28"/>
        <v>185.79144959999991</v>
      </c>
      <c r="L275" s="578"/>
      <c r="M275" s="45">
        <f t="shared" si="30"/>
        <v>0</v>
      </c>
      <c r="N275" s="46">
        <f t="shared" si="27"/>
        <v>185.79144959999991</v>
      </c>
      <c r="O275" s="46">
        <f t="shared" si="29"/>
        <v>172.6</v>
      </c>
      <c r="P275" s="234"/>
      <c r="Q275" s="46"/>
      <c r="R275" s="450"/>
      <c r="S275" s="257"/>
      <c r="T275" s="46"/>
      <c r="U275" s="46"/>
      <c r="V275" s="46"/>
      <c r="W275" s="46"/>
      <c r="X275" s="196"/>
      <c r="Y275" s="46"/>
      <c r="Z275" s="46"/>
      <c r="AA275" s="46"/>
      <c r="AB275" s="46"/>
      <c r="AC275" s="46"/>
      <c r="AD275" s="46"/>
      <c r="AE275" s="46"/>
      <c r="AF275" s="196"/>
      <c r="AG275" s="46"/>
      <c r="AH275" s="46"/>
      <c r="AI275" s="46"/>
      <c r="AJ275" s="46"/>
      <c r="AK275" s="46"/>
      <c r="AL275" s="46"/>
      <c r="AM275" s="46"/>
      <c r="AN275" s="196"/>
      <c r="AO275" s="438"/>
      <c r="AP275" s="46"/>
      <c r="AQ275" s="368"/>
      <c r="AR275" s="257"/>
      <c r="AS275" s="196"/>
      <c r="AT275" s="46"/>
      <c r="AU275" s="46"/>
      <c r="AV275" s="196"/>
      <c r="AW275" s="257"/>
      <c r="AX275" s="196"/>
      <c r="AY275" s="191"/>
      <c r="AZ275" s="257"/>
      <c r="BA275" s="196"/>
      <c r="BB275" s="46"/>
      <c r="BC275" s="257"/>
      <c r="BD275" s="196"/>
      <c r="BE275" s="191"/>
      <c r="BF275" s="46"/>
      <c r="BG275" s="196"/>
      <c r="BH275" s="46"/>
      <c r="BI275" s="257"/>
      <c r="BJ275" s="196"/>
      <c r="BK275" s="191"/>
      <c r="BL275" s="257"/>
      <c r="BM275" s="196"/>
      <c r="BN275" s="46"/>
      <c r="BO275" s="257"/>
      <c r="BP275" s="196"/>
      <c r="BQ275" s="190"/>
      <c r="BR275" s="46"/>
      <c r="BS275" s="196"/>
      <c r="BT275" s="46"/>
      <c r="BU275" s="257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196"/>
      <c r="CI275" s="46"/>
      <c r="CJ275" s="46"/>
      <c r="CK275" s="46"/>
      <c r="CL275" s="46"/>
      <c r="CM275" s="46"/>
      <c r="CN275" s="196"/>
      <c r="CO275" s="191"/>
      <c r="CP275" s="257"/>
      <c r="CQ275" s="196"/>
      <c r="CR275" s="167"/>
      <c r="CS275" s="257"/>
      <c r="CT275" s="46">
        <v>10</v>
      </c>
      <c r="CU275" s="46" t="s">
        <v>958</v>
      </c>
      <c r="CV275" s="46">
        <v>5000</v>
      </c>
      <c r="CW275" s="46"/>
      <c r="CX275" s="46"/>
      <c r="CY275" s="46"/>
      <c r="CZ275" s="46">
        <v>9</v>
      </c>
      <c r="DA275" s="46">
        <v>82</v>
      </c>
      <c r="DB275" s="46">
        <f>DA275*1800</f>
        <v>147600</v>
      </c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191"/>
      <c r="DN275" s="46"/>
      <c r="DO275" s="196"/>
      <c r="DP275" s="221" t="s">
        <v>571</v>
      </c>
      <c r="DQ275" s="257">
        <f>DW275+EC275+EJ275+ER275+EZ275+FH275+20000</f>
        <v>20000</v>
      </c>
      <c r="DR275" s="294"/>
      <c r="DS275" s="295"/>
      <c r="DT275" s="386">
        <f t="shared" si="32"/>
        <v>0</v>
      </c>
      <c r="DU275" s="41"/>
      <c r="DV275" s="41"/>
      <c r="DW275" s="256"/>
      <c r="DX275" s="41"/>
      <c r="DY275" s="41"/>
      <c r="DZ275" s="68"/>
      <c r="EA275" s="41"/>
      <c r="EB275" s="41"/>
      <c r="EC275" s="256"/>
      <c r="ED275" s="308"/>
      <c r="EE275" s="308"/>
      <c r="EF275" s="308"/>
      <c r="EG275" s="41"/>
      <c r="EH275" s="41"/>
      <c r="EI275" s="41"/>
      <c r="EJ275" s="69"/>
      <c r="EK275" s="308"/>
      <c r="EL275" s="308"/>
      <c r="EM275" s="308"/>
      <c r="EN275" s="308"/>
      <c r="EO275" s="41"/>
      <c r="EP275" s="41"/>
      <c r="EQ275" s="41"/>
      <c r="ER275" s="256"/>
      <c r="ES275" s="293"/>
      <c r="ET275" s="293"/>
      <c r="EU275" s="293"/>
      <c r="EV275" s="293"/>
      <c r="EW275" s="41"/>
      <c r="EX275" s="41"/>
      <c r="EY275" s="41"/>
      <c r="EZ275" s="256"/>
      <c r="FA275" s="308"/>
      <c r="FB275" s="308"/>
      <c r="FC275" s="308"/>
      <c r="FD275" s="308"/>
      <c r="FE275" s="41"/>
      <c r="FF275" s="41"/>
      <c r="FG275" s="41"/>
      <c r="FH275" s="256"/>
      <c r="FI275" s="41"/>
      <c r="FJ275" s="41"/>
      <c r="FK275" s="41"/>
      <c r="FL275" s="276"/>
    </row>
    <row r="276" spans="1:168" ht="58.5" customHeight="1">
      <c r="A276" s="45">
        <v>269</v>
      </c>
      <c r="B276" s="45" t="s">
        <v>210</v>
      </c>
      <c r="C276" s="45">
        <v>5</v>
      </c>
      <c r="D276" s="29" t="s">
        <v>165</v>
      </c>
      <c r="E276" s="30">
        <v>38</v>
      </c>
      <c r="F276" s="30">
        <v>5</v>
      </c>
      <c r="G276" s="246">
        <f>61120.1052/1000</f>
        <v>61.120105199999998</v>
      </c>
      <c r="H276" s="45">
        <v>61120.105199999998</v>
      </c>
      <c r="I276" s="45">
        <v>0</v>
      </c>
      <c r="J276" s="397">
        <v>137.55091999999999</v>
      </c>
      <c r="K276" s="495">
        <f t="shared" si="28"/>
        <v>198.67102519999997</v>
      </c>
      <c r="L276" s="578"/>
      <c r="M276" s="45">
        <f t="shared" si="30"/>
        <v>0</v>
      </c>
      <c r="N276" s="46">
        <f t="shared" si="27"/>
        <v>198.67102519999997</v>
      </c>
      <c r="O276" s="46">
        <f t="shared" si="29"/>
        <v>181.8</v>
      </c>
      <c r="P276" s="234" t="s">
        <v>229</v>
      </c>
      <c r="Q276" s="46">
        <v>1</v>
      </c>
      <c r="R276" s="450" t="s">
        <v>224</v>
      </c>
      <c r="S276" s="257">
        <v>90000</v>
      </c>
      <c r="T276" s="46"/>
      <c r="U276" s="46"/>
      <c r="V276" s="46"/>
      <c r="W276" s="46"/>
      <c r="X276" s="196"/>
      <c r="Y276" s="46"/>
      <c r="Z276" s="46"/>
      <c r="AA276" s="46"/>
      <c r="AB276" s="46"/>
      <c r="AC276" s="46"/>
      <c r="AD276" s="46"/>
      <c r="AE276" s="46"/>
      <c r="AF276" s="196"/>
      <c r="AG276" s="46"/>
      <c r="AH276" s="46"/>
      <c r="AI276" s="46"/>
      <c r="AJ276" s="46"/>
      <c r="AK276" s="46"/>
      <c r="AL276" s="46"/>
      <c r="AM276" s="46"/>
      <c r="AN276" s="196"/>
      <c r="AO276" s="438"/>
      <c r="AP276" s="46"/>
      <c r="AQ276" s="368"/>
      <c r="AR276" s="257"/>
      <c r="AS276" s="196"/>
      <c r="AT276" s="46"/>
      <c r="AU276" s="46"/>
      <c r="AV276" s="196"/>
      <c r="AW276" s="257"/>
      <c r="AX276" s="196"/>
      <c r="AY276" s="191"/>
      <c r="AZ276" s="257"/>
      <c r="BA276" s="196"/>
      <c r="BB276" s="46"/>
      <c r="BC276" s="257"/>
      <c r="BD276" s="196"/>
      <c r="BE276" s="191"/>
      <c r="BF276" s="46"/>
      <c r="BG276" s="196"/>
      <c r="BH276" s="46"/>
      <c r="BI276" s="257"/>
      <c r="BJ276" s="196"/>
      <c r="BK276" s="190"/>
      <c r="BL276" s="257"/>
      <c r="BM276" s="196"/>
      <c r="BN276" s="46"/>
      <c r="BO276" s="257"/>
      <c r="BP276" s="196"/>
      <c r="BQ276" s="190"/>
      <c r="BR276" s="46"/>
      <c r="BS276" s="196"/>
      <c r="BT276" s="46"/>
      <c r="BU276" s="257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196"/>
      <c r="CI276" s="46"/>
      <c r="CJ276" s="46"/>
      <c r="CK276" s="46"/>
      <c r="CL276" s="46"/>
      <c r="CM276" s="46"/>
      <c r="CN276" s="196"/>
      <c r="CO276" s="191"/>
      <c r="CP276" s="257"/>
      <c r="CQ276" s="196"/>
      <c r="CR276" s="167"/>
      <c r="CS276" s="257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191"/>
      <c r="DN276" s="46"/>
      <c r="DO276" s="218"/>
      <c r="DP276" s="221" t="s">
        <v>959</v>
      </c>
      <c r="DQ276" s="257">
        <f>DW276+EC276+EJ276+ER276+EZ276+FH276+15000</f>
        <v>91800</v>
      </c>
      <c r="DR276" s="294"/>
      <c r="DS276" s="295"/>
      <c r="DT276" s="386">
        <f t="shared" si="32"/>
        <v>0</v>
      </c>
      <c r="DU276" s="41"/>
      <c r="DV276" s="41"/>
      <c r="DW276" s="256"/>
      <c r="DX276" s="41"/>
      <c r="DY276" s="41"/>
      <c r="DZ276" s="68"/>
      <c r="EA276" s="41">
        <v>6</v>
      </c>
      <c r="EB276" s="41">
        <v>96</v>
      </c>
      <c r="EC276" s="256">
        <f>EB276*800</f>
        <v>76800</v>
      </c>
      <c r="ED276" s="308"/>
      <c r="EE276" s="308"/>
      <c r="EF276" s="308"/>
      <c r="EG276" s="41"/>
      <c r="EH276" s="41"/>
      <c r="EI276" s="41"/>
      <c r="EJ276" s="69"/>
      <c r="EK276" s="308"/>
      <c r="EL276" s="308"/>
      <c r="EM276" s="308"/>
      <c r="EN276" s="308"/>
      <c r="EO276" s="41"/>
      <c r="EP276" s="41"/>
      <c r="EQ276" s="41"/>
      <c r="ER276" s="256"/>
      <c r="ES276" s="293"/>
      <c r="ET276" s="293"/>
      <c r="EU276" s="293"/>
      <c r="EV276" s="293"/>
      <c r="EW276" s="41"/>
      <c r="EX276" s="41"/>
      <c r="EY276" s="41"/>
      <c r="EZ276" s="256"/>
      <c r="FA276" s="308"/>
      <c r="FB276" s="308"/>
      <c r="FC276" s="308"/>
      <c r="FD276" s="308"/>
      <c r="FE276" s="46"/>
      <c r="FF276" s="41"/>
      <c r="FG276" s="41"/>
      <c r="FH276" s="256"/>
      <c r="FI276" s="41"/>
      <c r="FJ276" s="41"/>
      <c r="FK276" s="41"/>
      <c r="FL276" s="276"/>
    </row>
    <row r="277" spans="1:168">
      <c r="A277" s="45">
        <v>270</v>
      </c>
      <c r="B277" s="45" t="s">
        <v>210</v>
      </c>
      <c r="C277" s="45">
        <v>5</v>
      </c>
      <c r="D277" s="29" t="s">
        <v>165</v>
      </c>
      <c r="E277" s="30">
        <v>42</v>
      </c>
      <c r="F277" s="30">
        <v>5</v>
      </c>
      <c r="G277" s="246">
        <f>61115.1156/1000</f>
        <v>61.115115599999996</v>
      </c>
      <c r="H277" s="45">
        <v>61115.11559999999</v>
      </c>
      <c r="I277" s="45">
        <v>0</v>
      </c>
      <c r="J277" s="397">
        <v>-22.053540000000012</v>
      </c>
      <c r="K277" s="495">
        <f t="shared" si="28"/>
        <v>39.061575599999983</v>
      </c>
      <c r="L277" s="578"/>
      <c r="M277" s="45">
        <f t="shared" si="30"/>
        <v>0</v>
      </c>
      <c r="N277" s="46">
        <f t="shared" si="27"/>
        <v>39.061575599999983</v>
      </c>
      <c r="O277" s="46">
        <f t="shared" si="29"/>
        <v>33.799999999999997</v>
      </c>
      <c r="P277" s="234"/>
      <c r="Q277" s="46"/>
      <c r="R277" s="450"/>
      <c r="S277" s="257"/>
      <c r="T277" s="46"/>
      <c r="U277" s="46"/>
      <c r="V277" s="46"/>
      <c r="W277" s="46"/>
      <c r="X277" s="196"/>
      <c r="Y277" s="46"/>
      <c r="Z277" s="46"/>
      <c r="AA277" s="46"/>
      <c r="AB277" s="46"/>
      <c r="AC277" s="46"/>
      <c r="AD277" s="46"/>
      <c r="AE277" s="46"/>
      <c r="AF277" s="196"/>
      <c r="AG277" s="46"/>
      <c r="AH277" s="46"/>
      <c r="AI277" s="46"/>
      <c r="AJ277" s="46"/>
      <c r="AK277" s="46"/>
      <c r="AL277" s="46"/>
      <c r="AM277" s="46"/>
      <c r="AN277" s="196" t="s">
        <v>249</v>
      </c>
      <c r="AO277" s="438" t="s">
        <v>335</v>
      </c>
      <c r="AP277" s="46">
        <v>26</v>
      </c>
      <c r="AQ277" s="368" t="s">
        <v>552</v>
      </c>
      <c r="AR277" s="257">
        <f>AP277*1300</f>
        <v>33800</v>
      </c>
      <c r="AS277" s="196"/>
      <c r="AT277" s="46"/>
      <c r="AU277" s="46"/>
      <c r="AV277" s="196"/>
      <c r="AW277" s="257"/>
      <c r="AX277" s="196"/>
      <c r="AY277" s="191"/>
      <c r="AZ277" s="257"/>
      <c r="BA277" s="196"/>
      <c r="BB277" s="46"/>
      <c r="BC277" s="257"/>
      <c r="BD277" s="196"/>
      <c r="BE277" s="191"/>
      <c r="BF277" s="46"/>
      <c r="BG277" s="196"/>
      <c r="BH277" s="46"/>
      <c r="BI277" s="257"/>
      <c r="BJ277" s="196"/>
      <c r="BK277" s="191"/>
      <c r="BL277" s="257"/>
      <c r="BM277" s="196"/>
      <c r="BN277" s="46"/>
      <c r="BO277" s="257"/>
      <c r="BP277" s="196"/>
      <c r="BQ277" s="190"/>
      <c r="BR277" s="46"/>
      <c r="BS277" s="196"/>
      <c r="BT277" s="46"/>
      <c r="BU277" s="257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196"/>
      <c r="CI277" s="46"/>
      <c r="CJ277" s="46"/>
      <c r="CK277" s="46"/>
      <c r="CL277" s="46"/>
      <c r="CM277" s="46"/>
      <c r="CN277" s="196"/>
      <c r="CO277" s="191"/>
      <c r="CP277" s="257"/>
      <c r="CQ277" s="196"/>
      <c r="CR277" s="167"/>
      <c r="CS277" s="257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191"/>
      <c r="DN277" s="46"/>
      <c r="DO277" s="196"/>
      <c r="DP277" s="221"/>
      <c r="DQ277" s="257">
        <f t="shared" si="31"/>
        <v>0</v>
      </c>
      <c r="DR277" s="294"/>
      <c r="DS277" s="295"/>
      <c r="DT277" s="386">
        <f t="shared" si="32"/>
        <v>0</v>
      </c>
      <c r="DU277" s="41"/>
      <c r="DV277" s="41"/>
      <c r="DW277" s="256"/>
      <c r="DX277" s="41"/>
      <c r="DY277" s="41"/>
      <c r="DZ277" s="68"/>
      <c r="EA277" s="41"/>
      <c r="EB277" s="41"/>
      <c r="EC277" s="256"/>
      <c r="ED277" s="308"/>
      <c r="EE277" s="308"/>
      <c r="EF277" s="308"/>
      <c r="EG277" s="41"/>
      <c r="EH277" s="41"/>
      <c r="EI277" s="41"/>
      <c r="EJ277" s="69"/>
      <c r="EK277" s="308"/>
      <c r="EL277" s="308"/>
      <c r="EM277" s="308"/>
      <c r="EN277" s="308"/>
      <c r="EO277" s="41"/>
      <c r="EP277" s="41"/>
      <c r="EQ277" s="41"/>
      <c r="ER277" s="256"/>
      <c r="ES277" s="293"/>
      <c r="ET277" s="293"/>
      <c r="EU277" s="293"/>
      <c r="EV277" s="293"/>
      <c r="EW277" s="41"/>
      <c r="EX277" s="41"/>
      <c r="EY277" s="41"/>
      <c r="EZ277" s="256"/>
      <c r="FA277" s="308"/>
      <c r="FB277" s="308"/>
      <c r="FC277" s="308"/>
      <c r="FD277" s="308"/>
      <c r="FE277" s="46"/>
      <c r="FF277" s="41"/>
      <c r="FG277" s="41"/>
      <c r="FH277" s="256"/>
      <c r="FI277" s="41"/>
      <c r="FJ277" s="41"/>
      <c r="FK277" s="41"/>
      <c r="FL277" s="276"/>
    </row>
    <row r="278" spans="1:168">
      <c r="A278" s="45">
        <v>271</v>
      </c>
      <c r="B278" s="45" t="s">
        <v>210</v>
      </c>
      <c r="C278" s="45">
        <v>5</v>
      </c>
      <c r="D278" s="29" t="s">
        <v>167</v>
      </c>
      <c r="E278" s="30" t="s">
        <v>168</v>
      </c>
      <c r="F278" s="30">
        <v>7</v>
      </c>
      <c r="G278" s="246">
        <f>43390.242/1000</f>
        <v>43.390242000000001</v>
      </c>
      <c r="H278" s="45">
        <v>0</v>
      </c>
      <c r="I278" s="45">
        <v>43390.241999999998</v>
      </c>
      <c r="J278" s="397">
        <v>209.226674</v>
      </c>
      <c r="K278" s="495">
        <f t="shared" si="28"/>
        <v>252.616916</v>
      </c>
      <c r="L278" s="578"/>
      <c r="M278" s="45">
        <f t="shared" si="30"/>
        <v>0</v>
      </c>
      <c r="N278" s="46">
        <f t="shared" si="27"/>
        <v>252.616916</v>
      </c>
      <c r="O278" s="46">
        <f t="shared" si="29"/>
        <v>90</v>
      </c>
      <c r="P278" s="234" t="s">
        <v>227</v>
      </c>
      <c r="Q278" s="46">
        <v>1</v>
      </c>
      <c r="R278" s="450" t="s">
        <v>523</v>
      </c>
      <c r="S278" s="257">
        <v>90000</v>
      </c>
      <c r="T278" s="46"/>
      <c r="U278" s="46"/>
      <c r="V278" s="46"/>
      <c r="W278" s="46"/>
      <c r="X278" s="196"/>
      <c r="Y278" s="46"/>
      <c r="Z278" s="46"/>
      <c r="AA278" s="46"/>
      <c r="AB278" s="46"/>
      <c r="AC278" s="46"/>
      <c r="AD278" s="46"/>
      <c r="AE278" s="46"/>
      <c r="AF278" s="196"/>
      <c r="AG278" s="46"/>
      <c r="AH278" s="46"/>
      <c r="AI278" s="46"/>
      <c r="AJ278" s="46"/>
      <c r="AK278" s="46"/>
      <c r="AL278" s="46"/>
      <c r="AM278" s="46"/>
      <c r="AN278" s="196"/>
      <c r="AO278" s="438"/>
      <c r="AP278" s="46"/>
      <c r="AQ278" s="368"/>
      <c r="AR278" s="257"/>
      <c r="AS278" s="196"/>
      <c r="AT278" s="46"/>
      <c r="AU278" s="46"/>
      <c r="AV278" s="196"/>
      <c r="AW278" s="257"/>
      <c r="AX278" s="196"/>
      <c r="AY278" s="191"/>
      <c r="AZ278" s="257"/>
      <c r="BA278" s="196"/>
      <c r="BB278" s="46"/>
      <c r="BC278" s="257"/>
      <c r="BD278" s="196"/>
      <c r="BE278" s="191"/>
      <c r="BF278" s="46"/>
      <c r="BG278" s="196"/>
      <c r="BH278" s="46"/>
      <c r="BI278" s="257"/>
      <c r="BJ278" s="196"/>
      <c r="BK278" s="191"/>
      <c r="BL278" s="257"/>
      <c r="BM278" s="196"/>
      <c r="BN278" s="46"/>
      <c r="BO278" s="257"/>
      <c r="BP278" s="196"/>
      <c r="BQ278" s="190"/>
      <c r="BR278" s="46"/>
      <c r="BS278" s="196"/>
      <c r="BT278" s="46"/>
      <c r="BU278" s="257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196"/>
      <c r="CI278" s="46"/>
      <c r="CJ278" s="46"/>
      <c r="CK278" s="46"/>
      <c r="CL278" s="46"/>
      <c r="CM278" s="46"/>
      <c r="CN278" s="196"/>
      <c r="CO278" s="191"/>
      <c r="CP278" s="257"/>
      <c r="CQ278" s="196"/>
      <c r="CR278" s="167"/>
      <c r="CS278" s="257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191"/>
      <c r="DN278" s="46"/>
      <c r="DO278" s="196"/>
      <c r="DP278" s="221"/>
      <c r="DQ278" s="257">
        <f t="shared" si="31"/>
        <v>0</v>
      </c>
      <c r="DR278" s="294"/>
      <c r="DS278" s="295"/>
      <c r="DT278" s="386">
        <f t="shared" si="32"/>
        <v>0</v>
      </c>
      <c r="DU278" s="41"/>
      <c r="DV278" s="41"/>
      <c r="DW278" s="256"/>
      <c r="DX278" s="41"/>
      <c r="DY278" s="41"/>
      <c r="DZ278" s="68"/>
      <c r="EA278" s="41"/>
      <c r="EB278" s="41"/>
      <c r="EC278" s="256"/>
      <c r="ED278" s="308"/>
      <c r="EE278" s="308"/>
      <c r="EF278" s="308"/>
      <c r="EG278" s="41"/>
      <c r="EH278" s="41"/>
      <c r="EI278" s="41"/>
      <c r="EJ278" s="69"/>
      <c r="EK278" s="308"/>
      <c r="EL278" s="308"/>
      <c r="EM278" s="308"/>
      <c r="EN278" s="308"/>
      <c r="EO278" s="41"/>
      <c r="EP278" s="41"/>
      <c r="EQ278" s="41"/>
      <c r="ER278" s="256"/>
      <c r="ES278" s="293"/>
      <c r="ET278" s="293"/>
      <c r="EU278" s="293"/>
      <c r="EV278" s="293"/>
      <c r="EW278" s="41"/>
      <c r="EX278" s="41"/>
      <c r="EY278" s="41"/>
      <c r="EZ278" s="256"/>
      <c r="FA278" s="308"/>
      <c r="FB278" s="308"/>
      <c r="FC278" s="308"/>
      <c r="FD278" s="308"/>
      <c r="FE278" s="41"/>
      <c r="FF278" s="41"/>
      <c r="FG278" s="41"/>
      <c r="FH278" s="256"/>
      <c r="FI278" s="41"/>
      <c r="FJ278" s="41"/>
      <c r="FK278" s="41"/>
      <c r="FL278" s="276"/>
    </row>
    <row r="279" spans="1:168">
      <c r="A279" s="45">
        <v>272</v>
      </c>
      <c r="B279" s="45" t="s">
        <v>210</v>
      </c>
      <c r="C279" s="45">
        <v>5</v>
      </c>
      <c r="D279" s="29" t="s">
        <v>510</v>
      </c>
      <c r="E279" s="175">
        <v>46</v>
      </c>
      <c r="F279" s="188">
        <v>7</v>
      </c>
      <c r="G279" s="246">
        <f>42834.9222/1000</f>
        <v>42.834922200000001</v>
      </c>
      <c r="H279" s="45">
        <v>0</v>
      </c>
      <c r="I279" s="45">
        <v>42834.922200000001</v>
      </c>
      <c r="J279" s="397">
        <v>154.19625300000001</v>
      </c>
      <c r="K279" s="495">
        <f t="shared" si="28"/>
        <v>197.03117520000001</v>
      </c>
      <c r="L279" s="578"/>
      <c r="M279" s="45">
        <f t="shared" si="30"/>
        <v>0</v>
      </c>
      <c r="N279" s="46">
        <f>K279-M279</f>
        <v>197.03117520000001</v>
      </c>
      <c r="O279" s="46">
        <f t="shared" si="29"/>
        <v>139.6</v>
      </c>
      <c r="P279" s="234" t="s">
        <v>250</v>
      </c>
      <c r="Q279" s="46">
        <v>1</v>
      </c>
      <c r="R279" s="450" t="s">
        <v>523</v>
      </c>
      <c r="S279" s="257">
        <v>90000</v>
      </c>
      <c r="T279" s="46"/>
      <c r="U279" s="46"/>
      <c r="V279" s="46"/>
      <c r="W279" s="46"/>
      <c r="X279" s="196"/>
      <c r="Y279" s="46"/>
      <c r="Z279" s="46"/>
      <c r="AA279" s="46"/>
      <c r="AB279" s="46"/>
      <c r="AC279" s="46"/>
      <c r="AD279" s="46"/>
      <c r="AE279" s="46"/>
      <c r="AF279" s="196"/>
      <c r="AG279" s="46"/>
      <c r="AH279" s="46"/>
      <c r="AI279" s="46"/>
      <c r="AJ279" s="46"/>
      <c r="AK279" s="46"/>
      <c r="AL279" s="46"/>
      <c r="AM279" s="46"/>
      <c r="AN279" s="196"/>
      <c r="AO279" s="438"/>
      <c r="AP279" s="46"/>
      <c r="AQ279" s="368"/>
      <c r="AR279" s="257"/>
      <c r="AS279" s="196"/>
      <c r="AT279" s="46"/>
      <c r="AU279" s="46"/>
      <c r="AV279" s="196"/>
      <c r="AW279" s="257"/>
      <c r="AX279" s="196"/>
      <c r="AY279" s="191"/>
      <c r="AZ279" s="257"/>
      <c r="BA279" s="196"/>
      <c r="BB279" s="46"/>
      <c r="BC279" s="257"/>
      <c r="BD279" s="196"/>
      <c r="BE279" s="191"/>
      <c r="BF279" s="46"/>
      <c r="BG279" s="196"/>
      <c r="BH279" s="46"/>
      <c r="BI279" s="257"/>
      <c r="BJ279" s="196"/>
      <c r="BK279" s="191"/>
      <c r="BL279" s="257"/>
      <c r="BM279" s="196"/>
      <c r="BN279" s="46"/>
      <c r="BO279" s="257"/>
      <c r="BP279" s="196"/>
      <c r="BQ279" s="190"/>
      <c r="BR279" s="46"/>
      <c r="BS279" s="196"/>
      <c r="BT279" s="46"/>
      <c r="BU279" s="257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196"/>
      <c r="CI279" s="46"/>
      <c r="CJ279" s="46"/>
      <c r="CK279" s="46"/>
      <c r="CL279" s="46"/>
      <c r="CM279" s="46"/>
      <c r="CN279" s="196"/>
      <c r="CO279" s="191"/>
      <c r="CP279" s="257"/>
      <c r="CQ279" s="196"/>
      <c r="CR279" s="167"/>
      <c r="CS279" s="257"/>
      <c r="CT279" s="46"/>
      <c r="CU279" s="46"/>
      <c r="CV279" s="46"/>
      <c r="CW279" s="46"/>
      <c r="CX279" s="46"/>
      <c r="CY279" s="46"/>
      <c r="CZ279" s="46"/>
      <c r="DA279" s="46"/>
      <c r="DB279" s="257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191"/>
      <c r="DN279" s="46"/>
      <c r="DO279" s="196"/>
      <c r="DP279" s="221" t="s">
        <v>833</v>
      </c>
      <c r="DQ279" s="257">
        <f t="shared" si="31"/>
        <v>49600</v>
      </c>
      <c r="DR279" s="294"/>
      <c r="DS279" s="295"/>
      <c r="DT279" s="386">
        <f t="shared" si="32"/>
        <v>0</v>
      </c>
      <c r="DU279" s="41"/>
      <c r="DV279" s="41"/>
      <c r="DW279" s="256"/>
      <c r="DX279" s="41"/>
      <c r="DY279" s="41"/>
      <c r="DZ279" s="68"/>
      <c r="EA279" s="41">
        <v>6</v>
      </c>
      <c r="EB279" s="41">
        <v>62</v>
      </c>
      <c r="EC279" s="256">
        <f>EB279*800</f>
        <v>49600</v>
      </c>
      <c r="ED279" s="308"/>
      <c r="EE279" s="308"/>
      <c r="EF279" s="308"/>
      <c r="EG279" s="41"/>
      <c r="EH279" s="41"/>
      <c r="EI279" s="41"/>
      <c r="EJ279" s="69"/>
      <c r="EK279" s="308"/>
      <c r="EL279" s="308"/>
      <c r="EM279" s="308"/>
      <c r="EN279" s="308"/>
      <c r="EO279" s="41"/>
      <c r="EP279" s="41"/>
      <c r="EQ279" s="41"/>
      <c r="ER279" s="256"/>
      <c r="ES279" s="293"/>
      <c r="ET279" s="293"/>
      <c r="EU279" s="293"/>
      <c r="EV279" s="293"/>
      <c r="EW279" s="41"/>
      <c r="EX279" s="41"/>
      <c r="EY279" s="41"/>
      <c r="EZ279" s="256"/>
      <c r="FA279" s="308"/>
      <c r="FB279" s="308"/>
      <c r="FC279" s="308"/>
      <c r="FD279" s="308"/>
      <c r="FE279" s="41"/>
      <c r="FF279" s="41"/>
      <c r="FG279" s="41"/>
      <c r="FH279" s="256"/>
      <c r="FI279" s="41"/>
      <c r="FJ279" s="41"/>
      <c r="FK279" s="41"/>
      <c r="FL279" s="276"/>
    </row>
    <row r="280" spans="1:168">
      <c r="A280" s="45">
        <v>273</v>
      </c>
      <c r="B280" s="45" t="s">
        <v>210</v>
      </c>
      <c r="C280" s="45">
        <v>5</v>
      </c>
      <c r="D280" s="29" t="s">
        <v>165</v>
      </c>
      <c r="E280" s="30">
        <v>52</v>
      </c>
      <c r="F280" s="30">
        <v>7</v>
      </c>
      <c r="G280" s="246">
        <f>56673.9936/1000</f>
        <v>56.673993600000003</v>
      </c>
      <c r="H280" s="45">
        <v>0</v>
      </c>
      <c r="I280" s="45">
        <v>56673.993600000002</v>
      </c>
      <c r="J280" s="397">
        <v>50.872723999999906</v>
      </c>
      <c r="K280" s="495">
        <f t="shared" si="28"/>
        <v>107.54671759999991</v>
      </c>
      <c r="L280" s="578"/>
      <c r="M280" s="45">
        <f t="shared" si="30"/>
        <v>0</v>
      </c>
      <c r="N280" s="46">
        <f t="shared" si="27"/>
        <v>107.54671759999991</v>
      </c>
      <c r="O280" s="46">
        <f t="shared" si="29"/>
        <v>49.6</v>
      </c>
      <c r="P280" s="234"/>
      <c r="Q280" s="46"/>
      <c r="R280" s="450"/>
      <c r="S280" s="257"/>
      <c r="T280" s="46"/>
      <c r="U280" s="46"/>
      <c r="V280" s="46"/>
      <c r="W280" s="46"/>
      <c r="X280" s="196"/>
      <c r="Y280" s="46"/>
      <c r="Z280" s="46"/>
      <c r="AA280" s="46"/>
      <c r="AB280" s="46"/>
      <c r="AC280" s="46"/>
      <c r="AD280" s="46"/>
      <c r="AE280" s="46"/>
      <c r="AF280" s="196"/>
      <c r="AG280" s="46"/>
      <c r="AH280" s="46"/>
      <c r="AI280" s="46"/>
      <c r="AJ280" s="46"/>
      <c r="AK280" s="46"/>
      <c r="AL280" s="46"/>
      <c r="AM280" s="46"/>
      <c r="AN280" s="196"/>
      <c r="AO280" s="438"/>
      <c r="AP280" s="46"/>
      <c r="AQ280" s="368"/>
      <c r="AR280" s="257"/>
      <c r="AS280" s="196"/>
      <c r="AT280" s="46"/>
      <c r="AU280" s="46"/>
      <c r="AV280" s="196"/>
      <c r="AW280" s="257"/>
      <c r="AX280" s="196"/>
      <c r="AY280" s="191"/>
      <c r="AZ280" s="257"/>
      <c r="BA280" s="196"/>
      <c r="BB280" s="46"/>
      <c r="BC280" s="257"/>
      <c r="BD280" s="196"/>
      <c r="BE280" s="191"/>
      <c r="BF280" s="46"/>
      <c r="BG280" s="196"/>
      <c r="BH280" s="46"/>
      <c r="BI280" s="257"/>
      <c r="BJ280" s="196"/>
      <c r="BK280" s="191"/>
      <c r="BL280" s="257"/>
      <c r="BM280" s="196"/>
      <c r="BN280" s="46"/>
      <c r="BO280" s="257"/>
      <c r="BP280" s="196"/>
      <c r="BQ280" s="190"/>
      <c r="BR280" s="46"/>
      <c r="BS280" s="196"/>
      <c r="BT280" s="46"/>
      <c r="BU280" s="257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196"/>
      <c r="CI280" s="46"/>
      <c r="CJ280" s="46"/>
      <c r="CK280" s="46"/>
      <c r="CL280" s="46"/>
      <c r="CM280" s="46"/>
      <c r="CN280" s="196"/>
      <c r="CO280" s="191"/>
      <c r="CP280" s="257"/>
      <c r="CQ280" s="196"/>
      <c r="CR280" s="167"/>
      <c r="CS280" s="257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191"/>
      <c r="DN280" s="46"/>
      <c r="DO280" s="196"/>
      <c r="DP280" s="221" t="s">
        <v>960</v>
      </c>
      <c r="DQ280" s="257">
        <f t="shared" si="31"/>
        <v>49600</v>
      </c>
      <c r="DR280" s="294"/>
      <c r="DS280" s="295"/>
      <c r="DT280" s="386">
        <f t="shared" si="32"/>
        <v>0</v>
      </c>
      <c r="DU280" s="41"/>
      <c r="DV280" s="41"/>
      <c r="DW280" s="256"/>
      <c r="DX280" s="41"/>
      <c r="DY280" s="41"/>
      <c r="DZ280" s="68"/>
      <c r="EA280" s="41">
        <v>6</v>
      </c>
      <c r="EB280" s="41">
        <v>62</v>
      </c>
      <c r="EC280" s="256">
        <f>EB280*800</f>
        <v>49600</v>
      </c>
      <c r="ED280" s="308"/>
      <c r="EE280" s="308"/>
      <c r="EF280" s="308"/>
      <c r="EG280" s="41"/>
      <c r="EH280" s="41"/>
      <c r="EI280" s="41"/>
      <c r="EJ280" s="69"/>
      <c r="EK280" s="308"/>
      <c r="EL280" s="308"/>
      <c r="EM280" s="308"/>
      <c r="EN280" s="308"/>
      <c r="EO280" s="41"/>
      <c r="EP280" s="41"/>
      <c r="EQ280" s="41"/>
      <c r="ER280" s="256"/>
      <c r="ES280" s="293"/>
      <c r="ET280" s="293"/>
      <c r="EU280" s="293"/>
      <c r="EV280" s="293"/>
      <c r="EW280" s="41"/>
      <c r="EX280" s="41"/>
      <c r="EY280" s="41"/>
      <c r="EZ280" s="256"/>
      <c r="FA280" s="308"/>
      <c r="FB280" s="308"/>
      <c r="FC280" s="308"/>
      <c r="FD280" s="308"/>
      <c r="FE280" s="41"/>
      <c r="FF280" s="41"/>
      <c r="FG280" s="41"/>
      <c r="FH280" s="256"/>
      <c r="FI280" s="41"/>
      <c r="FJ280" s="41"/>
      <c r="FK280" s="41"/>
      <c r="FL280" s="276"/>
    </row>
    <row r="281" spans="1:168">
      <c r="A281" s="45">
        <v>274</v>
      </c>
      <c r="B281" s="45" t="s">
        <v>210</v>
      </c>
      <c r="C281" s="45">
        <v>5</v>
      </c>
      <c r="D281" s="29" t="s">
        <v>165</v>
      </c>
      <c r="E281" s="30">
        <v>56</v>
      </c>
      <c r="F281" s="30">
        <v>7</v>
      </c>
      <c r="G281" s="246">
        <f>45952.452/1000</f>
        <v>45.952452000000001</v>
      </c>
      <c r="H281" s="45">
        <v>0</v>
      </c>
      <c r="I281" s="45">
        <v>45952.452000000005</v>
      </c>
      <c r="J281" s="397">
        <v>42.583909999999982</v>
      </c>
      <c r="K281" s="495">
        <f t="shared" si="28"/>
        <v>88.536361999999983</v>
      </c>
      <c r="L281" s="578"/>
      <c r="M281" s="45">
        <f t="shared" si="30"/>
        <v>0</v>
      </c>
      <c r="N281" s="46">
        <f t="shared" si="27"/>
        <v>88.536361999999983</v>
      </c>
      <c r="O281" s="46">
        <f t="shared" si="29"/>
        <v>20</v>
      </c>
      <c r="P281" s="234"/>
      <c r="Q281" s="46"/>
      <c r="R281" s="450"/>
      <c r="S281" s="257"/>
      <c r="T281" s="46"/>
      <c r="U281" s="46"/>
      <c r="V281" s="46"/>
      <c r="W281" s="46"/>
      <c r="X281" s="196"/>
      <c r="Y281" s="46"/>
      <c r="Z281" s="46"/>
      <c r="AA281" s="46"/>
      <c r="AB281" s="46"/>
      <c r="AC281" s="46"/>
      <c r="AD281" s="46"/>
      <c r="AE281" s="46"/>
      <c r="AF281" s="196"/>
      <c r="AG281" s="46"/>
      <c r="AH281" s="46"/>
      <c r="AI281" s="46"/>
      <c r="AJ281" s="46"/>
      <c r="AK281" s="46"/>
      <c r="AL281" s="46"/>
      <c r="AM281" s="46"/>
      <c r="AN281" s="196"/>
      <c r="AO281" s="438"/>
      <c r="AP281" s="46"/>
      <c r="AQ281" s="443"/>
      <c r="AR281" s="257"/>
      <c r="AS281" s="196"/>
      <c r="AT281" s="46"/>
      <c r="AU281" s="46"/>
      <c r="AV281" s="196"/>
      <c r="AW281" s="257"/>
      <c r="AX281" s="196"/>
      <c r="AY281" s="191"/>
      <c r="AZ281" s="257"/>
      <c r="BA281" s="196"/>
      <c r="BB281" s="46"/>
      <c r="BC281" s="257"/>
      <c r="BD281" s="196"/>
      <c r="BE281" s="191"/>
      <c r="BF281" s="46"/>
      <c r="BG281" s="196"/>
      <c r="BH281" s="46"/>
      <c r="BI281" s="257"/>
      <c r="BJ281" s="196"/>
      <c r="BK281" s="191"/>
      <c r="BL281" s="257"/>
      <c r="BM281" s="196"/>
      <c r="BN281" s="46"/>
      <c r="BO281" s="257"/>
      <c r="BP281" s="196"/>
      <c r="BQ281" s="190"/>
      <c r="BR281" s="46"/>
      <c r="BS281" s="196"/>
      <c r="BT281" s="46"/>
      <c r="BU281" s="257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196"/>
      <c r="CI281" s="46"/>
      <c r="CJ281" s="46"/>
      <c r="CK281" s="46"/>
      <c r="CL281" s="46"/>
      <c r="CM281" s="46"/>
      <c r="CN281" s="196"/>
      <c r="CO281" s="191"/>
      <c r="CP281" s="257"/>
      <c r="CQ281" s="196"/>
      <c r="CR281" s="167"/>
      <c r="CS281" s="257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191"/>
      <c r="DN281" s="46"/>
      <c r="DO281" s="196"/>
      <c r="DP281" s="221" t="s">
        <v>961</v>
      </c>
      <c r="DQ281" s="257">
        <f t="shared" si="31"/>
        <v>20000</v>
      </c>
      <c r="DR281" s="294"/>
      <c r="DS281" s="295"/>
      <c r="DT281" s="386">
        <f t="shared" si="32"/>
        <v>0</v>
      </c>
      <c r="DU281" s="41"/>
      <c r="DV281" s="41"/>
      <c r="DW281" s="256"/>
      <c r="DX281" s="41"/>
      <c r="DY281" s="41"/>
      <c r="DZ281" s="68"/>
      <c r="EA281" s="41"/>
      <c r="EB281" s="41"/>
      <c r="EC281" s="256"/>
      <c r="ED281" s="308"/>
      <c r="EE281" s="308"/>
      <c r="EF281" s="308"/>
      <c r="EG281" s="41"/>
      <c r="EH281" s="41"/>
      <c r="EI281" s="41"/>
      <c r="EJ281" s="69"/>
      <c r="EK281" s="308"/>
      <c r="EL281" s="308"/>
      <c r="EM281" s="308"/>
      <c r="EN281" s="308"/>
      <c r="EO281" s="41">
        <v>11</v>
      </c>
      <c r="EP281" s="41">
        <v>1</v>
      </c>
      <c r="EQ281" s="41">
        <v>1</v>
      </c>
      <c r="ER281" s="256">
        <v>20000</v>
      </c>
      <c r="ES281" s="293"/>
      <c r="ET281" s="293"/>
      <c r="EU281" s="293"/>
      <c r="EV281" s="293"/>
      <c r="EW281" s="41"/>
      <c r="EX281" s="41"/>
      <c r="EY281" s="41"/>
      <c r="EZ281" s="256"/>
      <c r="FA281" s="308"/>
      <c r="FB281" s="308"/>
      <c r="FC281" s="308"/>
      <c r="FD281" s="308"/>
      <c r="FE281" s="41"/>
      <c r="FF281" s="41"/>
      <c r="FG281" s="41"/>
      <c r="FH281" s="256"/>
      <c r="FI281" s="41"/>
      <c r="FJ281" s="41"/>
      <c r="FK281" s="41"/>
      <c r="FL281" s="276"/>
    </row>
    <row r="282" spans="1:168">
      <c r="A282" s="45">
        <v>275</v>
      </c>
      <c r="B282" s="45" t="s">
        <v>210</v>
      </c>
      <c r="C282" s="45">
        <v>5</v>
      </c>
      <c r="D282" s="29" t="s">
        <v>165</v>
      </c>
      <c r="E282" s="30">
        <v>58</v>
      </c>
      <c r="F282" s="30">
        <v>7</v>
      </c>
      <c r="G282" s="246">
        <f>44446.5/1000</f>
        <v>44.4465</v>
      </c>
      <c r="H282" s="45">
        <v>0</v>
      </c>
      <c r="I282" s="45">
        <v>44446.5</v>
      </c>
      <c r="J282" s="397">
        <v>137.66333999999998</v>
      </c>
      <c r="K282" s="495">
        <f t="shared" si="28"/>
        <v>182.10983999999996</v>
      </c>
      <c r="L282" s="578"/>
      <c r="M282" s="45">
        <f t="shared" si="30"/>
        <v>0</v>
      </c>
      <c r="N282" s="46">
        <f t="shared" si="27"/>
        <v>182.10983999999996</v>
      </c>
      <c r="O282" s="46">
        <f t="shared" si="29"/>
        <v>110</v>
      </c>
      <c r="P282" s="234" t="s">
        <v>229</v>
      </c>
      <c r="Q282" s="46">
        <v>1</v>
      </c>
      <c r="R282" s="450" t="s">
        <v>523</v>
      </c>
      <c r="S282" s="257">
        <v>90000</v>
      </c>
      <c r="T282" s="46"/>
      <c r="U282" s="46"/>
      <c r="V282" s="46"/>
      <c r="W282" s="46"/>
      <c r="X282" s="196"/>
      <c r="Y282" s="46"/>
      <c r="Z282" s="46"/>
      <c r="AA282" s="46"/>
      <c r="AB282" s="46"/>
      <c r="AC282" s="46"/>
      <c r="AD282" s="46"/>
      <c r="AE282" s="46"/>
      <c r="AF282" s="196"/>
      <c r="AG282" s="46"/>
      <c r="AH282" s="46"/>
      <c r="AI282" s="46"/>
      <c r="AJ282" s="46"/>
      <c r="AK282" s="46"/>
      <c r="AL282" s="46"/>
      <c r="AM282" s="46"/>
      <c r="AN282" s="196"/>
      <c r="AO282" s="438"/>
      <c r="AP282" s="46"/>
      <c r="AQ282" s="368"/>
      <c r="AR282" s="257"/>
      <c r="AS282" s="196"/>
      <c r="AT282" s="46"/>
      <c r="AU282" s="46"/>
      <c r="AV282" s="196"/>
      <c r="AW282" s="257"/>
      <c r="AX282" s="196"/>
      <c r="AY282" s="191"/>
      <c r="AZ282" s="257"/>
      <c r="BA282" s="196"/>
      <c r="BB282" s="46"/>
      <c r="BC282" s="257"/>
      <c r="BD282" s="196"/>
      <c r="BE282" s="191"/>
      <c r="BF282" s="46"/>
      <c r="BG282" s="196"/>
      <c r="BH282" s="46"/>
      <c r="BI282" s="257"/>
      <c r="BJ282" s="196"/>
      <c r="BK282" s="191"/>
      <c r="BL282" s="257"/>
      <c r="BM282" s="196"/>
      <c r="BN282" s="46"/>
      <c r="BO282" s="257"/>
      <c r="BP282" s="196"/>
      <c r="BQ282" s="190"/>
      <c r="BR282" s="46"/>
      <c r="BS282" s="196"/>
      <c r="BT282" s="46"/>
      <c r="BU282" s="257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196"/>
      <c r="CI282" s="46"/>
      <c r="CJ282" s="46"/>
      <c r="CK282" s="46"/>
      <c r="CL282" s="46"/>
      <c r="CM282" s="46"/>
      <c r="CN282" s="196"/>
      <c r="CO282" s="191"/>
      <c r="CP282" s="257"/>
      <c r="CQ282" s="196"/>
      <c r="CR282" s="167"/>
      <c r="CS282" s="257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191"/>
      <c r="DN282" s="46"/>
      <c r="DO282" s="196"/>
      <c r="DP282" s="221" t="s">
        <v>961</v>
      </c>
      <c r="DQ282" s="257">
        <f t="shared" si="31"/>
        <v>20000</v>
      </c>
      <c r="DR282" s="294"/>
      <c r="DS282" s="295"/>
      <c r="DT282" s="386">
        <f t="shared" si="32"/>
        <v>0</v>
      </c>
      <c r="DU282" s="41"/>
      <c r="DV282" s="41"/>
      <c r="DW282" s="256"/>
      <c r="DX282" s="41"/>
      <c r="DY282" s="41"/>
      <c r="DZ282" s="68"/>
      <c r="EA282" s="41"/>
      <c r="EB282" s="41"/>
      <c r="EC282" s="256"/>
      <c r="ED282" s="308"/>
      <c r="EE282" s="308"/>
      <c r="EF282" s="308"/>
      <c r="EG282" s="41"/>
      <c r="EH282" s="41"/>
      <c r="EI282" s="41"/>
      <c r="EJ282" s="69"/>
      <c r="EK282" s="308"/>
      <c r="EL282" s="308"/>
      <c r="EM282" s="308"/>
      <c r="EN282" s="308"/>
      <c r="EO282" s="41">
        <v>8</v>
      </c>
      <c r="EP282" s="41">
        <v>1</v>
      </c>
      <c r="EQ282" s="41">
        <v>1</v>
      </c>
      <c r="ER282" s="256">
        <v>20000</v>
      </c>
      <c r="ES282" s="293"/>
      <c r="ET282" s="293"/>
      <c r="EU282" s="293"/>
      <c r="EV282" s="293"/>
      <c r="EW282" s="41"/>
      <c r="EX282" s="41"/>
      <c r="EY282" s="41"/>
      <c r="EZ282" s="256"/>
      <c r="FA282" s="308"/>
      <c r="FB282" s="308"/>
      <c r="FC282" s="308"/>
      <c r="FD282" s="308"/>
      <c r="FE282" s="41"/>
      <c r="FF282" s="41"/>
      <c r="FG282" s="41"/>
      <c r="FH282" s="256"/>
      <c r="FI282" s="41"/>
      <c r="FJ282" s="41"/>
      <c r="FK282" s="41"/>
      <c r="FL282" s="276"/>
    </row>
    <row r="283" spans="1:168">
      <c r="A283" s="45">
        <v>276</v>
      </c>
      <c r="B283" s="45" t="s">
        <v>210</v>
      </c>
      <c r="C283" s="45">
        <v>5</v>
      </c>
      <c r="D283" s="29" t="s">
        <v>169</v>
      </c>
      <c r="E283" s="30" t="s">
        <v>170</v>
      </c>
      <c r="F283" s="30">
        <v>7</v>
      </c>
      <c r="G283" s="246">
        <f>43913.142/1000</f>
        <v>43.913142000000001</v>
      </c>
      <c r="H283" s="45">
        <v>0</v>
      </c>
      <c r="I283" s="45">
        <v>43913.142</v>
      </c>
      <c r="J283" s="397">
        <v>160.07048000000003</v>
      </c>
      <c r="K283" s="495">
        <f t="shared" si="28"/>
        <v>203.98362200000003</v>
      </c>
      <c r="L283" s="578"/>
      <c r="M283" s="45">
        <f t="shared" si="30"/>
        <v>0</v>
      </c>
      <c r="N283" s="46">
        <f t="shared" si="27"/>
        <v>203.98362200000003</v>
      </c>
      <c r="O283" s="46">
        <f t="shared" si="29"/>
        <v>200</v>
      </c>
      <c r="P283" s="234"/>
      <c r="Q283" s="46"/>
      <c r="R283" s="450"/>
      <c r="S283" s="257"/>
      <c r="T283" s="46"/>
      <c r="U283" s="46"/>
      <c r="V283" s="46"/>
      <c r="W283" s="46"/>
      <c r="X283" s="196"/>
      <c r="Y283" s="46"/>
      <c r="Z283" s="46"/>
      <c r="AA283" s="46"/>
      <c r="AB283" s="46"/>
      <c r="AC283" s="46"/>
      <c r="AD283" s="46"/>
      <c r="AE283" s="46"/>
      <c r="AF283" s="196"/>
      <c r="AG283" s="46"/>
      <c r="AH283" s="46"/>
      <c r="AI283" s="46"/>
      <c r="AJ283" s="46"/>
      <c r="AK283" s="46"/>
      <c r="AL283" s="46"/>
      <c r="AM283" s="46"/>
      <c r="AN283" s="196"/>
      <c r="AO283" s="438"/>
      <c r="AP283" s="46"/>
      <c r="AQ283" s="368"/>
      <c r="AR283" s="257"/>
      <c r="AS283" s="196"/>
      <c r="AT283" s="46"/>
      <c r="AU283" s="46"/>
      <c r="AV283" s="196"/>
      <c r="AW283" s="257"/>
      <c r="AX283" s="196"/>
      <c r="AY283" s="191"/>
      <c r="AZ283" s="257"/>
      <c r="BA283" s="196"/>
      <c r="BB283" s="46"/>
      <c r="BC283" s="257"/>
      <c r="BD283" s="196"/>
      <c r="BE283" s="191"/>
      <c r="BF283" s="46"/>
      <c r="BG283" s="196"/>
      <c r="BH283" s="46"/>
      <c r="BI283" s="257"/>
      <c r="BJ283" s="196"/>
      <c r="BK283" s="191"/>
      <c r="BL283" s="257"/>
      <c r="BM283" s="196"/>
      <c r="BN283" s="46"/>
      <c r="BO283" s="257"/>
      <c r="BP283" s="196"/>
      <c r="BQ283" s="190"/>
      <c r="BR283" s="46"/>
      <c r="BS283" s="196"/>
      <c r="BT283" s="46"/>
      <c r="BU283" s="257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196"/>
      <c r="CI283" s="46"/>
      <c r="CJ283" s="46"/>
      <c r="CK283" s="46"/>
      <c r="CL283" s="46"/>
      <c r="CM283" s="46"/>
      <c r="CN283" s="196"/>
      <c r="CO283" s="191"/>
      <c r="CP283" s="257"/>
      <c r="CQ283" s="196"/>
      <c r="CR283" s="167"/>
      <c r="CS283" s="257"/>
      <c r="CT283" s="46"/>
      <c r="CU283" s="46"/>
      <c r="CV283" s="46"/>
      <c r="CW283" s="46"/>
      <c r="CX283" s="46"/>
      <c r="CY283" s="46"/>
      <c r="CZ283" s="46"/>
      <c r="DA283" s="46"/>
      <c r="DB283" s="257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191"/>
      <c r="DN283" s="46"/>
      <c r="DO283" s="218"/>
      <c r="DP283" s="221" t="s">
        <v>531</v>
      </c>
      <c r="DQ283" s="257">
        <f>DW283+EC283+EJ283+ER283+EZ283+FH283+200000</f>
        <v>200000</v>
      </c>
      <c r="DR283" s="296"/>
      <c r="DS283" s="295"/>
      <c r="DT283" s="386">
        <f t="shared" si="32"/>
        <v>0</v>
      </c>
      <c r="DU283" s="41"/>
      <c r="DV283" s="41"/>
      <c r="DW283" s="256"/>
      <c r="DX283" s="41"/>
      <c r="DY283" s="41"/>
      <c r="DZ283" s="68"/>
      <c r="EA283" s="41"/>
      <c r="EB283" s="41"/>
      <c r="EC283" s="256"/>
      <c r="ED283" s="308"/>
      <c r="EE283" s="308"/>
      <c r="EF283" s="308"/>
      <c r="EG283" s="41"/>
      <c r="EH283" s="41"/>
      <c r="EI283" s="41"/>
      <c r="EJ283" s="69"/>
      <c r="EK283" s="308"/>
      <c r="EL283" s="308"/>
      <c r="EM283" s="308"/>
      <c r="EN283" s="308"/>
      <c r="EO283" s="41"/>
      <c r="EP283" s="41"/>
      <c r="EQ283" s="41"/>
      <c r="ER283" s="256"/>
      <c r="ES283" s="293"/>
      <c r="ET283" s="293"/>
      <c r="EU283" s="293"/>
      <c r="EV283" s="293"/>
      <c r="EW283" s="41"/>
      <c r="EX283" s="41"/>
      <c r="EY283" s="41"/>
      <c r="EZ283" s="256"/>
      <c r="FA283" s="308"/>
      <c r="FB283" s="308"/>
      <c r="FC283" s="308"/>
      <c r="FD283" s="308"/>
      <c r="FE283" s="41"/>
      <c r="FF283" s="41"/>
      <c r="FG283" s="41"/>
      <c r="FH283" s="256"/>
      <c r="FI283" s="41"/>
      <c r="FJ283" s="41"/>
      <c r="FK283" s="41"/>
      <c r="FL283" s="276"/>
    </row>
    <row r="284" spans="1:168">
      <c r="A284" s="45">
        <v>277</v>
      </c>
      <c r="B284" s="45" t="s">
        <v>210</v>
      </c>
      <c r="C284" s="45">
        <v>5</v>
      </c>
      <c r="D284" s="29" t="s">
        <v>165</v>
      </c>
      <c r="E284" s="30">
        <v>62</v>
      </c>
      <c r="F284" s="30">
        <v>5</v>
      </c>
      <c r="G284" s="246">
        <f>59965.8444/1000</f>
        <v>59.965844400000002</v>
      </c>
      <c r="H284" s="45">
        <v>59965.844400000009</v>
      </c>
      <c r="I284" s="45">
        <v>0</v>
      </c>
      <c r="J284" s="397">
        <v>53.563479999999984</v>
      </c>
      <c r="K284" s="495">
        <f t="shared" si="28"/>
        <v>113.52932439999998</v>
      </c>
      <c r="L284" s="578"/>
      <c r="M284" s="45">
        <f t="shared" si="30"/>
        <v>0</v>
      </c>
      <c r="N284" s="46">
        <f t="shared" si="27"/>
        <v>113.52932439999998</v>
      </c>
      <c r="O284" s="46">
        <f t="shared" si="29"/>
        <v>90</v>
      </c>
      <c r="P284" s="234"/>
      <c r="Q284" s="46">
        <v>1</v>
      </c>
      <c r="R284" s="450" t="s">
        <v>523</v>
      </c>
      <c r="S284" s="257">
        <v>90000</v>
      </c>
      <c r="T284" s="46"/>
      <c r="U284" s="46"/>
      <c r="V284" s="46"/>
      <c r="W284" s="46"/>
      <c r="X284" s="196"/>
      <c r="Y284" s="46"/>
      <c r="Z284" s="46"/>
      <c r="AA284" s="46"/>
      <c r="AB284" s="46"/>
      <c r="AC284" s="46"/>
      <c r="AD284" s="46"/>
      <c r="AE284" s="46"/>
      <c r="AF284" s="196"/>
      <c r="AG284" s="46"/>
      <c r="AH284" s="46"/>
      <c r="AI284" s="46"/>
      <c r="AJ284" s="46"/>
      <c r="AK284" s="46"/>
      <c r="AL284" s="46"/>
      <c r="AM284" s="46"/>
      <c r="AN284" s="196"/>
      <c r="AO284" s="438"/>
      <c r="AP284" s="46"/>
      <c r="AQ284" s="368"/>
      <c r="AR284" s="257"/>
      <c r="AS284" s="196"/>
      <c r="AT284" s="46"/>
      <c r="AU284" s="46"/>
      <c r="AV284" s="196"/>
      <c r="AW284" s="257"/>
      <c r="AX284" s="196"/>
      <c r="AY284" s="191"/>
      <c r="AZ284" s="257"/>
      <c r="BA284" s="196"/>
      <c r="BB284" s="46"/>
      <c r="BC284" s="257"/>
      <c r="BD284" s="196"/>
      <c r="BE284" s="191"/>
      <c r="BF284" s="46"/>
      <c r="BG284" s="196"/>
      <c r="BH284" s="46"/>
      <c r="BI284" s="257"/>
      <c r="BJ284" s="196"/>
      <c r="BK284" s="191"/>
      <c r="BL284" s="257"/>
      <c r="BM284" s="196"/>
      <c r="BN284" s="46"/>
      <c r="BO284" s="257"/>
      <c r="BP284" s="196"/>
      <c r="BQ284" s="190"/>
      <c r="BR284" s="46"/>
      <c r="BS284" s="196"/>
      <c r="BT284" s="46"/>
      <c r="BU284" s="257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196"/>
      <c r="CI284" s="46"/>
      <c r="CJ284" s="46"/>
      <c r="CK284" s="46"/>
      <c r="CL284" s="46"/>
      <c r="CM284" s="46"/>
      <c r="CN284" s="196"/>
      <c r="CO284" s="191"/>
      <c r="CP284" s="257"/>
      <c r="CQ284" s="196"/>
      <c r="CR284" s="167"/>
      <c r="CS284" s="257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191"/>
      <c r="DN284" s="46"/>
      <c r="DO284" s="196"/>
      <c r="DP284" s="221"/>
      <c r="DQ284" s="257">
        <f t="shared" si="31"/>
        <v>0</v>
      </c>
      <c r="DR284" s="296"/>
      <c r="DS284" s="295"/>
      <c r="DT284" s="386">
        <f t="shared" si="32"/>
        <v>0</v>
      </c>
      <c r="DU284" s="41"/>
      <c r="DV284" s="41"/>
      <c r="DW284" s="256"/>
      <c r="DX284" s="41"/>
      <c r="DY284" s="41"/>
      <c r="DZ284" s="68"/>
      <c r="EA284" s="41"/>
      <c r="EB284" s="41"/>
      <c r="EC284" s="256"/>
      <c r="ED284" s="308"/>
      <c r="EE284" s="308"/>
      <c r="EF284" s="308"/>
      <c r="EG284" s="41"/>
      <c r="EH284" s="41"/>
      <c r="EI284" s="41"/>
      <c r="EJ284" s="69"/>
      <c r="EK284" s="308"/>
      <c r="EL284" s="308"/>
      <c r="EM284" s="308"/>
      <c r="EN284" s="308"/>
      <c r="EO284" s="41"/>
      <c r="EP284" s="41"/>
      <c r="EQ284" s="41"/>
      <c r="ER284" s="256"/>
      <c r="ES284" s="293"/>
      <c r="ET284" s="293"/>
      <c r="EU284" s="293"/>
      <c r="EV284" s="293"/>
      <c r="EW284" s="41"/>
      <c r="EX284" s="41"/>
      <c r="EY284" s="41"/>
      <c r="EZ284" s="256"/>
      <c r="FA284" s="308"/>
      <c r="FB284" s="308"/>
      <c r="FC284" s="308"/>
      <c r="FD284" s="308"/>
      <c r="FE284" s="46"/>
      <c r="FF284" s="41"/>
      <c r="FG284" s="41"/>
      <c r="FH284" s="256"/>
      <c r="FI284" s="41"/>
      <c r="FJ284" s="41"/>
      <c r="FK284" s="41"/>
      <c r="FL284" s="276"/>
    </row>
    <row r="285" spans="1:168">
      <c r="A285" s="45">
        <v>278</v>
      </c>
      <c r="B285" s="45" t="s">
        <v>210</v>
      </c>
      <c r="C285" s="45">
        <v>4</v>
      </c>
      <c r="D285" s="29" t="s">
        <v>510</v>
      </c>
      <c r="E285" s="175">
        <v>63</v>
      </c>
      <c r="F285" s="188">
        <v>7</v>
      </c>
      <c r="G285" s="246">
        <f>11714.0058/1000</f>
        <v>11.714005800000001</v>
      </c>
      <c r="H285" s="45">
        <v>0</v>
      </c>
      <c r="I285" s="45">
        <v>11714.005799999999</v>
      </c>
      <c r="J285" s="397">
        <v>-5.8937629999999999</v>
      </c>
      <c r="K285" s="495">
        <f t="shared" si="28"/>
        <v>5.8202428000000008</v>
      </c>
      <c r="L285" s="578"/>
      <c r="M285" s="45">
        <f t="shared" si="30"/>
        <v>0</v>
      </c>
      <c r="N285" s="46">
        <f>K285-M285</f>
        <v>5.8202428000000008</v>
      </c>
      <c r="O285" s="46">
        <f t="shared" si="29"/>
        <v>5</v>
      </c>
      <c r="P285" s="234"/>
      <c r="Q285" s="46"/>
      <c r="R285" s="450"/>
      <c r="S285" s="257"/>
      <c r="T285" s="46"/>
      <c r="U285" s="46"/>
      <c r="V285" s="46"/>
      <c r="W285" s="46"/>
      <c r="X285" s="196"/>
      <c r="Y285" s="46"/>
      <c r="Z285" s="46"/>
      <c r="AA285" s="46"/>
      <c r="AB285" s="46"/>
      <c r="AC285" s="46"/>
      <c r="AD285" s="46"/>
      <c r="AE285" s="46"/>
      <c r="AF285" s="196"/>
      <c r="AG285" s="46"/>
      <c r="AH285" s="46"/>
      <c r="AI285" s="46"/>
      <c r="AJ285" s="46"/>
      <c r="AK285" s="46"/>
      <c r="AL285" s="46"/>
      <c r="AM285" s="46"/>
      <c r="AN285" s="196"/>
      <c r="AO285" s="438"/>
      <c r="AP285" s="46"/>
      <c r="AQ285" s="368"/>
      <c r="AR285" s="257"/>
      <c r="AS285" s="196"/>
      <c r="AT285" s="46"/>
      <c r="AU285" s="46"/>
      <c r="AV285" s="196"/>
      <c r="AW285" s="257"/>
      <c r="AX285" s="196"/>
      <c r="AY285" s="191"/>
      <c r="AZ285" s="257"/>
      <c r="BA285" s="196"/>
      <c r="BB285" s="46"/>
      <c r="BC285" s="257"/>
      <c r="BD285" s="196"/>
      <c r="BE285" s="191"/>
      <c r="BF285" s="46"/>
      <c r="BG285" s="196"/>
      <c r="BH285" s="46"/>
      <c r="BI285" s="257"/>
      <c r="BJ285" s="196"/>
      <c r="BK285" s="191"/>
      <c r="BL285" s="257"/>
      <c r="BM285" s="196"/>
      <c r="BN285" s="46"/>
      <c r="BO285" s="257"/>
      <c r="BP285" s="196"/>
      <c r="BQ285" s="190"/>
      <c r="BR285" s="46"/>
      <c r="BS285" s="196"/>
      <c r="BT285" s="46"/>
      <c r="BU285" s="257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196"/>
      <c r="CI285" s="46"/>
      <c r="CJ285" s="46"/>
      <c r="CK285" s="46"/>
      <c r="CL285" s="46"/>
      <c r="CM285" s="46"/>
      <c r="CN285" s="196"/>
      <c r="CO285" s="191"/>
      <c r="CP285" s="257"/>
      <c r="CQ285" s="196"/>
      <c r="CR285" s="167"/>
      <c r="CS285" s="257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191"/>
      <c r="DN285" s="46"/>
      <c r="DO285" s="196"/>
      <c r="DP285" s="221" t="s">
        <v>531</v>
      </c>
      <c r="DQ285" s="257">
        <f>DW285+EC285+EJ285+ER285+EZ285+FH285+5000</f>
        <v>5000</v>
      </c>
      <c r="DR285" s="294"/>
      <c r="DS285" s="295"/>
      <c r="DT285" s="386">
        <f t="shared" si="32"/>
        <v>0</v>
      </c>
      <c r="DU285" s="41"/>
      <c r="DV285" s="41"/>
      <c r="DW285" s="256"/>
      <c r="DX285" s="41"/>
      <c r="DY285" s="41"/>
      <c r="DZ285" s="68"/>
      <c r="EA285" s="41"/>
      <c r="EB285" s="41"/>
      <c r="EC285" s="256"/>
      <c r="ED285" s="308"/>
      <c r="EE285" s="308"/>
      <c r="EF285" s="308"/>
      <c r="EG285" s="41"/>
      <c r="EH285" s="41"/>
      <c r="EI285" s="41"/>
      <c r="EJ285" s="69"/>
      <c r="EK285" s="308"/>
      <c r="EL285" s="308"/>
      <c r="EM285" s="308"/>
      <c r="EN285" s="308"/>
      <c r="EO285" s="41"/>
      <c r="EP285" s="41"/>
      <c r="EQ285" s="41"/>
      <c r="ER285" s="256"/>
      <c r="ES285" s="293"/>
      <c r="ET285" s="293"/>
      <c r="EU285" s="293"/>
      <c r="EV285" s="293"/>
      <c r="EW285" s="41"/>
      <c r="EX285" s="41"/>
      <c r="EY285" s="41"/>
      <c r="EZ285" s="256"/>
      <c r="FA285" s="308"/>
      <c r="FB285" s="308"/>
      <c r="FC285" s="308"/>
      <c r="FD285" s="308"/>
      <c r="FE285" s="41"/>
      <c r="FF285" s="41"/>
      <c r="FG285" s="41"/>
      <c r="FH285" s="256"/>
      <c r="FI285" s="41"/>
      <c r="FJ285" s="41"/>
      <c r="FK285" s="41"/>
      <c r="FL285" s="276"/>
    </row>
    <row r="286" spans="1:168">
      <c r="A286" s="45">
        <v>279</v>
      </c>
      <c r="B286" s="45" t="s">
        <v>210</v>
      </c>
      <c r="C286" s="45">
        <v>5</v>
      </c>
      <c r="D286" s="29" t="s">
        <v>165</v>
      </c>
      <c r="E286" s="30">
        <v>64</v>
      </c>
      <c r="F286" s="30">
        <v>6</v>
      </c>
      <c r="G286" s="246">
        <f>67639.656/1000</f>
        <v>67.639656000000002</v>
      </c>
      <c r="H286" s="45">
        <v>19130.034</v>
      </c>
      <c r="I286" s="45">
        <v>48509.622000000003</v>
      </c>
      <c r="J286" s="397">
        <v>202.05989</v>
      </c>
      <c r="K286" s="495">
        <f t="shared" si="28"/>
        <v>269.699546</v>
      </c>
      <c r="L286" s="578"/>
      <c r="M286" s="45">
        <f t="shared" si="30"/>
        <v>0</v>
      </c>
      <c r="N286" s="46">
        <f t="shared" si="27"/>
        <v>269.699546</v>
      </c>
      <c r="O286" s="46">
        <f t="shared" si="29"/>
        <v>252</v>
      </c>
      <c r="P286" s="234" t="s">
        <v>228</v>
      </c>
      <c r="Q286" s="46">
        <v>2</v>
      </c>
      <c r="R286" s="450" t="s">
        <v>560</v>
      </c>
      <c r="S286" s="257">
        <f>90000*2</f>
        <v>180000</v>
      </c>
      <c r="T286" s="46"/>
      <c r="U286" s="46"/>
      <c r="V286" s="46"/>
      <c r="W286" s="46"/>
      <c r="X286" s="196"/>
      <c r="Y286" s="46"/>
      <c r="Z286" s="46"/>
      <c r="AA286" s="46"/>
      <c r="AB286" s="46"/>
      <c r="AC286" s="46"/>
      <c r="AD286" s="46"/>
      <c r="AE286" s="46"/>
      <c r="AF286" s="196"/>
      <c r="AG286" s="46"/>
      <c r="AH286" s="46"/>
      <c r="AI286" s="46"/>
      <c r="AJ286" s="46"/>
      <c r="AK286" s="46"/>
      <c r="AL286" s="46"/>
      <c r="AM286" s="46"/>
      <c r="AN286" s="196" t="s">
        <v>247</v>
      </c>
      <c r="AO286" s="438" t="s">
        <v>335</v>
      </c>
      <c r="AP286" s="46">
        <v>40</v>
      </c>
      <c r="AQ286" s="368" t="s">
        <v>522</v>
      </c>
      <c r="AR286" s="257">
        <f>AP286*1300</f>
        <v>52000</v>
      </c>
      <c r="AS286" s="196"/>
      <c r="AT286" s="46"/>
      <c r="AU286" s="46"/>
      <c r="AV286" s="196"/>
      <c r="AW286" s="257"/>
      <c r="AX286" s="196"/>
      <c r="AY286" s="191"/>
      <c r="AZ286" s="257"/>
      <c r="BA286" s="196"/>
      <c r="BB286" s="46"/>
      <c r="BC286" s="257"/>
      <c r="BD286" s="196"/>
      <c r="BE286" s="191"/>
      <c r="BF286" s="46"/>
      <c r="BG286" s="196"/>
      <c r="BH286" s="46"/>
      <c r="BI286" s="257"/>
      <c r="BJ286" s="196"/>
      <c r="BK286" s="191"/>
      <c r="BL286" s="257"/>
      <c r="BM286" s="196"/>
      <c r="BN286" s="46"/>
      <c r="BO286" s="257"/>
      <c r="BP286" s="196"/>
      <c r="BQ286" s="190"/>
      <c r="BR286" s="46"/>
      <c r="BS286" s="196"/>
      <c r="BT286" s="46"/>
      <c r="BU286" s="257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196"/>
      <c r="CI286" s="46"/>
      <c r="CJ286" s="46"/>
      <c r="CK286" s="46"/>
      <c r="CL286" s="46"/>
      <c r="CM286" s="46"/>
      <c r="CN286" s="196"/>
      <c r="CO286" s="191"/>
      <c r="CP286" s="257"/>
      <c r="CQ286" s="196"/>
      <c r="CR286" s="167"/>
      <c r="CS286" s="257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191"/>
      <c r="DN286" s="46"/>
      <c r="DO286" s="218"/>
      <c r="DP286" s="221" t="s">
        <v>530</v>
      </c>
      <c r="DQ286" s="257">
        <f t="shared" si="31"/>
        <v>20000</v>
      </c>
      <c r="DR286" s="294"/>
      <c r="DS286" s="295"/>
      <c r="DT286" s="386">
        <f t="shared" si="32"/>
        <v>0</v>
      </c>
      <c r="DU286" s="41"/>
      <c r="DV286" s="41"/>
      <c r="DW286" s="256"/>
      <c r="DX286" s="41"/>
      <c r="DY286" s="41"/>
      <c r="DZ286" s="68"/>
      <c r="EA286" s="41"/>
      <c r="EB286" s="41"/>
      <c r="EC286" s="256"/>
      <c r="ED286" s="308"/>
      <c r="EE286" s="308"/>
      <c r="EF286" s="308"/>
      <c r="EG286" s="41"/>
      <c r="EH286" s="41"/>
      <c r="EI286" s="41"/>
      <c r="EJ286" s="69"/>
      <c r="EK286" s="308"/>
      <c r="EL286" s="308"/>
      <c r="EM286" s="308"/>
      <c r="EN286" s="308"/>
      <c r="EO286" s="41">
        <v>9</v>
      </c>
      <c r="EP286" s="41">
        <v>1</v>
      </c>
      <c r="EQ286" s="41">
        <v>1</v>
      </c>
      <c r="ER286" s="256">
        <v>20000</v>
      </c>
      <c r="ES286" s="293"/>
      <c r="ET286" s="293"/>
      <c r="EU286" s="293"/>
      <c r="EV286" s="293"/>
      <c r="EW286" s="41"/>
      <c r="EX286" s="41"/>
      <c r="EY286" s="41"/>
      <c r="EZ286" s="256"/>
      <c r="FA286" s="308"/>
      <c r="FB286" s="308"/>
      <c r="FC286" s="308"/>
      <c r="FD286" s="308"/>
      <c r="FE286" s="41"/>
      <c r="FF286" s="41"/>
      <c r="FG286" s="41"/>
      <c r="FH286" s="256"/>
      <c r="FI286" s="41"/>
      <c r="FJ286" s="41"/>
      <c r="FK286" s="41"/>
      <c r="FL286" s="276"/>
    </row>
    <row r="287" spans="1:168">
      <c r="A287" s="45">
        <v>280</v>
      </c>
      <c r="B287" s="45" t="s">
        <v>210</v>
      </c>
      <c r="C287" s="45">
        <v>5</v>
      </c>
      <c r="D287" s="29" t="s">
        <v>165</v>
      </c>
      <c r="E287" s="30">
        <v>66</v>
      </c>
      <c r="F287" s="30">
        <v>7</v>
      </c>
      <c r="G287" s="246">
        <f>43860.852/1000</f>
        <v>43.860852000000001</v>
      </c>
      <c r="H287" s="45">
        <v>0</v>
      </c>
      <c r="I287" s="45">
        <v>43860.851999999999</v>
      </c>
      <c r="J287" s="397">
        <v>61.084009999999992</v>
      </c>
      <c r="K287" s="495">
        <f t="shared" si="28"/>
        <v>104.944862</v>
      </c>
      <c r="L287" s="578"/>
      <c r="M287" s="45">
        <f t="shared" si="30"/>
        <v>0</v>
      </c>
      <c r="N287" s="46">
        <f t="shared" si="27"/>
        <v>104.944862</v>
      </c>
      <c r="O287" s="46">
        <f t="shared" si="29"/>
        <v>49.6</v>
      </c>
      <c r="P287" s="234"/>
      <c r="Q287" s="46"/>
      <c r="R287" s="450"/>
      <c r="S287" s="257"/>
      <c r="T287" s="46"/>
      <c r="U287" s="46"/>
      <c r="V287" s="46"/>
      <c r="W287" s="46"/>
      <c r="X287" s="196"/>
      <c r="Y287" s="46"/>
      <c r="Z287" s="46"/>
      <c r="AA287" s="46"/>
      <c r="AB287" s="46"/>
      <c r="AC287" s="46"/>
      <c r="AD287" s="46"/>
      <c r="AE287" s="46"/>
      <c r="AF287" s="196"/>
      <c r="AG287" s="46"/>
      <c r="AH287" s="46"/>
      <c r="AI287" s="46"/>
      <c r="AJ287" s="46"/>
      <c r="AK287" s="46"/>
      <c r="AL287" s="46"/>
      <c r="AM287" s="46"/>
      <c r="AN287" s="196"/>
      <c r="AO287" s="438"/>
      <c r="AP287" s="46"/>
      <c r="AQ287" s="368"/>
      <c r="AR287" s="257"/>
      <c r="AS287" s="196"/>
      <c r="AT287" s="46"/>
      <c r="AU287" s="46"/>
      <c r="AV287" s="196"/>
      <c r="AW287" s="257"/>
      <c r="AX287" s="196"/>
      <c r="AY287" s="191"/>
      <c r="AZ287" s="257"/>
      <c r="BA287" s="196"/>
      <c r="BB287" s="46"/>
      <c r="BC287" s="257"/>
      <c r="BD287" s="196"/>
      <c r="BE287" s="191"/>
      <c r="BF287" s="46"/>
      <c r="BG287" s="196"/>
      <c r="BH287" s="46"/>
      <c r="BI287" s="257"/>
      <c r="BJ287" s="196"/>
      <c r="BK287" s="191"/>
      <c r="BL287" s="257"/>
      <c r="BM287" s="196"/>
      <c r="BN287" s="46"/>
      <c r="BO287" s="257"/>
      <c r="BP287" s="196"/>
      <c r="BQ287" s="190"/>
      <c r="BR287" s="46"/>
      <c r="BS287" s="196"/>
      <c r="BT287" s="46"/>
      <c r="BU287" s="257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196"/>
      <c r="CI287" s="46"/>
      <c r="CJ287" s="46"/>
      <c r="CK287" s="46"/>
      <c r="CL287" s="46"/>
      <c r="CM287" s="46"/>
      <c r="CN287" s="196"/>
      <c r="CO287" s="191"/>
      <c r="CP287" s="257"/>
      <c r="CQ287" s="196"/>
      <c r="CR287" s="167"/>
      <c r="CS287" s="257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191"/>
      <c r="DN287" s="46"/>
      <c r="DO287" s="218"/>
      <c r="DP287" s="221" t="s">
        <v>833</v>
      </c>
      <c r="DQ287" s="257">
        <f t="shared" si="31"/>
        <v>49600</v>
      </c>
      <c r="DR287" s="296"/>
      <c r="DS287" s="295"/>
      <c r="DT287" s="386">
        <f t="shared" si="32"/>
        <v>0</v>
      </c>
      <c r="DU287" s="41"/>
      <c r="DV287" s="41"/>
      <c r="DW287" s="256"/>
      <c r="DX287" s="41"/>
      <c r="DY287" s="41"/>
      <c r="DZ287" s="68"/>
      <c r="EA287" s="41">
        <v>6</v>
      </c>
      <c r="EB287" s="41">
        <v>62</v>
      </c>
      <c r="EC287" s="256">
        <f>EB287*800</f>
        <v>49600</v>
      </c>
      <c r="ED287" s="308"/>
      <c r="EE287" s="308"/>
      <c r="EF287" s="308"/>
      <c r="EG287" s="41"/>
      <c r="EH287" s="41"/>
      <c r="EI287" s="41"/>
      <c r="EJ287" s="69"/>
      <c r="EK287" s="308"/>
      <c r="EL287" s="308"/>
      <c r="EM287" s="308"/>
      <c r="EN287" s="308"/>
      <c r="EO287" s="41"/>
      <c r="EP287" s="41"/>
      <c r="EQ287" s="41"/>
      <c r="ER287" s="256"/>
      <c r="ES287" s="293"/>
      <c r="ET287" s="293"/>
      <c r="EU287" s="293"/>
      <c r="EV287" s="293"/>
      <c r="EW287" s="41"/>
      <c r="EX287" s="41"/>
      <c r="EY287" s="41"/>
      <c r="EZ287" s="256"/>
      <c r="FA287" s="308"/>
      <c r="FB287" s="308"/>
      <c r="FC287" s="308"/>
      <c r="FD287" s="308"/>
      <c r="FE287" s="41"/>
      <c r="FF287" s="41"/>
      <c r="FG287" s="41"/>
      <c r="FH287" s="256"/>
      <c r="FI287" s="41"/>
      <c r="FJ287" s="41"/>
      <c r="FK287" s="41"/>
      <c r="FL287" s="276"/>
    </row>
    <row r="288" spans="1:168">
      <c r="A288" s="45">
        <v>281</v>
      </c>
      <c r="B288" s="45" t="s">
        <v>210</v>
      </c>
      <c r="C288" s="45">
        <v>5</v>
      </c>
      <c r="D288" s="29" t="s">
        <v>510</v>
      </c>
      <c r="E288" s="175">
        <v>68</v>
      </c>
      <c r="F288" s="188">
        <v>7</v>
      </c>
      <c r="G288" s="246">
        <f>43296.12/1000</f>
        <v>43.296120000000002</v>
      </c>
      <c r="H288" s="45">
        <v>0</v>
      </c>
      <c r="I288" s="45">
        <v>43296.119999999995</v>
      </c>
      <c r="J288" s="397">
        <v>141.32178000000002</v>
      </c>
      <c r="K288" s="495">
        <f t="shared" si="28"/>
        <v>184.61790000000002</v>
      </c>
      <c r="L288" s="578"/>
      <c r="M288" s="45">
        <f t="shared" si="30"/>
        <v>0</v>
      </c>
      <c r="N288" s="46">
        <f>K288-M288</f>
        <v>184.61790000000002</v>
      </c>
      <c r="O288" s="46">
        <f t="shared" si="29"/>
        <v>124.6</v>
      </c>
      <c r="P288" s="234"/>
      <c r="Q288" s="46"/>
      <c r="R288" s="450"/>
      <c r="S288" s="257"/>
      <c r="T288" s="46"/>
      <c r="U288" s="46"/>
      <c r="V288" s="46"/>
      <c r="W288" s="46"/>
      <c r="X288" s="196"/>
      <c r="Y288" s="46"/>
      <c r="Z288" s="46"/>
      <c r="AA288" s="46"/>
      <c r="AB288" s="46"/>
      <c r="AC288" s="46"/>
      <c r="AD288" s="46"/>
      <c r="AE288" s="46"/>
      <c r="AF288" s="196"/>
      <c r="AG288" s="46"/>
      <c r="AH288" s="46"/>
      <c r="AI288" s="46"/>
      <c r="AJ288" s="46"/>
      <c r="AK288" s="46"/>
      <c r="AL288" s="46"/>
      <c r="AM288" s="46"/>
      <c r="AN288" s="196"/>
      <c r="AO288" s="438"/>
      <c r="AP288" s="46"/>
      <c r="AQ288" s="368"/>
      <c r="AR288" s="257"/>
      <c r="AS288" s="196"/>
      <c r="AT288" s="46"/>
      <c r="AU288" s="46"/>
      <c r="AV288" s="196"/>
      <c r="AW288" s="257"/>
      <c r="AX288" s="196"/>
      <c r="AY288" s="191"/>
      <c r="AZ288" s="257"/>
      <c r="BA288" s="196"/>
      <c r="BB288" s="46"/>
      <c r="BC288" s="257"/>
      <c r="BD288" s="196"/>
      <c r="BE288" s="191"/>
      <c r="BF288" s="46"/>
      <c r="BG288" s="196"/>
      <c r="BH288" s="46"/>
      <c r="BI288" s="257"/>
      <c r="BJ288" s="196" t="s">
        <v>227</v>
      </c>
      <c r="BK288" s="191">
        <v>30</v>
      </c>
      <c r="BL288" s="257">
        <f>BK288*2500</f>
        <v>75000</v>
      </c>
      <c r="BM288" s="196"/>
      <c r="BN288" s="46"/>
      <c r="BO288" s="257"/>
      <c r="BP288" s="196"/>
      <c r="BQ288" s="190"/>
      <c r="BR288" s="46"/>
      <c r="BS288" s="196"/>
      <c r="BT288" s="46"/>
      <c r="BU288" s="257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196"/>
      <c r="CI288" s="46"/>
      <c r="CJ288" s="46"/>
      <c r="CK288" s="46"/>
      <c r="CL288" s="46"/>
      <c r="CM288" s="46"/>
      <c r="CN288" s="196"/>
      <c r="CO288" s="191"/>
      <c r="CP288" s="257"/>
      <c r="CQ288" s="196"/>
      <c r="CR288" s="167"/>
      <c r="CS288" s="257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191"/>
      <c r="DN288" s="46"/>
      <c r="DO288" s="218"/>
      <c r="DP288" s="221" t="s">
        <v>960</v>
      </c>
      <c r="DQ288" s="257">
        <f t="shared" si="31"/>
        <v>49600</v>
      </c>
      <c r="DR288" s="294"/>
      <c r="DS288" s="295"/>
      <c r="DT288" s="386">
        <f t="shared" si="32"/>
        <v>0</v>
      </c>
      <c r="DU288" s="41"/>
      <c r="DV288" s="41"/>
      <c r="DW288" s="256"/>
      <c r="DX288" s="41"/>
      <c r="DY288" s="41"/>
      <c r="DZ288" s="68"/>
      <c r="EA288" s="41">
        <v>6</v>
      </c>
      <c r="EB288" s="41">
        <v>62</v>
      </c>
      <c r="EC288" s="256">
        <f>62*800</f>
        <v>49600</v>
      </c>
      <c r="ED288" s="308"/>
      <c r="EE288" s="308"/>
      <c r="EF288" s="308"/>
      <c r="EG288" s="41"/>
      <c r="EH288" s="41"/>
      <c r="EI288" s="41"/>
      <c r="EJ288" s="69"/>
      <c r="EK288" s="308"/>
      <c r="EL288" s="308"/>
      <c r="EM288" s="308"/>
      <c r="EN288" s="308"/>
      <c r="EO288" s="41"/>
      <c r="EP288" s="41"/>
      <c r="EQ288" s="41"/>
      <c r="ER288" s="256"/>
      <c r="ES288" s="293"/>
      <c r="ET288" s="293"/>
      <c r="EU288" s="293"/>
      <c r="EV288" s="293"/>
      <c r="EW288" s="41"/>
      <c r="EX288" s="41"/>
      <c r="EY288" s="41"/>
      <c r="EZ288" s="256"/>
      <c r="FA288" s="308"/>
      <c r="FB288" s="308"/>
      <c r="FC288" s="308"/>
      <c r="FD288" s="308"/>
      <c r="FE288" s="41"/>
      <c r="FF288" s="41"/>
      <c r="FG288" s="41"/>
      <c r="FH288" s="256"/>
      <c r="FI288" s="41"/>
      <c r="FJ288" s="41"/>
      <c r="FK288" s="41"/>
      <c r="FL288" s="276"/>
    </row>
    <row r="289" spans="1:168">
      <c r="A289" s="45">
        <v>282</v>
      </c>
      <c r="B289" s="45" t="s">
        <v>210</v>
      </c>
      <c r="C289" s="45">
        <v>5</v>
      </c>
      <c r="D289" s="29" t="s">
        <v>171</v>
      </c>
      <c r="E289" s="30" t="s">
        <v>172</v>
      </c>
      <c r="F289" s="30">
        <v>7</v>
      </c>
      <c r="G289" s="246">
        <f>42250.32/1000</f>
        <v>42.250320000000002</v>
      </c>
      <c r="H289" s="45">
        <v>0</v>
      </c>
      <c r="I289" s="45">
        <v>42250.32</v>
      </c>
      <c r="J289" s="397">
        <v>109.45065999999998</v>
      </c>
      <c r="K289" s="495">
        <f t="shared" si="28"/>
        <v>151.70097999999999</v>
      </c>
      <c r="L289" s="578"/>
      <c r="M289" s="45">
        <f t="shared" si="30"/>
        <v>0</v>
      </c>
      <c r="N289" s="46">
        <f t="shared" si="27"/>
        <v>151.70097999999999</v>
      </c>
      <c r="O289" s="46">
        <f t="shared" si="29"/>
        <v>151.6</v>
      </c>
      <c r="P289" s="234"/>
      <c r="Q289" s="46"/>
      <c r="R289" s="450"/>
      <c r="S289" s="257"/>
      <c r="T289" s="46"/>
      <c r="U289" s="46"/>
      <c r="V289" s="46"/>
      <c r="W289" s="46"/>
      <c r="X289" s="196"/>
      <c r="Y289" s="46"/>
      <c r="Z289" s="46"/>
      <c r="AA289" s="46"/>
      <c r="AB289" s="46"/>
      <c r="AC289" s="46"/>
      <c r="AD289" s="46"/>
      <c r="AE289" s="46"/>
      <c r="AF289" s="196"/>
      <c r="AG289" s="46"/>
      <c r="AH289" s="46"/>
      <c r="AI289" s="46"/>
      <c r="AJ289" s="46"/>
      <c r="AK289" s="46"/>
      <c r="AL289" s="46"/>
      <c r="AM289" s="46"/>
      <c r="AN289" s="196"/>
      <c r="AO289" s="438"/>
      <c r="AP289" s="46"/>
      <c r="AQ289" s="368"/>
      <c r="AR289" s="257"/>
      <c r="AS289" s="196"/>
      <c r="AT289" s="46"/>
      <c r="AU289" s="46"/>
      <c r="AV289" s="196"/>
      <c r="AW289" s="257"/>
      <c r="AX289" s="196"/>
      <c r="AY289" s="191"/>
      <c r="AZ289" s="257"/>
      <c r="BA289" s="196"/>
      <c r="BB289" s="46"/>
      <c r="BC289" s="257"/>
      <c r="BD289" s="196"/>
      <c r="BE289" s="191"/>
      <c r="BF289" s="46"/>
      <c r="BG289" s="196"/>
      <c r="BH289" s="46"/>
      <c r="BI289" s="257"/>
      <c r="BJ289" s="196"/>
      <c r="BK289" s="191"/>
      <c r="BL289" s="257"/>
      <c r="BM289" s="196"/>
      <c r="BN289" s="46"/>
      <c r="BO289" s="257"/>
      <c r="BP289" s="196"/>
      <c r="BQ289" s="190"/>
      <c r="BR289" s="46"/>
      <c r="BS289" s="196"/>
      <c r="BT289" s="46"/>
      <c r="BU289" s="257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196"/>
      <c r="CI289" s="46"/>
      <c r="CJ289" s="46"/>
      <c r="CK289" s="46"/>
      <c r="CL289" s="46"/>
      <c r="CM289" s="46"/>
      <c r="CN289" s="196" t="s">
        <v>250</v>
      </c>
      <c r="CO289" s="191">
        <v>100</v>
      </c>
      <c r="CP289" s="257">
        <f>CO289*400</f>
        <v>40000</v>
      </c>
      <c r="CQ289" s="196"/>
      <c r="CR289" s="167"/>
      <c r="CS289" s="257"/>
      <c r="CT289" s="46"/>
      <c r="CU289" s="46"/>
      <c r="CV289" s="46"/>
      <c r="CW289" s="46"/>
      <c r="CX289" s="46"/>
      <c r="CY289" s="46"/>
      <c r="CZ289" s="46">
        <v>9</v>
      </c>
      <c r="DA289" s="46">
        <v>62</v>
      </c>
      <c r="DB289" s="46">
        <f>DA289*1800</f>
        <v>111600</v>
      </c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191"/>
      <c r="DN289" s="46"/>
      <c r="DO289" s="196"/>
      <c r="DP289" s="221"/>
      <c r="DQ289" s="257">
        <f t="shared" si="31"/>
        <v>0</v>
      </c>
      <c r="DR289" s="294"/>
      <c r="DS289" s="295"/>
      <c r="DT289" s="386">
        <f t="shared" si="32"/>
        <v>0</v>
      </c>
      <c r="DU289" s="41"/>
      <c r="DV289" s="41"/>
      <c r="DW289" s="256"/>
      <c r="DX289" s="41"/>
      <c r="DY289" s="41"/>
      <c r="DZ289" s="68"/>
      <c r="EA289" s="41"/>
      <c r="EB289" s="41"/>
      <c r="EC289" s="256"/>
      <c r="ED289" s="308"/>
      <c r="EE289" s="308"/>
      <c r="EF289" s="308"/>
      <c r="EG289" s="41"/>
      <c r="EH289" s="41"/>
      <c r="EI289" s="41"/>
      <c r="EJ289" s="69"/>
      <c r="EK289" s="308"/>
      <c r="EL289" s="308"/>
      <c r="EM289" s="308"/>
      <c r="EN289" s="308"/>
      <c r="EO289" s="41"/>
      <c r="EP289" s="41"/>
      <c r="EQ289" s="41"/>
      <c r="ER289" s="256"/>
      <c r="ES289" s="293"/>
      <c r="ET289" s="293"/>
      <c r="EU289" s="293"/>
      <c r="EV289" s="293"/>
      <c r="EW289" s="41"/>
      <c r="EX289" s="41"/>
      <c r="EY289" s="41"/>
      <c r="EZ289" s="256"/>
      <c r="FA289" s="308"/>
      <c r="FB289" s="308"/>
      <c r="FC289" s="308"/>
      <c r="FD289" s="308"/>
      <c r="FE289" s="41"/>
      <c r="FF289" s="41"/>
      <c r="FG289" s="41"/>
      <c r="FH289" s="256"/>
      <c r="FI289" s="41"/>
      <c r="FJ289" s="41"/>
      <c r="FK289" s="41"/>
      <c r="FL289" s="276"/>
    </row>
    <row r="290" spans="1:168">
      <c r="A290" s="45">
        <v>283</v>
      </c>
      <c r="B290" s="45" t="s">
        <v>210</v>
      </c>
      <c r="C290" s="45">
        <v>5</v>
      </c>
      <c r="D290" s="29" t="s">
        <v>510</v>
      </c>
      <c r="E290" s="175">
        <v>70</v>
      </c>
      <c r="F290" s="188">
        <v>7</v>
      </c>
      <c r="G290" s="246">
        <f>42229.404/1000</f>
        <v>42.229404000000002</v>
      </c>
      <c r="H290" s="45">
        <v>0</v>
      </c>
      <c r="I290" s="45">
        <v>42229.404000000002</v>
      </c>
      <c r="J290" s="397">
        <v>-89.496080000000006</v>
      </c>
      <c r="K290" s="495">
        <f t="shared" si="28"/>
        <v>-47.266676000000004</v>
      </c>
      <c r="L290" s="578"/>
      <c r="M290" s="45">
        <f t="shared" si="30"/>
        <v>0</v>
      </c>
      <c r="N290" s="46">
        <f>K290-M290</f>
        <v>-47.266676000000004</v>
      </c>
      <c r="O290" s="46">
        <f t="shared" si="29"/>
        <v>0</v>
      </c>
      <c r="P290" s="234"/>
      <c r="Q290" s="46"/>
      <c r="R290" s="450"/>
      <c r="S290" s="257"/>
      <c r="T290" s="46"/>
      <c r="U290" s="46"/>
      <c r="V290" s="46"/>
      <c r="W290" s="46"/>
      <c r="X290" s="196"/>
      <c r="Y290" s="46"/>
      <c r="Z290" s="46"/>
      <c r="AA290" s="46"/>
      <c r="AB290" s="46"/>
      <c r="AC290" s="46"/>
      <c r="AD290" s="46"/>
      <c r="AE290" s="46"/>
      <c r="AF290" s="196"/>
      <c r="AG290" s="46"/>
      <c r="AH290" s="46"/>
      <c r="AI290" s="46"/>
      <c r="AJ290" s="46"/>
      <c r="AK290" s="46"/>
      <c r="AL290" s="46"/>
      <c r="AM290" s="46"/>
      <c r="AN290" s="196"/>
      <c r="AO290" s="438"/>
      <c r="AP290" s="46"/>
      <c r="AQ290" s="368"/>
      <c r="AR290" s="257"/>
      <c r="AS290" s="196"/>
      <c r="AT290" s="46"/>
      <c r="AU290" s="46"/>
      <c r="AV290" s="196"/>
      <c r="AW290" s="257"/>
      <c r="AX290" s="196"/>
      <c r="AY290" s="191"/>
      <c r="AZ290" s="257"/>
      <c r="BA290" s="196"/>
      <c r="BB290" s="46"/>
      <c r="BC290" s="257"/>
      <c r="BD290" s="196"/>
      <c r="BE290" s="191"/>
      <c r="BF290" s="46"/>
      <c r="BG290" s="196"/>
      <c r="BH290" s="46"/>
      <c r="BI290" s="257"/>
      <c r="BJ290" s="196"/>
      <c r="BK290" s="191"/>
      <c r="BL290" s="257"/>
      <c r="BM290" s="196"/>
      <c r="BN290" s="46"/>
      <c r="BO290" s="257"/>
      <c r="BP290" s="196"/>
      <c r="BQ290" s="190"/>
      <c r="BR290" s="46"/>
      <c r="BS290" s="196"/>
      <c r="BT290" s="46"/>
      <c r="BU290" s="257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196"/>
      <c r="CI290" s="46"/>
      <c r="CJ290" s="46"/>
      <c r="CK290" s="46"/>
      <c r="CL290" s="46"/>
      <c r="CM290" s="46"/>
      <c r="CN290" s="196"/>
      <c r="CO290" s="191"/>
      <c r="CP290" s="257"/>
      <c r="CQ290" s="196"/>
      <c r="CR290" s="167"/>
      <c r="CS290" s="257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191"/>
      <c r="DN290" s="46"/>
      <c r="DO290" s="196"/>
      <c r="DP290" s="581"/>
      <c r="DQ290" s="257">
        <f t="shared" si="31"/>
        <v>0</v>
      </c>
      <c r="DR290" s="294"/>
      <c r="DS290" s="295"/>
      <c r="DT290" s="386">
        <f t="shared" si="32"/>
        <v>0</v>
      </c>
      <c r="DU290" s="41"/>
      <c r="DV290" s="41"/>
      <c r="DW290" s="256"/>
      <c r="DX290" s="41"/>
      <c r="DY290" s="41"/>
      <c r="DZ290" s="68"/>
      <c r="EA290" s="41"/>
      <c r="EB290" s="41"/>
      <c r="EC290" s="256"/>
      <c r="ED290" s="308"/>
      <c r="EE290" s="308"/>
      <c r="EF290" s="308"/>
      <c r="EG290" s="41"/>
      <c r="EH290" s="41"/>
      <c r="EI290" s="41"/>
      <c r="EJ290" s="69"/>
      <c r="EK290" s="308"/>
      <c r="EL290" s="308"/>
      <c r="EM290" s="308"/>
      <c r="EN290" s="308"/>
      <c r="EO290" s="41"/>
      <c r="EP290" s="41"/>
      <c r="EQ290" s="41"/>
      <c r="ER290" s="256"/>
      <c r="ES290" s="293"/>
      <c r="ET290" s="293"/>
      <c r="EU290" s="293"/>
      <c r="EV290" s="293"/>
      <c r="EW290" s="41"/>
      <c r="EX290" s="41"/>
      <c r="EY290" s="41"/>
      <c r="EZ290" s="256"/>
      <c r="FA290" s="308"/>
      <c r="FB290" s="308"/>
      <c r="FC290" s="308"/>
      <c r="FD290" s="308"/>
      <c r="FE290" s="41"/>
      <c r="FF290" s="41"/>
      <c r="FG290" s="41"/>
      <c r="FH290" s="256"/>
      <c r="FI290" s="41"/>
      <c r="FJ290" s="41"/>
      <c r="FK290" s="41"/>
      <c r="FL290" s="276"/>
    </row>
    <row r="291" spans="1:168">
      <c r="A291" s="45">
        <v>284</v>
      </c>
      <c r="B291" s="45" t="s">
        <v>210</v>
      </c>
      <c r="C291" s="45">
        <v>5</v>
      </c>
      <c r="D291" s="29" t="s">
        <v>510</v>
      </c>
      <c r="E291" s="30">
        <v>72</v>
      </c>
      <c r="F291" s="30">
        <v>7</v>
      </c>
      <c r="G291" s="246">
        <f>43275.204/1000</f>
        <v>43.275203999999995</v>
      </c>
      <c r="H291" s="45">
        <v>0</v>
      </c>
      <c r="I291" s="45">
        <v>43275.203999999998</v>
      </c>
      <c r="J291" s="397">
        <v>193.65229999999997</v>
      </c>
      <c r="K291" s="495">
        <f t="shared" si="28"/>
        <v>236.92750399999997</v>
      </c>
      <c r="L291" s="578"/>
      <c r="M291" s="45">
        <f t="shared" si="30"/>
        <v>0</v>
      </c>
      <c r="N291" s="46">
        <f t="shared" si="27"/>
        <v>236.92750399999997</v>
      </c>
      <c r="O291" s="46">
        <f t="shared" si="29"/>
        <v>200</v>
      </c>
      <c r="P291" s="234"/>
      <c r="Q291" s="46"/>
      <c r="R291" s="450"/>
      <c r="S291" s="257"/>
      <c r="T291" s="46"/>
      <c r="U291" s="46"/>
      <c r="V291" s="46"/>
      <c r="W291" s="46"/>
      <c r="X291" s="196"/>
      <c r="Y291" s="46"/>
      <c r="Z291" s="46"/>
      <c r="AA291" s="46"/>
      <c r="AB291" s="46"/>
      <c r="AC291" s="46"/>
      <c r="AD291" s="46"/>
      <c r="AE291" s="46"/>
      <c r="AF291" s="196"/>
      <c r="AG291" s="46"/>
      <c r="AH291" s="46"/>
      <c r="AI291" s="46"/>
      <c r="AJ291" s="46"/>
      <c r="AK291" s="46"/>
      <c r="AL291" s="46"/>
      <c r="AM291" s="46"/>
      <c r="AN291" s="196"/>
      <c r="AO291" s="438"/>
      <c r="AP291" s="46"/>
      <c r="AQ291" s="368"/>
      <c r="AR291" s="257"/>
      <c r="AS291" s="196"/>
      <c r="AT291" s="46"/>
      <c r="AU291" s="46"/>
      <c r="AV291" s="196"/>
      <c r="AW291" s="257"/>
      <c r="AX291" s="196"/>
      <c r="AY291" s="191"/>
      <c r="AZ291" s="257"/>
      <c r="BA291" s="196"/>
      <c r="BB291" s="46"/>
      <c r="BC291" s="257"/>
      <c r="BD291" s="196"/>
      <c r="BE291" s="191"/>
      <c r="BF291" s="46"/>
      <c r="BG291" s="196"/>
      <c r="BH291" s="46"/>
      <c r="BI291" s="257"/>
      <c r="BJ291" s="196"/>
      <c r="BK291" s="191"/>
      <c r="BL291" s="257"/>
      <c r="BM291" s="196"/>
      <c r="BN291" s="46"/>
      <c r="BO291" s="257"/>
      <c r="BP291" s="196"/>
      <c r="BQ291" s="190"/>
      <c r="BR291" s="46"/>
      <c r="BS291" s="196"/>
      <c r="BT291" s="46"/>
      <c r="BU291" s="257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196"/>
      <c r="CI291" s="46"/>
      <c r="CJ291" s="46"/>
      <c r="CK291" s="46"/>
      <c r="CL291" s="46"/>
      <c r="CM291" s="46"/>
      <c r="CN291" s="196"/>
      <c r="CO291" s="191"/>
      <c r="CP291" s="257"/>
      <c r="CQ291" s="196"/>
      <c r="CR291" s="167"/>
      <c r="CS291" s="257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191"/>
      <c r="DN291" s="46"/>
      <c r="DO291" s="196"/>
      <c r="DP291" s="581" t="s">
        <v>728</v>
      </c>
      <c r="DQ291" s="257">
        <f t="shared" si="31"/>
        <v>200000</v>
      </c>
      <c r="DR291" s="294"/>
      <c r="DS291" s="295"/>
      <c r="DT291" s="386">
        <f t="shared" si="32"/>
        <v>0</v>
      </c>
      <c r="DU291" s="41"/>
      <c r="DV291" s="41"/>
      <c r="DW291" s="256"/>
      <c r="DX291" s="41"/>
      <c r="DY291" s="41"/>
      <c r="DZ291" s="68"/>
      <c r="EA291" s="41">
        <v>6</v>
      </c>
      <c r="EB291" s="41">
        <v>250</v>
      </c>
      <c r="EC291" s="256">
        <f>EB291*800</f>
        <v>200000</v>
      </c>
      <c r="ED291" s="308"/>
      <c r="EE291" s="308"/>
      <c r="EF291" s="308"/>
      <c r="EG291" s="41"/>
      <c r="EH291" s="41"/>
      <c r="EI291" s="41"/>
      <c r="EJ291" s="69"/>
      <c r="EK291" s="308"/>
      <c r="EL291" s="308"/>
      <c r="EM291" s="308"/>
      <c r="EN291" s="308"/>
      <c r="EO291" s="41"/>
      <c r="EP291" s="41"/>
      <c r="EQ291" s="41"/>
      <c r="ER291" s="256"/>
      <c r="ES291" s="293"/>
      <c r="ET291" s="293"/>
      <c r="EU291" s="293"/>
      <c r="EV291" s="293"/>
      <c r="EW291" s="41"/>
      <c r="EX291" s="41"/>
      <c r="EY291" s="41"/>
      <c r="EZ291" s="256"/>
      <c r="FA291" s="308"/>
      <c r="FB291" s="308"/>
      <c r="FC291" s="308"/>
      <c r="FD291" s="308"/>
      <c r="FE291" s="41"/>
      <c r="FF291" s="41"/>
      <c r="FG291" s="41"/>
      <c r="FH291" s="256"/>
      <c r="FI291" s="41"/>
      <c r="FJ291" s="41"/>
      <c r="FK291" s="41"/>
      <c r="FL291" s="276"/>
    </row>
    <row r="292" spans="1:168">
      <c r="A292" s="45">
        <v>285</v>
      </c>
      <c r="B292" s="45" t="s">
        <v>210</v>
      </c>
      <c r="C292" s="45">
        <v>5</v>
      </c>
      <c r="D292" s="29" t="s">
        <v>165</v>
      </c>
      <c r="E292" s="30">
        <v>76</v>
      </c>
      <c r="F292" s="30">
        <v>5</v>
      </c>
      <c r="G292" s="246">
        <f>60624.4716/1000</f>
        <v>60.6244716</v>
      </c>
      <c r="H292" s="45">
        <v>60624.47159999999</v>
      </c>
      <c r="I292" s="45">
        <v>0</v>
      </c>
      <c r="J292" s="397">
        <v>59.351529999999997</v>
      </c>
      <c r="K292" s="495">
        <f t="shared" si="28"/>
        <v>119.97600159999999</v>
      </c>
      <c r="L292" s="578"/>
      <c r="M292" s="45">
        <f t="shared" si="30"/>
        <v>0</v>
      </c>
      <c r="N292" s="46">
        <f t="shared" si="27"/>
        <v>119.97600159999999</v>
      </c>
      <c r="O292" s="46">
        <f t="shared" si="29"/>
        <v>106.9</v>
      </c>
      <c r="P292" s="234"/>
      <c r="Q292" s="46">
        <v>1</v>
      </c>
      <c r="R292" s="450" t="s">
        <v>523</v>
      </c>
      <c r="S292" s="257">
        <v>90000</v>
      </c>
      <c r="T292" s="46"/>
      <c r="U292" s="46"/>
      <c r="V292" s="46"/>
      <c r="W292" s="46"/>
      <c r="X292" s="196"/>
      <c r="Y292" s="46"/>
      <c r="Z292" s="46"/>
      <c r="AA292" s="46"/>
      <c r="AB292" s="46"/>
      <c r="AC292" s="46"/>
      <c r="AD292" s="46"/>
      <c r="AE292" s="46"/>
      <c r="AF292" s="196"/>
      <c r="AG292" s="46"/>
      <c r="AH292" s="46"/>
      <c r="AI292" s="46"/>
      <c r="AJ292" s="46"/>
      <c r="AK292" s="46"/>
      <c r="AL292" s="46"/>
      <c r="AM292" s="46"/>
      <c r="AN292" s="196" t="s">
        <v>249</v>
      </c>
      <c r="AO292" s="438" t="s">
        <v>335</v>
      </c>
      <c r="AP292" s="46">
        <v>13</v>
      </c>
      <c r="AQ292" s="368" t="s">
        <v>552</v>
      </c>
      <c r="AR292" s="257">
        <f>AP292*1300</f>
        <v>16900</v>
      </c>
      <c r="AS292" s="196"/>
      <c r="AT292" s="46"/>
      <c r="AU292" s="46"/>
      <c r="AV292" s="196"/>
      <c r="AW292" s="257"/>
      <c r="AX292" s="196"/>
      <c r="AY292" s="191"/>
      <c r="AZ292" s="257"/>
      <c r="BA292" s="196"/>
      <c r="BB292" s="46"/>
      <c r="BC292" s="257"/>
      <c r="BD292" s="196"/>
      <c r="BE292" s="191"/>
      <c r="BF292" s="46"/>
      <c r="BG292" s="196"/>
      <c r="BH292" s="46"/>
      <c r="BI292" s="257"/>
      <c r="BJ292" s="196"/>
      <c r="BK292" s="191"/>
      <c r="BL292" s="257"/>
      <c r="BM292" s="196"/>
      <c r="BN292" s="46"/>
      <c r="BO292" s="257"/>
      <c r="BP292" s="196"/>
      <c r="BQ292" s="190"/>
      <c r="BR292" s="46"/>
      <c r="BS292" s="196"/>
      <c r="BT292" s="46"/>
      <c r="BU292" s="257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196"/>
      <c r="CI292" s="46"/>
      <c r="CJ292" s="46"/>
      <c r="CK292" s="46"/>
      <c r="CL292" s="46"/>
      <c r="CM292" s="46"/>
      <c r="CN292" s="196"/>
      <c r="CO292" s="191"/>
      <c r="CP292" s="257"/>
      <c r="CQ292" s="196"/>
      <c r="CR292" s="167"/>
      <c r="CS292" s="257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191"/>
      <c r="DN292" s="46"/>
      <c r="DO292" s="218"/>
      <c r="DP292" s="221"/>
      <c r="DQ292" s="257">
        <f t="shared" si="31"/>
        <v>0</v>
      </c>
      <c r="DR292" s="294"/>
      <c r="DS292" s="295"/>
      <c r="DT292" s="386">
        <f t="shared" si="32"/>
        <v>0</v>
      </c>
      <c r="DU292" s="41"/>
      <c r="DV292" s="41"/>
      <c r="DW292" s="256"/>
      <c r="DX292" s="41"/>
      <c r="DY292" s="41"/>
      <c r="DZ292" s="68"/>
      <c r="EA292" s="41"/>
      <c r="EB292" s="41"/>
      <c r="EC292" s="256"/>
      <c r="ED292" s="308"/>
      <c r="EE292" s="308"/>
      <c r="EF292" s="308"/>
      <c r="EG292" s="41"/>
      <c r="EH292" s="41"/>
      <c r="EI292" s="41"/>
      <c r="EJ292" s="69"/>
      <c r="EK292" s="308"/>
      <c r="EL292" s="308"/>
      <c r="EM292" s="308"/>
      <c r="EN292" s="308"/>
      <c r="EO292" s="41"/>
      <c r="EP292" s="41"/>
      <c r="EQ292" s="41"/>
      <c r="ER292" s="256"/>
      <c r="ES292" s="293"/>
      <c r="ET292" s="293"/>
      <c r="EU292" s="293"/>
      <c r="EV292" s="293"/>
      <c r="EW292" s="41"/>
      <c r="EX292" s="41"/>
      <c r="EY292" s="41"/>
      <c r="EZ292" s="256"/>
      <c r="FA292" s="308"/>
      <c r="FB292" s="308"/>
      <c r="FC292" s="308"/>
      <c r="FD292" s="308"/>
      <c r="FE292" s="46"/>
      <c r="FF292" s="41"/>
      <c r="FG292" s="41"/>
      <c r="FH292" s="256"/>
      <c r="FI292" s="41"/>
      <c r="FJ292" s="41"/>
      <c r="FK292" s="41"/>
      <c r="FL292" s="276"/>
    </row>
    <row r="293" spans="1:168">
      <c r="A293" s="45">
        <v>286</v>
      </c>
      <c r="B293" s="45" t="s">
        <v>210</v>
      </c>
      <c r="C293" s="45">
        <v>4</v>
      </c>
      <c r="D293" s="29" t="s">
        <v>510</v>
      </c>
      <c r="E293" s="175">
        <v>94</v>
      </c>
      <c r="F293" s="188">
        <v>7</v>
      </c>
      <c r="G293" s="246">
        <f>44332.5078/1000</f>
        <v>44.332507800000002</v>
      </c>
      <c r="H293" s="45">
        <v>0</v>
      </c>
      <c r="I293" s="45">
        <v>44332.507799999999</v>
      </c>
      <c r="J293" s="397">
        <v>13.814796999999988</v>
      </c>
      <c r="K293" s="495">
        <f t="shared" si="28"/>
        <v>58.147304799999986</v>
      </c>
      <c r="L293" s="578"/>
      <c r="M293" s="45">
        <f t="shared" si="30"/>
        <v>0</v>
      </c>
      <c r="N293" s="46">
        <f t="shared" ref="N293:N298" si="33">K293-M293</f>
        <v>58.147304799999986</v>
      </c>
      <c r="O293" s="46">
        <f t="shared" si="29"/>
        <v>58</v>
      </c>
      <c r="P293" s="234"/>
      <c r="Q293" s="46"/>
      <c r="R293" s="450"/>
      <c r="S293" s="257"/>
      <c r="T293" s="46"/>
      <c r="U293" s="46"/>
      <c r="V293" s="46"/>
      <c r="W293" s="46"/>
      <c r="X293" s="196"/>
      <c r="Y293" s="46"/>
      <c r="Z293" s="46"/>
      <c r="AA293" s="46"/>
      <c r="AB293" s="46"/>
      <c r="AC293" s="46"/>
      <c r="AD293" s="46"/>
      <c r="AE293" s="46"/>
      <c r="AF293" s="196"/>
      <c r="AG293" s="46"/>
      <c r="AH293" s="46"/>
      <c r="AI293" s="46"/>
      <c r="AJ293" s="46"/>
      <c r="AK293" s="46"/>
      <c r="AL293" s="46"/>
      <c r="AM293" s="46"/>
      <c r="AN293" s="196"/>
      <c r="AO293" s="438"/>
      <c r="AP293" s="46"/>
      <c r="AQ293" s="368"/>
      <c r="AR293" s="257"/>
      <c r="AS293" s="196"/>
      <c r="AT293" s="46"/>
      <c r="AU293" s="46"/>
      <c r="AV293" s="196"/>
      <c r="AW293" s="257"/>
      <c r="AX293" s="196"/>
      <c r="AY293" s="191"/>
      <c r="AZ293" s="257"/>
      <c r="BA293" s="196"/>
      <c r="BB293" s="46"/>
      <c r="BC293" s="257"/>
      <c r="BD293" s="196"/>
      <c r="BE293" s="191"/>
      <c r="BF293" s="46"/>
      <c r="BG293" s="196"/>
      <c r="BH293" s="46"/>
      <c r="BI293" s="257"/>
      <c r="BJ293" s="196"/>
      <c r="BK293" s="191"/>
      <c r="BL293" s="257"/>
      <c r="BM293" s="196"/>
      <c r="BN293" s="46"/>
      <c r="BO293" s="257"/>
      <c r="BP293" s="196"/>
      <c r="BQ293" s="190"/>
      <c r="BR293" s="46"/>
      <c r="BS293" s="196"/>
      <c r="BT293" s="46"/>
      <c r="BU293" s="257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196"/>
      <c r="CI293" s="46"/>
      <c r="CJ293" s="46"/>
      <c r="CK293" s="46"/>
      <c r="CL293" s="46"/>
      <c r="CM293" s="46"/>
      <c r="CN293" s="196"/>
      <c r="CO293" s="191"/>
      <c r="CP293" s="257"/>
      <c r="CQ293" s="196"/>
      <c r="CR293" s="167"/>
      <c r="CS293" s="257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191"/>
      <c r="DN293" s="46"/>
      <c r="DO293" s="196"/>
      <c r="DP293" s="581" t="s">
        <v>531</v>
      </c>
      <c r="DQ293" s="257">
        <f>DW293+EC293+EJ293+ER293+EZ293+FH293+58000</f>
        <v>58000</v>
      </c>
      <c r="DR293" s="294"/>
      <c r="DS293" s="295"/>
      <c r="DT293" s="386">
        <f t="shared" si="32"/>
        <v>0</v>
      </c>
      <c r="DU293" s="41"/>
      <c r="DV293" s="41"/>
      <c r="DW293" s="256"/>
      <c r="DX293" s="41"/>
      <c r="DY293" s="41"/>
      <c r="DZ293" s="68"/>
      <c r="EA293" s="41"/>
      <c r="EB293" s="41"/>
      <c r="EC293" s="256"/>
      <c r="ED293" s="308"/>
      <c r="EE293" s="308"/>
      <c r="EF293" s="308"/>
      <c r="EG293" s="41"/>
      <c r="EH293" s="41"/>
      <c r="EI293" s="41"/>
      <c r="EJ293" s="69"/>
      <c r="EK293" s="308"/>
      <c r="EL293" s="308"/>
      <c r="EM293" s="308"/>
      <c r="EN293" s="308"/>
      <c r="EO293" s="41"/>
      <c r="EP293" s="41"/>
      <c r="EQ293" s="41"/>
      <c r="ER293" s="256"/>
      <c r="ES293" s="293"/>
      <c r="ET293" s="293"/>
      <c r="EU293" s="293"/>
      <c r="EV293" s="293"/>
      <c r="EW293" s="41"/>
      <c r="EX293" s="41"/>
      <c r="EY293" s="41"/>
      <c r="EZ293" s="256"/>
      <c r="FA293" s="308"/>
      <c r="FB293" s="308"/>
      <c r="FC293" s="308"/>
      <c r="FD293" s="308"/>
      <c r="FE293" s="41"/>
      <c r="FF293" s="41"/>
      <c r="FG293" s="41"/>
      <c r="FH293" s="256"/>
      <c r="FI293" s="41"/>
      <c r="FJ293" s="41"/>
      <c r="FK293" s="41"/>
      <c r="FL293" s="276"/>
    </row>
    <row r="294" spans="1:168">
      <c r="A294" s="45">
        <v>287</v>
      </c>
      <c r="B294" s="45" t="s">
        <v>210</v>
      </c>
      <c r="C294" s="45">
        <v>4</v>
      </c>
      <c r="D294" s="29" t="s">
        <v>510</v>
      </c>
      <c r="E294" s="175">
        <v>96</v>
      </c>
      <c r="F294" s="188">
        <v>7</v>
      </c>
      <c r="G294" s="246">
        <f>43880.7222/1000</f>
        <v>43.880722199999994</v>
      </c>
      <c r="H294" s="45">
        <v>0</v>
      </c>
      <c r="I294" s="45">
        <v>43880.722200000004</v>
      </c>
      <c r="J294" s="397">
        <v>-10.290407000000002</v>
      </c>
      <c r="K294" s="495">
        <f t="shared" si="28"/>
        <v>33.590315199999992</v>
      </c>
      <c r="L294" s="578"/>
      <c r="M294" s="45">
        <f t="shared" si="30"/>
        <v>0</v>
      </c>
      <c r="N294" s="46">
        <f t="shared" si="33"/>
        <v>33.590315199999992</v>
      </c>
      <c r="O294" s="46">
        <f t="shared" si="29"/>
        <v>33</v>
      </c>
      <c r="P294" s="234"/>
      <c r="Q294" s="46"/>
      <c r="R294" s="450"/>
      <c r="S294" s="257"/>
      <c r="T294" s="46"/>
      <c r="U294" s="46"/>
      <c r="V294" s="46"/>
      <c r="W294" s="46"/>
      <c r="X294" s="196"/>
      <c r="Y294" s="46"/>
      <c r="Z294" s="46"/>
      <c r="AA294" s="46"/>
      <c r="AB294" s="46"/>
      <c r="AC294" s="46"/>
      <c r="AD294" s="46"/>
      <c r="AE294" s="46"/>
      <c r="AF294" s="196"/>
      <c r="AG294" s="46"/>
      <c r="AH294" s="46"/>
      <c r="AI294" s="46"/>
      <c r="AJ294" s="46"/>
      <c r="AK294" s="46"/>
      <c r="AL294" s="46"/>
      <c r="AM294" s="46"/>
      <c r="AN294" s="196"/>
      <c r="AO294" s="438"/>
      <c r="AP294" s="46"/>
      <c r="AQ294" s="368"/>
      <c r="AR294" s="257"/>
      <c r="AS294" s="196"/>
      <c r="AT294" s="46"/>
      <c r="AU294" s="46"/>
      <c r="AV294" s="196"/>
      <c r="AW294" s="257"/>
      <c r="AX294" s="196"/>
      <c r="AY294" s="191"/>
      <c r="AZ294" s="257"/>
      <c r="BA294" s="196"/>
      <c r="BB294" s="46"/>
      <c r="BC294" s="257"/>
      <c r="BD294" s="196"/>
      <c r="BE294" s="191"/>
      <c r="BF294" s="46"/>
      <c r="BG294" s="196"/>
      <c r="BH294" s="46"/>
      <c r="BI294" s="257"/>
      <c r="BJ294" s="196"/>
      <c r="BK294" s="191"/>
      <c r="BL294" s="257"/>
      <c r="BM294" s="196"/>
      <c r="BN294" s="46"/>
      <c r="BO294" s="257"/>
      <c r="BP294" s="196"/>
      <c r="BQ294" s="190"/>
      <c r="BR294" s="46"/>
      <c r="BS294" s="196"/>
      <c r="BT294" s="46"/>
      <c r="BU294" s="257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196"/>
      <c r="CI294" s="46"/>
      <c r="CJ294" s="46"/>
      <c r="CK294" s="46"/>
      <c r="CL294" s="46"/>
      <c r="CM294" s="46"/>
      <c r="CN294" s="196"/>
      <c r="CO294" s="191"/>
      <c r="CP294" s="257"/>
      <c r="CQ294" s="196"/>
      <c r="CR294" s="167"/>
      <c r="CS294" s="257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191"/>
      <c r="DN294" s="46"/>
      <c r="DO294" s="196"/>
      <c r="DP294" s="581" t="s">
        <v>531</v>
      </c>
      <c r="DQ294" s="257">
        <f>DW294+EC294+EJ294+ER294+EZ294+FH294+33000</f>
        <v>33000</v>
      </c>
      <c r="DR294" s="294"/>
      <c r="DS294" s="295"/>
      <c r="DT294" s="386">
        <f t="shared" si="32"/>
        <v>0</v>
      </c>
      <c r="DU294" s="41"/>
      <c r="DV294" s="41"/>
      <c r="DW294" s="256"/>
      <c r="DX294" s="41"/>
      <c r="DY294" s="41"/>
      <c r="DZ294" s="68"/>
      <c r="EA294" s="41"/>
      <c r="EB294" s="41"/>
      <c r="EC294" s="256"/>
      <c r="ED294" s="308"/>
      <c r="EE294" s="308"/>
      <c r="EF294" s="308"/>
      <c r="EG294" s="41"/>
      <c r="EH294" s="41"/>
      <c r="EI294" s="41"/>
      <c r="EJ294" s="69"/>
      <c r="EK294" s="308"/>
      <c r="EL294" s="308"/>
      <c r="EM294" s="308"/>
      <c r="EN294" s="308"/>
      <c r="EO294" s="41"/>
      <c r="EP294" s="41"/>
      <c r="EQ294" s="41"/>
      <c r="ER294" s="256"/>
      <c r="ES294" s="293"/>
      <c r="ET294" s="293"/>
      <c r="EU294" s="293"/>
      <c r="EV294" s="293"/>
      <c r="EW294" s="41"/>
      <c r="EX294" s="41"/>
      <c r="EY294" s="41"/>
      <c r="EZ294" s="256"/>
      <c r="FA294" s="308"/>
      <c r="FB294" s="308"/>
      <c r="FC294" s="308"/>
      <c r="FD294" s="308"/>
      <c r="FE294" s="41"/>
      <c r="FF294" s="41"/>
      <c r="FG294" s="41"/>
      <c r="FH294" s="256"/>
      <c r="FI294" s="41"/>
      <c r="FJ294" s="41"/>
      <c r="FK294" s="41"/>
      <c r="FL294" s="276"/>
    </row>
    <row r="295" spans="1:168">
      <c r="A295" s="45">
        <v>288</v>
      </c>
      <c r="B295" s="45" t="s">
        <v>210</v>
      </c>
      <c r="C295" s="45">
        <v>4</v>
      </c>
      <c r="D295" s="29" t="s">
        <v>510</v>
      </c>
      <c r="E295" s="175">
        <v>102</v>
      </c>
      <c r="F295" s="188">
        <v>7</v>
      </c>
      <c r="G295" s="246">
        <f>44415.126/1000</f>
        <v>44.415125999999994</v>
      </c>
      <c r="H295" s="45">
        <v>0</v>
      </c>
      <c r="I295" s="45">
        <v>44415.126000000004</v>
      </c>
      <c r="J295" s="397">
        <v>-10.06174</v>
      </c>
      <c r="K295" s="495">
        <f t="shared" si="28"/>
        <v>34.353385999999993</v>
      </c>
      <c r="L295" s="578"/>
      <c r="M295" s="45">
        <f t="shared" si="30"/>
        <v>0</v>
      </c>
      <c r="N295" s="46">
        <f t="shared" si="33"/>
        <v>34.353385999999993</v>
      </c>
      <c r="O295" s="46">
        <f t="shared" si="29"/>
        <v>34</v>
      </c>
      <c r="P295" s="234"/>
      <c r="Q295" s="46"/>
      <c r="R295" s="450"/>
      <c r="S295" s="257"/>
      <c r="T295" s="46"/>
      <c r="U295" s="46"/>
      <c r="V295" s="46"/>
      <c r="W295" s="46"/>
      <c r="X295" s="196"/>
      <c r="Y295" s="46"/>
      <c r="Z295" s="46"/>
      <c r="AA295" s="46"/>
      <c r="AB295" s="46"/>
      <c r="AC295" s="46"/>
      <c r="AD295" s="46"/>
      <c r="AE295" s="46"/>
      <c r="AF295" s="196"/>
      <c r="AG295" s="46"/>
      <c r="AH295" s="46"/>
      <c r="AI295" s="46"/>
      <c r="AJ295" s="46"/>
      <c r="AK295" s="46"/>
      <c r="AL295" s="46"/>
      <c r="AM295" s="46"/>
      <c r="AN295" s="196"/>
      <c r="AO295" s="438"/>
      <c r="AP295" s="46"/>
      <c r="AQ295" s="368"/>
      <c r="AR295" s="257"/>
      <c r="AS295" s="196"/>
      <c r="AT295" s="46"/>
      <c r="AU295" s="46"/>
      <c r="AV295" s="196"/>
      <c r="AW295" s="257"/>
      <c r="AX295" s="196"/>
      <c r="AY295" s="191"/>
      <c r="AZ295" s="257"/>
      <c r="BA295" s="196"/>
      <c r="BB295" s="46"/>
      <c r="BC295" s="257"/>
      <c r="BD295" s="196"/>
      <c r="BE295" s="191"/>
      <c r="BF295" s="46"/>
      <c r="BG295" s="196"/>
      <c r="BH295" s="46"/>
      <c r="BI295" s="257"/>
      <c r="BJ295" s="196"/>
      <c r="BK295" s="191"/>
      <c r="BL295" s="257"/>
      <c r="BM295" s="196"/>
      <c r="BN295" s="46"/>
      <c r="BO295" s="257"/>
      <c r="BP295" s="196"/>
      <c r="BQ295" s="190"/>
      <c r="BR295" s="46"/>
      <c r="BS295" s="196"/>
      <c r="BT295" s="46"/>
      <c r="BU295" s="257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196"/>
      <c r="CI295" s="46"/>
      <c r="CJ295" s="46"/>
      <c r="CK295" s="46"/>
      <c r="CL295" s="46"/>
      <c r="CM295" s="46"/>
      <c r="CN295" s="196"/>
      <c r="CO295" s="191"/>
      <c r="CP295" s="257"/>
      <c r="CQ295" s="196"/>
      <c r="CR295" s="167"/>
      <c r="CS295" s="257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191"/>
      <c r="DN295" s="46"/>
      <c r="DO295" s="196"/>
      <c r="DP295" s="581" t="s">
        <v>531</v>
      </c>
      <c r="DQ295" s="257">
        <f>DW295+EC295+EJ295+ER295+EZ295+FH295+34000</f>
        <v>34000</v>
      </c>
      <c r="DR295" s="294"/>
      <c r="DS295" s="295"/>
      <c r="DT295" s="386">
        <f t="shared" si="32"/>
        <v>0</v>
      </c>
      <c r="DU295" s="41"/>
      <c r="DV295" s="41"/>
      <c r="DW295" s="256"/>
      <c r="DX295" s="41"/>
      <c r="DY295" s="41"/>
      <c r="DZ295" s="68"/>
      <c r="EA295" s="41"/>
      <c r="EB295" s="41"/>
      <c r="EC295" s="256"/>
      <c r="ED295" s="308"/>
      <c r="EE295" s="308"/>
      <c r="EF295" s="308"/>
      <c r="EG295" s="41"/>
      <c r="EH295" s="41"/>
      <c r="EI295" s="41"/>
      <c r="EJ295" s="69"/>
      <c r="EK295" s="308"/>
      <c r="EL295" s="308"/>
      <c r="EM295" s="308"/>
      <c r="EN295" s="308"/>
      <c r="EO295" s="41"/>
      <c r="EP295" s="41"/>
      <c r="EQ295" s="41"/>
      <c r="ER295" s="256"/>
      <c r="ES295" s="293"/>
      <c r="ET295" s="293"/>
      <c r="EU295" s="293"/>
      <c r="EV295" s="293"/>
      <c r="EW295" s="41"/>
      <c r="EX295" s="41"/>
      <c r="EY295" s="41"/>
      <c r="EZ295" s="256"/>
      <c r="FA295" s="308"/>
      <c r="FB295" s="308"/>
      <c r="FC295" s="308"/>
      <c r="FD295" s="308"/>
      <c r="FE295" s="41"/>
      <c r="FF295" s="41"/>
      <c r="FG295" s="41"/>
      <c r="FH295" s="256"/>
      <c r="FI295" s="41"/>
      <c r="FJ295" s="41"/>
      <c r="FK295" s="41"/>
      <c r="FL295" s="276"/>
    </row>
    <row r="296" spans="1:168">
      <c r="A296" s="45">
        <v>289</v>
      </c>
      <c r="B296" s="45" t="s">
        <v>210</v>
      </c>
      <c r="C296" s="45">
        <v>4</v>
      </c>
      <c r="D296" s="29" t="s">
        <v>510</v>
      </c>
      <c r="E296" s="175">
        <v>104</v>
      </c>
      <c r="F296" s="188">
        <v>7</v>
      </c>
      <c r="G296" s="246">
        <f>42824.4642/1000</f>
        <v>42.824464200000001</v>
      </c>
      <c r="H296" s="45">
        <v>0</v>
      </c>
      <c r="I296" s="45">
        <v>42824.464200000002</v>
      </c>
      <c r="J296" s="397">
        <v>69.660973000000013</v>
      </c>
      <c r="K296" s="495">
        <f t="shared" si="28"/>
        <v>112.48543720000001</v>
      </c>
      <c r="L296" s="578"/>
      <c r="M296" s="45">
        <f t="shared" si="30"/>
        <v>0</v>
      </c>
      <c r="N296" s="46">
        <f t="shared" si="33"/>
        <v>112.48543720000001</v>
      </c>
      <c r="O296" s="46">
        <f t="shared" si="29"/>
        <v>112</v>
      </c>
      <c r="P296" s="234"/>
      <c r="Q296" s="46"/>
      <c r="R296" s="450"/>
      <c r="S296" s="257"/>
      <c r="T296" s="46"/>
      <c r="U296" s="46"/>
      <c r="V296" s="46"/>
      <c r="W296" s="46"/>
      <c r="X296" s="196"/>
      <c r="Y296" s="46"/>
      <c r="Z296" s="46"/>
      <c r="AA296" s="46"/>
      <c r="AB296" s="46"/>
      <c r="AC296" s="46"/>
      <c r="AD296" s="46"/>
      <c r="AE296" s="46"/>
      <c r="AF296" s="196"/>
      <c r="AG296" s="46"/>
      <c r="AH296" s="46"/>
      <c r="AI296" s="46"/>
      <c r="AJ296" s="46"/>
      <c r="AK296" s="46"/>
      <c r="AL296" s="46"/>
      <c r="AM296" s="46"/>
      <c r="AN296" s="196"/>
      <c r="AO296" s="438"/>
      <c r="AP296" s="46"/>
      <c r="AQ296" s="368"/>
      <c r="AR296" s="257"/>
      <c r="AS296" s="196"/>
      <c r="AT296" s="46"/>
      <c r="AU296" s="46"/>
      <c r="AV296" s="196"/>
      <c r="AW296" s="257"/>
      <c r="AX296" s="196"/>
      <c r="AY296" s="191"/>
      <c r="AZ296" s="257"/>
      <c r="BA296" s="196"/>
      <c r="BB296" s="46"/>
      <c r="BC296" s="257"/>
      <c r="BD296" s="196"/>
      <c r="BE296" s="191"/>
      <c r="BF296" s="46"/>
      <c r="BG296" s="196"/>
      <c r="BH296" s="46"/>
      <c r="BI296" s="257"/>
      <c r="BJ296" s="196"/>
      <c r="BK296" s="191"/>
      <c r="BL296" s="257"/>
      <c r="BM296" s="196"/>
      <c r="BN296" s="46"/>
      <c r="BO296" s="257"/>
      <c r="BP296" s="196"/>
      <c r="BQ296" s="190"/>
      <c r="BR296" s="46"/>
      <c r="BS296" s="196"/>
      <c r="BT296" s="46"/>
      <c r="BU296" s="257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196"/>
      <c r="CI296" s="46"/>
      <c r="CJ296" s="46"/>
      <c r="CK296" s="46"/>
      <c r="CL296" s="46"/>
      <c r="CM296" s="46"/>
      <c r="CN296" s="196"/>
      <c r="CO296" s="191"/>
      <c r="CP296" s="257"/>
      <c r="CQ296" s="196"/>
      <c r="CR296" s="167"/>
      <c r="CS296" s="257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191"/>
      <c r="DN296" s="46"/>
      <c r="DO296" s="196"/>
      <c r="DP296" s="581" t="s">
        <v>531</v>
      </c>
      <c r="DQ296" s="257">
        <f>DW296+EC296+EJ296+ER296+EZ296+FH296+112000</f>
        <v>112000</v>
      </c>
      <c r="DR296" s="294"/>
      <c r="DS296" s="295"/>
      <c r="DT296" s="386">
        <f t="shared" si="32"/>
        <v>0</v>
      </c>
      <c r="DU296" s="41"/>
      <c r="DV296" s="41"/>
      <c r="DW296" s="256"/>
      <c r="DX296" s="41"/>
      <c r="DY296" s="41"/>
      <c r="DZ296" s="68"/>
      <c r="EA296" s="41"/>
      <c r="EB296" s="41"/>
      <c r="EC296" s="256"/>
      <c r="ED296" s="308"/>
      <c r="EE296" s="308"/>
      <c r="EF296" s="308"/>
      <c r="EG296" s="41"/>
      <c r="EH296" s="41"/>
      <c r="EI296" s="41"/>
      <c r="EJ296" s="69"/>
      <c r="EK296" s="308"/>
      <c r="EL296" s="308"/>
      <c r="EM296" s="308"/>
      <c r="EN296" s="308"/>
      <c r="EO296" s="41"/>
      <c r="EP296" s="41"/>
      <c r="EQ296" s="41"/>
      <c r="ER296" s="256"/>
      <c r="ES296" s="293"/>
      <c r="ET296" s="293"/>
      <c r="EU296" s="293"/>
      <c r="EV296" s="293"/>
      <c r="EW296" s="41"/>
      <c r="EX296" s="41"/>
      <c r="EY296" s="41"/>
      <c r="EZ296" s="256"/>
      <c r="FA296" s="308"/>
      <c r="FB296" s="308"/>
      <c r="FC296" s="308"/>
      <c r="FD296" s="308"/>
      <c r="FE296" s="41"/>
      <c r="FF296" s="41"/>
      <c r="FG296" s="41"/>
      <c r="FH296" s="256"/>
      <c r="FI296" s="41"/>
      <c r="FJ296" s="41"/>
      <c r="FK296" s="41"/>
      <c r="FL296" s="276"/>
    </row>
    <row r="297" spans="1:168">
      <c r="A297" s="45">
        <v>290</v>
      </c>
      <c r="B297" s="45" t="s">
        <v>210</v>
      </c>
      <c r="C297" s="45">
        <v>4</v>
      </c>
      <c r="D297" s="29" t="s">
        <v>510</v>
      </c>
      <c r="E297" s="175">
        <v>112</v>
      </c>
      <c r="F297" s="188">
        <v>7</v>
      </c>
      <c r="G297" s="246">
        <f>44416.1718/1000</f>
        <v>44.416171799999994</v>
      </c>
      <c r="H297" s="45">
        <v>0</v>
      </c>
      <c r="I297" s="45">
        <v>44416.171800000004</v>
      </c>
      <c r="J297" s="397">
        <v>89.732337000000001</v>
      </c>
      <c r="K297" s="495">
        <f t="shared" si="28"/>
        <v>134.1485088</v>
      </c>
      <c r="L297" s="578"/>
      <c r="M297" s="45">
        <f t="shared" si="30"/>
        <v>0</v>
      </c>
      <c r="N297" s="46">
        <f t="shared" si="33"/>
        <v>134.1485088</v>
      </c>
      <c r="O297" s="46">
        <f t="shared" si="29"/>
        <v>134</v>
      </c>
      <c r="P297" s="234"/>
      <c r="Q297" s="46"/>
      <c r="R297" s="450"/>
      <c r="S297" s="257"/>
      <c r="T297" s="46"/>
      <c r="U297" s="46"/>
      <c r="V297" s="46"/>
      <c r="W297" s="46"/>
      <c r="X297" s="196"/>
      <c r="Y297" s="46"/>
      <c r="Z297" s="46"/>
      <c r="AA297" s="46"/>
      <c r="AB297" s="46"/>
      <c r="AC297" s="46"/>
      <c r="AD297" s="46"/>
      <c r="AE297" s="46"/>
      <c r="AF297" s="196"/>
      <c r="AG297" s="46"/>
      <c r="AH297" s="46"/>
      <c r="AI297" s="46"/>
      <c r="AJ297" s="46"/>
      <c r="AK297" s="46"/>
      <c r="AL297" s="46"/>
      <c r="AM297" s="46"/>
      <c r="AN297" s="196"/>
      <c r="AO297" s="438"/>
      <c r="AP297" s="46"/>
      <c r="AQ297" s="368"/>
      <c r="AR297" s="257"/>
      <c r="AS297" s="196"/>
      <c r="AT297" s="46"/>
      <c r="AU297" s="46"/>
      <c r="AV297" s="196"/>
      <c r="AW297" s="257"/>
      <c r="AX297" s="196"/>
      <c r="AY297" s="191"/>
      <c r="AZ297" s="257"/>
      <c r="BA297" s="196"/>
      <c r="BB297" s="46"/>
      <c r="BC297" s="257"/>
      <c r="BD297" s="196"/>
      <c r="BE297" s="191"/>
      <c r="BF297" s="46"/>
      <c r="BG297" s="196"/>
      <c r="BH297" s="46"/>
      <c r="BI297" s="257"/>
      <c r="BJ297" s="196"/>
      <c r="BK297" s="191"/>
      <c r="BL297" s="257"/>
      <c r="BM297" s="196"/>
      <c r="BN297" s="46"/>
      <c r="BO297" s="257"/>
      <c r="BP297" s="196"/>
      <c r="BQ297" s="190"/>
      <c r="BR297" s="46"/>
      <c r="BS297" s="196"/>
      <c r="BT297" s="46"/>
      <c r="BU297" s="257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196"/>
      <c r="CI297" s="46"/>
      <c r="CJ297" s="46"/>
      <c r="CK297" s="46"/>
      <c r="CL297" s="46"/>
      <c r="CM297" s="46"/>
      <c r="CN297" s="196"/>
      <c r="CO297" s="191"/>
      <c r="CP297" s="257"/>
      <c r="CQ297" s="196"/>
      <c r="CR297" s="167"/>
      <c r="CS297" s="257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191"/>
      <c r="DN297" s="46"/>
      <c r="DO297" s="218"/>
      <c r="DP297" s="221" t="s">
        <v>531</v>
      </c>
      <c r="DQ297" s="257">
        <f>DW297+EC297+EJ297+ER297+EZ297+FH297+134000</f>
        <v>134000</v>
      </c>
      <c r="DR297" s="294"/>
      <c r="DS297" s="295"/>
      <c r="DT297" s="386">
        <f t="shared" si="32"/>
        <v>0</v>
      </c>
      <c r="DU297" s="41"/>
      <c r="DV297" s="41"/>
      <c r="DW297" s="256"/>
      <c r="DX297" s="41"/>
      <c r="DY297" s="41"/>
      <c r="DZ297" s="68"/>
      <c r="EA297" s="41"/>
      <c r="EB297" s="41"/>
      <c r="EC297" s="256"/>
      <c r="ED297" s="308"/>
      <c r="EE297" s="308"/>
      <c r="EF297" s="308"/>
      <c r="EG297" s="41"/>
      <c r="EH297" s="41"/>
      <c r="EI297" s="41"/>
      <c r="EJ297" s="69"/>
      <c r="EK297" s="308"/>
      <c r="EL297" s="308"/>
      <c r="EM297" s="308"/>
      <c r="EN297" s="308"/>
      <c r="EO297" s="41"/>
      <c r="EP297" s="41"/>
      <c r="EQ297" s="41"/>
      <c r="ER297" s="256"/>
      <c r="ES297" s="293"/>
      <c r="ET297" s="293"/>
      <c r="EU297" s="293"/>
      <c r="EV297" s="293"/>
      <c r="EW297" s="41"/>
      <c r="EX297" s="41"/>
      <c r="EY297" s="41"/>
      <c r="EZ297" s="256"/>
      <c r="FA297" s="308"/>
      <c r="FB297" s="308"/>
      <c r="FC297" s="308"/>
      <c r="FD297" s="308"/>
      <c r="FE297" s="41"/>
      <c r="FF297" s="41"/>
      <c r="FG297" s="41"/>
      <c r="FH297" s="256"/>
      <c r="FI297" s="41"/>
      <c r="FJ297" s="41"/>
      <c r="FK297" s="41"/>
      <c r="FL297" s="276"/>
    </row>
    <row r="298" spans="1:168">
      <c r="A298" s="45">
        <v>291</v>
      </c>
      <c r="B298" s="45" t="s">
        <v>210</v>
      </c>
      <c r="C298" s="45">
        <v>4</v>
      </c>
      <c r="D298" s="29" t="s">
        <v>510</v>
      </c>
      <c r="E298" s="175">
        <v>114</v>
      </c>
      <c r="F298" s="188">
        <v>7</v>
      </c>
      <c r="G298" s="246">
        <f>43420.5702/1000</f>
        <v>43.4205702</v>
      </c>
      <c r="H298" s="45">
        <v>0</v>
      </c>
      <c r="I298" s="45">
        <v>43420.570200000002</v>
      </c>
      <c r="J298" s="397">
        <v>137.080063</v>
      </c>
      <c r="K298" s="495">
        <f t="shared" si="28"/>
        <v>180.50063319999998</v>
      </c>
      <c r="L298" s="578"/>
      <c r="M298" s="45">
        <f t="shared" si="30"/>
        <v>0</v>
      </c>
      <c r="N298" s="46">
        <f t="shared" si="33"/>
        <v>180.50063319999998</v>
      </c>
      <c r="O298" s="46">
        <f t="shared" si="29"/>
        <v>180</v>
      </c>
      <c r="P298" s="234"/>
      <c r="Q298" s="46"/>
      <c r="R298" s="450"/>
      <c r="S298" s="257"/>
      <c r="T298" s="46"/>
      <c r="U298" s="46"/>
      <c r="V298" s="46"/>
      <c r="W298" s="46"/>
      <c r="X298" s="196"/>
      <c r="Y298" s="46"/>
      <c r="Z298" s="46"/>
      <c r="AA298" s="46"/>
      <c r="AB298" s="46"/>
      <c r="AC298" s="46"/>
      <c r="AD298" s="46"/>
      <c r="AE298" s="46"/>
      <c r="AF298" s="196"/>
      <c r="AG298" s="46"/>
      <c r="AH298" s="46"/>
      <c r="AI298" s="46"/>
      <c r="AJ298" s="46"/>
      <c r="AK298" s="46"/>
      <c r="AL298" s="46"/>
      <c r="AM298" s="46"/>
      <c r="AN298" s="196"/>
      <c r="AO298" s="438"/>
      <c r="AP298" s="46"/>
      <c r="AQ298" s="368"/>
      <c r="AR298" s="257"/>
      <c r="AS298" s="196"/>
      <c r="AT298" s="46"/>
      <c r="AU298" s="46"/>
      <c r="AV298" s="196"/>
      <c r="AW298" s="257"/>
      <c r="AX298" s="196"/>
      <c r="AY298" s="191"/>
      <c r="AZ298" s="257"/>
      <c r="BA298" s="196"/>
      <c r="BB298" s="46"/>
      <c r="BC298" s="257"/>
      <c r="BD298" s="196"/>
      <c r="BE298" s="191"/>
      <c r="BF298" s="46"/>
      <c r="BG298" s="196"/>
      <c r="BH298" s="46"/>
      <c r="BI298" s="257"/>
      <c r="BJ298" s="196"/>
      <c r="BK298" s="191"/>
      <c r="BL298" s="257"/>
      <c r="BM298" s="196"/>
      <c r="BN298" s="167"/>
      <c r="BO298" s="257"/>
      <c r="BP298" s="196"/>
      <c r="BQ298" s="190"/>
      <c r="BR298" s="46"/>
      <c r="BS298" s="196"/>
      <c r="BT298" s="46"/>
      <c r="BU298" s="257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196"/>
      <c r="CI298" s="46"/>
      <c r="CJ298" s="46"/>
      <c r="CK298" s="46"/>
      <c r="CL298" s="46"/>
      <c r="CM298" s="46"/>
      <c r="CN298" s="196"/>
      <c r="CO298" s="191"/>
      <c r="CP298" s="257"/>
      <c r="CQ298" s="196"/>
      <c r="CR298" s="167"/>
      <c r="CS298" s="257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191"/>
      <c r="DN298" s="46"/>
      <c r="DO298" s="196"/>
      <c r="DP298" s="221" t="s">
        <v>531</v>
      </c>
      <c r="DQ298" s="257">
        <f>DW298+EC298+EJ298+ER298+EZ298+FH298+180000</f>
        <v>180000</v>
      </c>
      <c r="DR298" s="294"/>
      <c r="DS298" s="295"/>
      <c r="DT298" s="386">
        <f t="shared" si="32"/>
        <v>0</v>
      </c>
      <c r="DU298" s="41"/>
      <c r="DV298" s="41"/>
      <c r="DW298" s="256"/>
      <c r="DX298" s="41"/>
      <c r="DY298" s="41"/>
      <c r="DZ298" s="68"/>
      <c r="EA298" s="41"/>
      <c r="EB298" s="41"/>
      <c r="EC298" s="256"/>
      <c r="ED298" s="308"/>
      <c r="EE298" s="308"/>
      <c r="EF298" s="308"/>
      <c r="EG298" s="41"/>
      <c r="EH298" s="41"/>
      <c r="EI298" s="41"/>
      <c r="EJ298" s="69"/>
      <c r="EK298" s="308"/>
      <c r="EL298" s="308"/>
      <c r="EM298" s="308"/>
      <c r="EN298" s="308"/>
      <c r="EO298" s="41"/>
      <c r="EP298" s="41"/>
      <c r="EQ298" s="41"/>
      <c r="ER298" s="256"/>
      <c r="ES298" s="293"/>
      <c r="ET298" s="293"/>
      <c r="EU298" s="293"/>
      <c r="EV298" s="293"/>
      <c r="EW298" s="41"/>
      <c r="EX298" s="41"/>
      <c r="EY298" s="41"/>
      <c r="EZ298" s="256"/>
      <c r="FA298" s="308"/>
      <c r="FB298" s="308"/>
      <c r="FC298" s="308"/>
      <c r="FD298" s="308"/>
      <c r="FE298" s="41"/>
      <c r="FF298" s="41"/>
      <c r="FG298" s="41"/>
      <c r="FH298" s="256"/>
      <c r="FI298" s="41"/>
      <c r="FJ298" s="41"/>
      <c r="FK298" s="41"/>
      <c r="FL298" s="276"/>
    </row>
    <row r="299" spans="1:168">
      <c r="A299" s="45">
        <v>292</v>
      </c>
      <c r="B299" s="45" t="s">
        <v>210</v>
      </c>
      <c r="C299" s="45">
        <v>4</v>
      </c>
      <c r="D299" s="29" t="s">
        <v>165</v>
      </c>
      <c r="E299" s="30">
        <v>116</v>
      </c>
      <c r="F299" s="30">
        <v>7</v>
      </c>
      <c r="G299" s="246">
        <f>44749.782/1000</f>
        <v>44.749781999999996</v>
      </c>
      <c r="H299" s="45">
        <v>0</v>
      </c>
      <c r="I299" s="45">
        <v>44749.781999999992</v>
      </c>
      <c r="J299" s="397">
        <v>76.392439999999993</v>
      </c>
      <c r="K299" s="495">
        <f t="shared" si="28"/>
        <v>121.14222199999999</v>
      </c>
      <c r="L299" s="578"/>
      <c r="M299" s="45">
        <f t="shared" si="30"/>
        <v>0</v>
      </c>
      <c r="N299" s="46">
        <f t="shared" si="27"/>
        <v>121.14222199999999</v>
      </c>
      <c r="O299" s="46">
        <f t="shared" si="29"/>
        <v>121</v>
      </c>
      <c r="P299" s="234"/>
      <c r="Q299" s="46"/>
      <c r="R299" s="450"/>
      <c r="S299" s="257"/>
      <c r="T299" s="46"/>
      <c r="U299" s="46"/>
      <c r="V299" s="46"/>
      <c r="W299" s="46"/>
      <c r="X299" s="196"/>
      <c r="Y299" s="46"/>
      <c r="Z299" s="46"/>
      <c r="AA299" s="46"/>
      <c r="AB299" s="46"/>
      <c r="AC299" s="46"/>
      <c r="AD299" s="46"/>
      <c r="AE299" s="46"/>
      <c r="AF299" s="196"/>
      <c r="AG299" s="46"/>
      <c r="AH299" s="46"/>
      <c r="AI299" s="46"/>
      <c r="AJ299" s="46"/>
      <c r="AK299" s="46"/>
      <c r="AL299" s="46"/>
      <c r="AM299" s="46"/>
      <c r="AN299" s="196"/>
      <c r="AO299" s="438"/>
      <c r="AP299" s="46"/>
      <c r="AQ299" s="368"/>
      <c r="AR299" s="257"/>
      <c r="AS299" s="196"/>
      <c r="AT299" s="46"/>
      <c r="AU299" s="46"/>
      <c r="AV299" s="196"/>
      <c r="AW299" s="257"/>
      <c r="AX299" s="196"/>
      <c r="AY299" s="191"/>
      <c r="AZ299" s="257"/>
      <c r="BA299" s="196"/>
      <c r="BB299" s="46"/>
      <c r="BC299" s="257"/>
      <c r="BD299" s="196"/>
      <c r="BE299" s="191"/>
      <c r="BF299" s="46"/>
      <c r="BG299" s="196"/>
      <c r="BH299" s="46"/>
      <c r="BI299" s="257"/>
      <c r="BJ299" s="196"/>
      <c r="BK299" s="191"/>
      <c r="BL299" s="257"/>
      <c r="BM299" s="196"/>
      <c r="BN299" s="46"/>
      <c r="BO299" s="257"/>
      <c r="BP299" s="196"/>
      <c r="BQ299" s="190"/>
      <c r="BR299" s="46"/>
      <c r="BS299" s="196"/>
      <c r="BT299" s="46"/>
      <c r="BU299" s="257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196"/>
      <c r="CI299" s="46"/>
      <c r="CJ299" s="46"/>
      <c r="CK299" s="46"/>
      <c r="CL299" s="46"/>
      <c r="CM299" s="46"/>
      <c r="CN299" s="196"/>
      <c r="CO299" s="180"/>
      <c r="CP299" s="257"/>
      <c r="CQ299" s="196"/>
      <c r="CR299" s="167"/>
      <c r="CS299" s="257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191"/>
      <c r="DN299" s="46"/>
      <c r="DO299" s="196"/>
      <c r="DP299" s="581" t="s">
        <v>531</v>
      </c>
      <c r="DQ299" s="257">
        <f>DW299+EC299+EJ299+ER299+EZ299+FH299+121000</f>
        <v>121000</v>
      </c>
      <c r="DR299" s="294"/>
      <c r="DS299" s="295"/>
      <c r="DT299" s="386">
        <f t="shared" si="32"/>
        <v>0</v>
      </c>
      <c r="DU299" s="41"/>
      <c r="DV299" s="41"/>
      <c r="DW299" s="256"/>
      <c r="DX299" s="41"/>
      <c r="DY299" s="41"/>
      <c r="DZ299" s="68"/>
      <c r="EA299" s="41"/>
      <c r="EB299" s="41"/>
      <c r="EC299" s="256"/>
      <c r="ED299" s="308"/>
      <c r="EE299" s="308"/>
      <c r="EF299" s="308"/>
      <c r="EG299" s="41"/>
      <c r="EH299" s="41"/>
      <c r="EI299" s="41"/>
      <c r="EJ299" s="69"/>
      <c r="EK299" s="308"/>
      <c r="EL299" s="308"/>
      <c r="EM299" s="308"/>
      <c r="EN299" s="308"/>
      <c r="EO299" s="41"/>
      <c r="EP299" s="41"/>
      <c r="EQ299" s="41"/>
      <c r="ER299" s="256"/>
      <c r="ES299" s="293"/>
      <c r="ET299" s="293"/>
      <c r="EU299" s="293"/>
      <c r="EV299" s="293"/>
      <c r="EW299" s="41"/>
      <c r="EX299" s="41"/>
      <c r="EY299" s="41"/>
      <c r="EZ299" s="256"/>
      <c r="FA299" s="308"/>
      <c r="FB299" s="308"/>
      <c r="FC299" s="308"/>
      <c r="FD299" s="308"/>
      <c r="FE299" s="41"/>
      <c r="FF299" s="41"/>
      <c r="FG299" s="41"/>
      <c r="FH299" s="256"/>
      <c r="FI299" s="41"/>
      <c r="FJ299" s="41"/>
      <c r="FK299" s="41"/>
      <c r="FL299" s="276"/>
    </row>
    <row r="300" spans="1:168">
      <c r="A300" s="45">
        <v>293</v>
      </c>
      <c r="B300" s="45" t="s">
        <v>210</v>
      </c>
      <c r="C300" s="45">
        <v>4</v>
      </c>
      <c r="D300" s="29" t="s">
        <v>165</v>
      </c>
      <c r="E300" s="30">
        <v>117</v>
      </c>
      <c r="F300" s="30">
        <v>7</v>
      </c>
      <c r="G300" s="246">
        <f>44049.096/1000</f>
        <v>44.049095999999999</v>
      </c>
      <c r="H300" s="45">
        <v>0</v>
      </c>
      <c r="I300" s="45">
        <v>44049.096000000005</v>
      </c>
      <c r="J300" s="397">
        <v>152.93815000000001</v>
      </c>
      <c r="K300" s="495">
        <f t="shared" si="28"/>
        <v>196.987246</v>
      </c>
      <c r="L300" s="578"/>
      <c r="M300" s="45">
        <f t="shared" si="30"/>
        <v>0</v>
      </c>
      <c r="N300" s="46">
        <f t="shared" si="27"/>
        <v>196.987246</v>
      </c>
      <c r="O300" s="46">
        <f t="shared" si="29"/>
        <v>196</v>
      </c>
      <c r="P300" s="234"/>
      <c r="Q300" s="46"/>
      <c r="R300" s="450"/>
      <c r="S300" s="257"/>
      <c r="T300" s="46"/>
      <c r="U300" s="46"/>
      <c r="V300" s="46"/>
      <c r="W300" s="46"/>
      <c r="X300" s="196"/>
      <c r="Y300" s="46"/>
      <c r="Z300" s="46"/>
      <c r="AA300" s="46"/>
      <c r="AB300" s="46"/>
      <c r="AC300" s="46"/>
      <c r="AD300" s="46"/>
      <c r="AE300" s="46"/>
      <c r="AF300" s="196"/>
      <c r="AG300" s="46"/>
      <c r="AH300" s="46"/>
      <c r="AI300" s="46"/>
      <c r="AJ300" s="46"/>
      <c r="AK300" s="46"/>
      <c r="AL300" s="46"/>
      <c r="AM300" s="46"/>
      <c r="AN300" s="196"/>
      <c r="AO300" s="438"/>
      <c r="AP300" s="46"/>
      <c r="AQ300" s="368"/>
      <c r="AR300" s="257"/>
      <c r="AS300" s="196"/>
      <c r="AT300" s="46"/>
      <c r="AU300" s="46"/>
      <c r="AV300" s="196"/>
      <c r="AW300" s="257"/>
      <c r="AX300" s="196"/>
      <c r="AY300" s="191"/>
      <c r="AZ300" s="257"/>
      <c r="BA300" s="196"/>
      <c r="BB300" s="46"/>
      <c r="BC300" s="257"/>
      <c r="BD300" s="196"/>
      <c r="BE300" s="191"/>
      <c r="BF300" s="46"/>
      <c r="BG300" s="196"/>
      <c r="BH300" s="46"/>
      <c r="BI300" s="257"/>
      <c r="BJ300" s="196"/>
      <c r="BK300" s="191"/>
      <c r="BL300" s="257"/>
      <c r="BM300" s="196"/>
      <c r="BN300" s="46"/>
      <c r="BO300" s="257"/>
      <c r="BP300" s="196"/>
      <c r="BQ300" s="190"/>
      <c r="BR300" s="46"/>
      <c r="BS300" s="196"/>
      <c r="BT300" s="46"/>
      <c r="BU300" s="257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196"/>
      <c r="CI300" s="46"/>
      <c r="CJ300" s="46"/>
      <c r="CK300" s="46"/>
      <c r="CL300" s="46"/>
      <c r="CM300" s="46"/>
      <c r="CN300" s="196"/>
      <c r="CO300" s="191"/>
      <c r="CP300" s="257"/>
      <c r="CQ300" s="196"/>
      <c r="CR300" s="167"/>
      <c r="CS300" s="257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191"/>
      <c r="DN300" s="46"/>
      <c r="DO300" s="196"/>
      <c r="DP300" s="581" t="s">
        <v>531</v>
      </c>
      <c r="DQ300" s="257">
        <f>DW300+EC300+EJ300+ER300+EZ300+FH300+196000</f>
        <v>196000</v>
      </c>
      <c r="DR300" s="294"/>
      <c r="DS300" s="295"/>
      <c r="DT300" s="386">
        <f t="shared" si="32"/>
        <v>0</v>
      </c>
      <c r="DU300" s="41"/>
      <c r="DV300" s="41"/>
      <c r="DW300" s="256"/>
      <c r="DX300" s="41"/>
      <c r="DY300" s="41"/>
      <c r="DZ300" s="68"/>
      <c r="EA300" s="41"/>
      <c r="EB300" s="41"/>
      <c r="EC300" s="256"/>
      <c r="ED300" s="308"/>
      <c r="EE300" s="308"/>
      <c r="EF300" s="308"/>
      <c r="EG300" s="41"/>
      <c r="EH300" s="41"/>
      <c r="EI300" s="41"/>
      <c r="EJ300" s="69"/>
      <c r="EK300" s="308"/>
      <c r="EL300" s="308"/>
      <c r="EM300" s="308"/>
      <c r="EN300" s="308"/>
      <c r="EO300" s="41"/>
      <c r="EP300" s="41"/>
      <c r="EQ300" s="41"/>
      <c r="ER300" s="256"/>
      <c r="ES300" s="293"/>
      <c r="ET300" s="293"/>
      <c r="EU300" s="293"/>
      <c r="EV300" s="293"/>
      <c r="EW300" s="41"/>
      <c r="EX300" s="41"/>
      <c r="EY300" s="41"/>
      <c r="EZ300" s="256"/>
      <c r="FA300" s="308"/>
      <c r="FB300" s="308"/>
      <c r="FC300" s="308"/>
      <c r="FD300" s="308"/>
      <c r="FE300" s="41"/>
      <c r="FF300" s="41"/>
      <c r="FG300" s="41"/>
      <c r="FH300" s="256"/>
      <c r="FI300" s="41"/>
      <c r="FJ300" s="41"/>
      <c r="FK300" s="41"/>
      <c r="FL300" s="276"/>
    </row>
    <row r="301" spans="1:168">
      <c r="A301" s="45">
        <v>294</v>
      </c>
      <c r="B301" s="45" t="s">
        <v>210</v>
      </c>
      <c r="C301" s="45">
        <v>4</v>
      </c>
      <c r="D301" s="29" t="s">
        <v>165</v>
      </c>
      <c r="E301" s="30">
        <v>118</v>
      </c>
      <c r="F301" s="30">
        <v>7</v>
      </c>
      <c r="G301" s="246">
        <f>44791.614/1000</f>
        <v>44.791614000000003</v>
      </c>
      <c r="H301" s="45">
        <v>0</v>
      </c>
      <c r="I301" s="45">
        <v>44791.614000000001</v>
      </c>
      <c r="J301" s="397">
        <v>182.27564999999998</v>
      </c>
      <c r="K301" s="495">
        <f t="shared" si="28"/>
        <v>227.06726399999999</v>
      </c>
      <c r="L301" s="578"/>
      <c r="M301" s="45">
        <f t="shared" si="30"/>
        <v>0</v>
      </c>
      <c r="N301" s="46">
        <f t="shared" si="27"/>
        <v>227.06726399999999</v>
      </c>
      <c r="O301" s="46">
        <f t="shared" si="29"/>
        <v>227</v>
      </c>
      <c r="P301" s="234"/>
      <c r="Q301" s="46"/>
      <c r="R301" s="450"/>
      <c r="S301" s="257"/>
      <c r="T301" s="46"/>
      <c r="U301" s="46"/>
      <c r="V301" s="46"/>
      <c r="W301" s="46"/>
      <c r="X301" s="196"/>
      <c r="Y301" s="46"/>
      <c r="Z301" s="46"/>
      <c r="AA301" s="46"/>
      <c r="AB301" s="46"/>
      <c r="AC301" s="46"/>
      <c r="AD301" s="46"/>
      <c r="AE301" s="46"/>
      <c r="AF301" s="196"/>
      <c r="AG301" s="46"/>
      <c r="AH301" s="46"/>
      <c r="AI301" s="46"/>
      <c r="AJ301" s="46"/>
      <c r="AK301" s="46"/>
      <c r="AL301" s="46"/>
      <c r="AM301" s="46"/>
      <c r="AN301" s="196"/>
      <c r="AO301" s="438"/>
      <c r="AP301" s="46"/>
      <c r="AQ301" s="368"/>
      <c r="AR301" s="257"/>
      <c r="AS301" s="196"/>
      <c r="AT301" s="46"/>
      <c r="AU301" s="46"/>
      <c r="AV301" s="196"/>
      <c r="AW301" s="257"/>
      <c r="AX301" s="196"/>
      <c r="AY301" s="191"/>
      <c r="AZ301" s="257"/>
      <c r="BA301" s="196"/>
      <c r="BB301" s="46"/>
      <c r="BC301" s="257"/>
      <c r="BD301" s="196"/>
      <c r="BE301" s="191"/>
      <c r="BF301" s="46"/>
      <c r="BG301" s="196"/>
      <c r="BH301" s="46"/>
      <c r="BI301" s="257"/>
      <c r="BJ301" s="196"/>
      <c r="BK301" s="191"/>
      <c r="BL301" s="257"/>
      <c r="BM301" s="196"/>
      <c r="BN301" s="46"/>
      <c r="BO301" s="257"/>
      <c r="BP301" s="196"/>
      <c r="BQ301" s="190"/>
      <c r="BR301" s="46"/>
      <c r="BS301" s="196"/>
      <c r="BT301" s="46"/>
      <c r="BU301" s="257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196"/>
      <c r="CI301" s="46"/>
      <c r="CJ301" s="46"/>
      <c r="CK301" s="46"/>
      <c r="CL301" s="46"/>
      <c r="CM301" s="46"/>
      <c r="CN301" s="196"/>
      <c r="CO301" s="191"/>
      <c r="CP301" s="257"/>
      <c r="CQ301" s="196"/>
      <c r="CR301" s="167"/>
      <c r="CS301" s="257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191"/>
      <c r="DN301" s="46"/>
      <c r="DO301" s="196"/>
      <c r="DP301" s="581" t="s">
        <v>531</v>
      </c>
      <c r="DQ301" s="257">
        <f>DW301+EC301+EJ301+ER301+EZ301+FH301+227000</f>
        <v>227000</v>
      </c>
      <c r="DR301" s="294"/>
      <c r="DS301" s="295"/>
      <c r="DT301" s="386">
        <f t="shared" si="32"/>
        <v>0</v>
      </c>
      <c r="DU301" s="41"/>
      <c r="DV301" s="41"/>
      <c r="DW301" s="256"/>
      <c r="DX301" s="41"/>
      <c r="DY301" s="41"/>
      <c r="DZ301" s="68"/>
      <c r="EA301" s="41"/>
      <c r="EB301" s="41"/>
      <c r="EC301" s="256"/>
      <c r="ED301" s="308"/>
      <c r="EE301" s="308"/>
      <c r="EF301" s="308"/>
      <c r="EG301" s="41"/>
      <c r="EH301" s="41"/>
      <c r="EI301" s="41"/>
      <c r="EJ301" s="69"/>
      <c r="EK301" s="308"/>
      <c r="EL301" s="308"/>
      <c r="EM301" s="308"/>
      <c r="EN301" s="308"/>
      <c r="EO301" s="41"/>
      <c r="EP301" s="41"/>
      <c r="EQ301" s="41"/>
      <c r="ER301" s="256"/>
      <c r="ES301" s="293"/>
      <c r="ET301" s="293"/>
      <c r="EU301" s="293"/>
      <c r="EV301" s="293"/>
      <c r="EW301" s="41"/>
      <c r="EX301" s="41"/>
      <c r="EY301" s="41"/>
      <c r="EZ301" s="256"/>
      <c r="FA301" s="308"/>
      <c r="FB301" s="308"/>
      <c r="FC301" s="308"/>
      <c r="FD301" s="308"/>
      <c r="FE301" s="41"/>
      <c r="FF301" s="41"/>
      <c r="FG301" s="41"/>
      <c r="FH301" s="256"/>
      <c r="FI301" s="41"/>
      <c r="FJ301" s="41"/>
      <c r="FK301" s="41"/>
      <c r="FL301" s="276"/>
    </row>
    <row r="302" spans="1:168">
      <c r="A302" s="45">
        <v>295</v>
      </c>
      <c r="B302" s="45" t="s">
        <v>210</v>
      </c>
      <c r="C302" s="45">
        <v>4</v>
      </c>
      <c r="D302" s="29" t="s">
        <v>510</v>
      </c>
      <c r="E302" s="175">
        <v>119</v>
      </c>
      <c r="F302" s="188">
        <v>7</v>
      </c>
      <c r="G302" s="246">
        <f>44101.386/1000</f>
        <v>44.101385999999998</v>
      </c>
      <c r="H302" s="45">
        <v>0</v>
      </c>
      <c r="I302" s="45">
        <v>44101.385999999999</v>
      </c>
      <c r="J302" s="397">
        <v>132.75911999999997</v>
      </c>
      <c r="K302" s="495">
        <f t="shared" si="28"/>
        <v>176.86050599999996</v>
      </c>
      <c r="L302" s="578"/>
      <c r="M302" s="45">
        <f t="shared" si="30"/>
        <v>0</v>
      </c>
      <c r="N302" s="46">
        <f>K302-M302</f>
        <v>176.86050599999996</v>
      </c>
      <c r="O302" s="46">
        <f t="shared" si="29"/>
        <v>176</v>
      </c>
      <c r="P302" s="234"/>
      <c r="Q302" s="46"/>
      <c r="R302" s="450"/>
      <c r="S302" s="257"/>
      <c r="T302" s="46"/>
      <c r="U302" s="46"/>
      <c r="V302" s="46"/>
      <c r="W302" s="46"/>
      <c r="X302" s="196"/>
      <c r="Y302" s="46"/>
      <c r="Z302" s="46"/>
      <c r="AA302" s="46"/>
      <c r="AB302" s="46"/>
      <c r="AC302" s="46"/>
      <c r="AD302" s="46"/>
      <c r="AE302" s="46"/>
      <c r="AF302" s="196"/>
      <c r="AG302" s="46"/>
      <c r="AH302" s="46"/>
      <c r="AI302" s="46"/>
      <c r="AJ302" s="46"/>
      <c r="AK302" s="46"/>
      <c r="AL302" s="46"/>
      <c r="AM302" s="46"/>
      <c r="AN302" s="196"/>
      <c r="AO302" s="438"/>
      <c r="AP302" s="46"/>
      <c r="AQ302" s="368"/>
      <c r="AR302" s="257"/>
      <c r="AS302" s="196"/>
      <c r="AT302" s="46"/>
      <c r="AU302" s="46"/>
      <c r="AV302" s="196"/>
      <c r="AW302" s="257"/>
      <c r="AX302" s="196"/>
      <c r="AY302" s="191"/>
      <c r="AZ302" s="257"/>
      <c r="BA302" s="196"/>
      <c r="BB302" s="46"/>
      <c r="BC302" s="257"/>
      <c r="BD302" s="196"/>
      <c r="BE302" s="191"/>
      <c r="BF302" s="46"/>
      <c r="BG302" s="196"/>
      <c r="BH302" s="46"/>
      <c r="BI302" s="257"/>
      <c r="BJ302" s="196"/>
      <c r="BK302" s="191"/>
      <c r="BL302" s="257"/>
      <c r="BM302" s="196"/>
      <c r="BN302" s="167"/>
      <c r="BO302" s="257"/>
      <c r="BP302" s="196"/>
      <c r="BQ302" s="190"/>
      <c r="BR302" s="46"/>
      <c r="BS302" s="196"/>
      <c r="BT302" s="46"/>
      <c r="BU302" s="257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196"/>
      <c r="CI302" s="46"/>
      <c r="CJ302" s="46"/>
      <c r="CK302" s="46"/>
      <c r="CL302" s="46"/>
      <c r="CM302" s="46"/>
      <c r="CN302" s="196"/>
      <c r="CO302" s="191"/>
      <c r="CP302" s="257"/>
      <c r="CQ302" s="196"/>
      <c r="CR302" s="167"/>
      <c r="CS302" s="257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191"/>
      <c r="DN302" s="46"/>
      <c r="DO302" s="196"/>
      <c r="DP302" s="581" t="s">
        <v>531</v>
      </c>
      <c r="DQ302" s="257">
        <f>DW302+EC302+EJ302+ER302+EZ302+FH302+176000</f>
        <v>176000</v>
      </c>
      <c r="DR302" s="294"/>
      <c r="DS302" s="295"/>
      <c r="DT302" s="386">
        <f t="shared" si="32"/>
        <v>0</v>
      </c>
      <c r="DU302" s="41"/>
      <c r="DV302" s="41"/>
      <c r="DW302" s="256"/>
      <c r="DX302" s="41"/>
      <c r="DY302" s="41"/>
      <c r="DZ302" s="68"/>
      <c r="EA302" s="41"/>
      <c r="EB302" s="41"/>
      <c r="EC302" s="256"/>
      <c r="ED302" s="308"/>
      <c r="EE302" s="308"/>
      <c r="EF302" s="308"/>
      <c r="EG302" s="41"/>
      <c r="EH302" s="41"/>
      <c r="EI302" s="41"/>
      <c r="EJ302" s="69"/>
      <c r="EK302" s="308"/>
      <c r="EL302" s="308"/>
      <c r="EM302" s="308"/>
      <c r="EN302" s="308"/>
      <c r="EO302" s="41"/>
      <c r="EP302" s="41"/>
      <c r="EQ302" s="41"/>
      <c r="ER302" s="256"/>
      <c r="ES302" s="293"/>
      <c r="ET302" s="293"/>
      <c r="EU302" s="293"/>
      <c r="EV302" s="293"/>
      <c r="EW302" s="41"/>
      <c r="EX302" s="41"/>
      <c r="EY302" s="41"/>
      <c r="EZ302" s="256"/>
      <c r="FA302" s="308"/>
      <c r="FB302" s="308"/>
      <c r="FC302" s="308"/>
      <c r="FD302" s="308"/>
      <c r="FE302" s="41"/>
      <c r="FF302" s="41"/>
      <c r="FG302" s="41"/>
      <c r="FH302" s="256"/>
      <c r="FI302" s="41"/>
      <c r="FJ302" s="41"/>
      <c r="FK302" s="41"/>
      <c r="FL302" s="276"/>
    </row>
    <row r="303" spans="1:168">
      <c r="A303" s="45">
        <v>296</v>
      </c>
      <c r="B303" s="45" t="s">
        <v>210</v>
      </c>
      <c r="C303" s="45">
        <v>5</v>
      </c>
      <c r="D303" s="29" t="s">
        <v>173</v>
      </c>
      <c r="E303" s="30">
        <v>141</v>
      </c>
      <c r="F303" s="30">
        <v>5</v>
      </c>
      <c r="G303" s="246">
        <f>42752.556/1000</f>
        <v>42.752555999999998</v>
      </c>
      <c r="H303" s="45">
        <v>42752.555999999997</v>
      </c>
      <c r="I303" s="45">
        <v>0</v>
      </c>
      <c r="J303" s="397">
        <v>37.473829999999992</v>
      </c>
      <c r="K303" s="495">
        <f t="shared" si="28"/>
        <v>80.226385999999991</v>
      </c>
      <c r="L303" s="578"/>
      <c r="M303" s="45">
        <f t="shared" si="30"/>
        <v>0</v>
      </c>
      <c r="N303" s="46">
        <f t="shared" si="27"/>
        <v>80.226385999999991</v>
      </c>
      <c r="O303" s="46">
        <f t="shared" si="29"/>
        <v>76.8</v>
      </c>
      <c r="P303" s="234"/>
      <c r="Q303" s="46"/>
      <c r="R303" s="450"/>
      <c r="S303" s="257"/>
      <c r="T303" s="46"/>
      <c r="U303" s="46"/>
      <c r="V303" s="46"/>
      <c r="W303" s="46"/>
      <c r="X303" s="196"/>
      <c r="Y303" s="46"/>
      <c r="Z303" s="46"/>
      <c r="AA303" s="46"/>
      <c r="AB303" s="46"/>
      <c r="AC303" s="46"/>
      <c r="AD303" s="46"/>
      <c r="AE303" s="46"/>
      <c r="AF303" s="196"/>
      <c r="AG303" s="46"/>
      <c r="AH303" s="46"/>
      <c r="AI303" s="46"/>
      <c r="AJ303" s="46"/>
      <c r="AK303" s="46"/>
      <c r="AL303" s="46"/>
      <c r="AM303" s="46"/>
      <c r="AN303" s="196"/>
      <c r="AO303" s="438"/>
      <c r="AP303" s="46"/>
      <c r="AQ303" s="368"/>
      <c r="AR303" s="257"/>
      <c r="AS303" s="196"/>
      <c r="AT303" s="46"/>
      <c r="AU303" s="46"/>
      <c r="AV303" s="196"/>
      <c r="AW303" s="257"/>
      <c r="AX303" s="196"/>
      <c r="AY303" s="191"/>
      <c r="AZ303" s="257"/>
      <c r="BA303" s="196"/>
      <c r="BB303" s="46"/>
      <c r="BC303" s="257"/>
      <c r="BD303" s="196"/>
      <c r="BE303" s="191"/>
      <c r="BF303" s="46"/>
      <c r="BG303" s="196"/>
      <c r="BH303" s="46"/>
      <c r="BI303" s="257"/>
      <c r="BJ303" s="196"/>
      <c r="BK303" s="191"/>
      <c r="BL303" s="257"/>
      <c r="BM303" s="196"/>
      <c r="BN303" s="46"/>
      <c r="BO303" s="257"/>
      <c r="BP303" s="196"/>
      <c r="BQ303" s="190"/>
      <c r="BR303" s="46"/>
      <c r="BS303" s="196"/>
      <c r="BT303" s="46"/>
      <c r="BU303" s="257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196"/>
      <c r="CI303" s="46"/>
      <c r="CJ303" s="46"/>
      <c r="CK303" s="46"/>
      <c r="CL303" s="46"/>
      <c r="CM303" s="46"/>
      <c r="CN303" s="196"/>
      <c r="CO303" s="191"/>
      <c r="CP303" s="257"/>
      <c r="CQ303" s="196"/>
      <c r="CR303" s="167"/>
      <c r="CS303" s="257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191"/>
      <c r="DN303" s="46"/>
      <c r="DO303" s="196"/>
      <c r="DP303" s="581" t="s">
        <v>851</v>
      </c>
      <c r="DQ303" s="257">
        <f t="shared" si="31"/>
        <v>76800</v>
      </c>
      <c r="DR303" s="294"/>
      <c r="DS303" s="295"/>
      <c r="DT303" s="386">
        <f t="shared" si="32"/>
        <v>0</v>
      </c>
      <c r="DU303" s="41"/>
      <c r="DV303" s="41"/>
      <c r="DW303" s="256"/>
      <c r="DX303" s="41"/>
      <c r="DY303" s="41"/>
      <c r="DZ303" s="68"/>
      <c r="EA303" s="41">
        <v>5</v>
      </c>
      <c r="EB303" s="41">
        <v>96</v>
      </c>
      <c r="EC303" s="256">
        <f>EB303*800</f>
        <v>76800</v>
      </c>
      <c r="ED303" s="308"/>
      <c r="EE303" s="308"/>
      <c r="EF303" s="308"/>
      <c r="EG303" s="41"/>
      <c r="EH303" s="41"/>
      <c r="EI303" s="41"/>
      <c r="EJ303" s="69"/>
      <c r="EK303" s="308"/>
      <c r="EL303" s="308"/>
      <c r="EM303" s="308"/>
      <c r="EN303" s="308"/>
      <c r="EO303" s="41"/>
      <c r="EP303" s="41"/>
      <c r="EQ303" s="41"/>
      <c r="ER303" s="256"/>
      <c r="ES303" s="293"/>
      <c r="ET303" s="293"/>
      <c r="EU303" s="293"/>
      <c r="EV303" s="293"/>
      <c r="EW303" s="41"/>
      <c r="EX303" s="41"/>
      <c r="EY303" s="41"/>
      <c r="EZ303" s="256"/>
      <c r="FA303" s="308"/>
      <c r="FB303" s="308"/>
      <c r="FC303" s="308"/>
      <c r="FD303" s="308"/>
      <c r="FE303" s="46"/>
      <c r="FF303" s="41"/>
      <c r="FG303" s="41"/>
      <c r="FH303" s="256"/>
      <c r="FI303" s="41"/>
      <c r="FJ303" s="41"/>
      <c r="FK303" s="41"/>
      <c r="FL303" s="276"/>
    </row>
    <row r="304" spans="1:168" ht="20.25">
      <c r="A304" s="45">
        <v>297</v>
      </c>
      <c r="B304" s="45" t="s">
        <v>210</v>
      </c>
      <c r="C304" s="45">
        <v>5</v>
      </c>
      <c r="D304" s="29" t="s">
        <v>511</v>
      </c>
      <c r="E304" s="175">
        <v>181</v>
      </c>
      <c r="F304" s="188">
        <v>7</v>
      </c>
      <c r="G304" s="246">
        <f>42009.786/1000</f>
        <v>42.009785999999998</v>
      </c>
      <c r="H304" s="45">
        <v>0</v>
      </c>
      <c r="I304" s="45">
        <v>42009.786000000007</v>
      </c>
      <c r="J304" s="397">
        <v>22.259899999999988</v>
      </c>
      <c r="K304" s="495">
        <f t="shared" si="28"/>
        <v>64.269685999999979</v>
      </c>
      <c r="L304" s="578"/>
      <c r="M304" s="45">
        <f t="shared" si="30"/>
        <v>0</v>
      </c>
      <c r="N304" s="46">
        <f>K304-M304</f>
        <v>64.269685999999979</v>
      </c>
      <c r="O304" s="46">
        <f t="shared" si="29"/>
        <v>59.6</v>
      </c>
      <c r="P304" s="234"/>
      <c r="Q304" s="46"/>
      <c r="R304" s="450"/>
      <c r="S304" s="257"/>
      <c r="T304" s="46"/>
      <c r="U304" s="46"/>
      <c r="V304" s="46"/>
      <c r="W304" s="46"/>
      <c r="X304" s="196"/>
      <c r="Y304" s="46"/>
      <c r="Z304" s="46"/>
      <c r="AA304" s="46"/>
      <c r="AB304" s="46"/>
      <c r="AC304" s="46"/>
      <c r="AD304" s="46"/>
      <c r="AE304" s="46"/>
      <c r="AF304" s="196"/>
      <c r="AG304" s="46"/>
      <c r="AH304" s="46"/>
      <c r="AI304" s="46"/>
      <c r="AJ304" s="46"/>
      <c r="AK304" s="46"/>
      <c r="AL304" s="46"/>
      <c r="AM304" s="46"/>
      <c r="AN304" s="196"/>
      <c r="AO304" s="438"/>
      <c r="AP304" s="46"/>
      <c r="AQ304" s="368"/>
      <c r="AR304" s="257"/>
      <c r="AS304" s="196"/>
      <c r="AT304" s="46"/>
      <c r="AU304" s="46"/>
      <c r="AV304" s="196"/>
      <c r="AW304" s="257"/>
      <c r="AX304" s="196"/>
      <c r="AY304" s="191"/>
      <c r="AZ304" s="257"/>
      <c r="BA304" s="196"/>
      <c r="BB304" s="46"/>
      <c r="BC304" s="257"/>
      <c r="BD304" s="196"/>
      <c r="BE304" s="191"/>
      <c r="BF304" s="46"/>
      <c r="BG304" s="196"/>
      <c r="BH304" s="46"/>
      <c r="BI304" s="257"/>
      <c r="BJ304" s="196"/>
      <c r="BK304" s="191"/>
      <c r="BL304" s="257"/>
      <c r="BM304" s="196"/>
      <c r="BN304" s="46"/>
      <c r="BO304" s="257"/>
      <c r="BP304" s="196"/>
      <c r="BQ304" s="190"/>
      <c r="BR304" s="46"/>
      <c r="BS304" s="196"/>
      <c r="BT304" s="46"/>
      <c r="BU304" s="257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196"/>
      <c r="CI304" s="46"/>
      <c r="CJ304" s="46"/>
      <c r="CK304" s="46"/>
      <c r="CL304" s="46"/>
      <c r="CM304" s="46"/>
      <c r="CN304" s="196"/>
      <c r="CO304" s="191"/>
      <c r="CP304" s="257"/>
      <c r="CQ304" s="196"/>
      <c r="CR304" s="167"/>
      <c r="CS304" s="257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191"/>
      <c r="DN304" s="46"/>
      <c r="DO304" s="196"/>
      <c r="DP304" s="221" t="s">
        <v>962</v>
      </c>
      <c r="DQ304" s="257">
        <f>DW304+EC304+EJ304+ER304+EZ304+FH304+10000</f>
        <v>59600</v>
      </c>
      <c r="DR304" s="294"/>
      <c r="DS304" s="295"/>
      <c r="DT304" s="386">
        <f t="shared" si="32"/>
        <v>0</v>
      </c>
      <c r="DU304" s="41"/>
      <c r="DV304" s="41"/>
      <c r="DW304" s="256"/>
      <c r="DX304" s="41"/>
      <c r="DY304" s="41"/>
      <c r="DZ304" s="68"/>
      <c r="EA304" s="41">
        <v>5</v>
      </c>
      <c r="EB304" s="41">
        <v>62</v>
      </c>
      <c r="EC304" s="256">
        <f>EB304*800</f>
        <v>49600</v>
      </c>
      <c r="ED304" s="308"/>
      <c r="EE304" s="308"/>
      <c r="EF304" s="308"/>
      <c r="EG304" s="41"/>
      <c r="EH304" s="41"/>
      <c r="EI304" s="41"/>
      <c r="EJ304" s="69"/>
      <c r="EK304" s="308"/>
      <c r="EL304" s="308"/>
      <c r="EM304" s="308"/>
      <c r="EN304" s="308"/>
      <c r="EO304" s="41"/>
      <c r="EP304" s="41"/>
      <c r="EQ304" s="41"/>
      <c r="ER304" s="256"/>
      <c r="ES304" s="293"/>
      <c r="ET304" s="293"/>
      <c r="EU304" s="293"/>
      <c r="EV304" s="293"/>
      <c r="EW304" s="41"/>
      <c r="EX304" s="41"/>
      <c r="EY304" s="41"/>
      <c r="EZ304" s="256"/>
      <c r="FA304" s="308"/>
      <c r="FB304" s="308"/>
      <c r="FC304" s="308"/>
      <c r="FD304" s="308"/>
      <c r="FE304" s="46"/>
      <c r="FF304" s="41"/>
      <c r="FG304" s="41"/>
      <c r="FH304" s="256"/>
      <c r="FI304" s="41"/>
      <c r="FJ304" s="41"/>
      <c r="FK304" s="41"/>
      <c r="FL304" s="276"/>
    </row>
    <row r="305" spans="1:168">
      <c r="A305" s="45">
        <v>298</v>
      </c>
      <c r="B305" s="45" t="s">
        <v>210</v>
      </c>
      <c r="C305" s="45">
        <v>5</v>
      </c>
      <c r="D305" s="29" t="s">
        <v>173</v>
      </c>
      <c r="E305" s="30">
        <v>183</v>
      </c>
      <c r="F305" s="30">
        <v>7</v>
      </c>
      <c r="G305" s="246">
        <f>44322.0498/1000</f>
        <v>44.322049800000002</v>
      </c>
      <c r="H305" s="582">
        <v>0</v>
      </c>
      <c r="I305" s="583">
        <v>44322.049799999993</v>
      </c>
      <c r="J305" s="397">
        <v>125.58219700000001</v>
      </c>
      <c r="K305" s="495">
        <f t="shared" si="28"/>
        <v>169.90424680000001</v>
      </c>
      <c r="L305" s="578"/>
      <c r="M305" s="45">
        <f t="shared" si="30"/>
        <v>0</v>
      </c>
      <c r="N305" s="46">
        <f t="shared" si="27"/>
        <v>169.90424680000001</v>
      </c>
      <c r="O305" s="46">
        <f t="shared" si="29"/>
        <v>130</v>
      </c>
      <c r="P305" s="234" t="s">
        <v>228</v>
      </c>
      <c r="Q305" s="46">
        <v>1</v>
      </c>
      <c r="R305" s="450" t="s">
        <v>523</v>
      </c>
      <c r="S305" s="257">
        <v>90000</v>
      </c>
      <c r="T305" s="46"/>
      <c r="U305" s="46"/>
      <c r="V305" s="46"/>
      <c r="W305" s="46"/>
      <c r="X305" s="196"/>
      <c r="Y305" s="46"/>
      <c r="Z305" s="46"/>
      <c r="AA305" s="46"/>
      <c r="AB305" s="46"/>
      <c r="AC305" s="46"/>
      <c r="AD305" s="46"/>
      <c r="AE305" s="46"/>
      <c r="AF305" s="196"/>
      <c r="AG305" s="46"/>
      <c r="AH305" s="46"/>
      <c r="AI305" s="46"/>
      <c r="AJ305" s="46"/>
      <c r="AK305" s="46"/>
      <c r="AL305" s="46"/>
      <c r="AM305" s="46"/>
      <c r="AN305" s="196"/>
      <c r="AO305" s="438"/>
      <c r="AP305" s="46"/>
      <c r="AQ305" s="368"/>
      <c r="AR305" s="257"/>
      <c r="AS305" s="196"/>
      <c r="AT305" s="46"/>
      <c r="AU305" s="46"/>
      <c r="AV305" s="196"/>
      <c r="AW305" s="257"/>
      <c r="AX305" s="196"/>
      <c r="AY305" s="191"/>
      <c r="AZ305" s="257"/>
      <c r="BA305" s="196"/>
      <c r="BB305" s="46"/>
      <c r="BC305" s="257"/>
      <c r="BD305" s="196"/>
      <c r="BE305" s="191"/>
      <c r="BF305" s="46"/>
      <c r="BG305" s="196"/>
      <c r="BH305" s="46"/>
      <c r="BI305" s="257"/>
      <c r="BJ305" s="196"/>
      <c r="BK305" s="191"/>
      <c r="BL305" s="257"/>
      <c r="BM305" s="196"/>
      <c r="BN305" s="167"/>
      <c r="BO305" s="257"/>
      <c r="BP305" s="196"/>
      <c r="BQ305" s="190"/>
      <c r="BR305" s="46"/>
      <c r="BS305" s="196"/>
      <c r="BT305" s="46"/>
      <c r="BU305" s="257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196"/>
      <c r="CI305" s="46"/>
      <c r="CJ305" s="46"/>
      <c r="CK305" s="46"/>
      <c r="CL305" s="46"/>
      <c r="CM305" s="46"/>
      <c r="CN305" s="196" t="s">
        <v>249</v>
      </c>
      <c r="CO305" s="191">
        <v>100</v>
      </c>
      <c r="CP305" s="257">
        <v>40000</v>
      </c>
      <c r="CQ305" s="196"/>
      <c r="CR305" s="167"/>
      <c r="CS305" s="257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191"/>
      <c r="DN305" s="46"/>
      <c r="DO305" s="196"/>
      <c r="DP305" s="581"/>
      <c r="DQ305" s="257">
        <f t="shared" si="31"/>
        <v>0</v>
      </c>
      <c r="DR305" s="294"/>
      <c r="DS305" s="295"/>
      <c r="DT305" s="386">
        <f t="shared" si="32"/>
        <v>0</v>
      </c>
      <c r="DU305" s="41"/>
      <c r="DV305" s="41"/>
      <c r="DW305" s="256"/>
      <c r="DX305" s="41"/>
      <c r="DY305" s="41"/>
      <c r="DZ305" s="68"/>
      <c r="EA305" s="41"/>
      <c r="EB305" s="41"/>
      <c r="EC305" s="256"/>
      <c r="ED305" s="308"/>
      <c r="EE305" s="308"/>
      <c r="EF305" s="308"/>
      <c r="EG305" s="41"/>
      <c r="EH305" s="41"/>
      <c r="EI305" s="41"/>
      <c r="EJ305" s="69"/>
      <c r="EK305" s="308"/>
      <c r="EL305" s="308"/>
      <c r="EM305" s="308"/>
      <c r="EN305" s="308"/>
      <c r="EO305" s="41"/>
      <c r="EP305" s="41"/>
      <c r="EQ305" s="41"/>
      <c r="ER305" s="256"/>
      <c r="ES305" s="293"/>
      <c r="ET305" s="293"/>
      <c r="EU305" s="293"/>
      <c r="EV305" s="293"/>
      <c r="EW305" s="41"/>
      <c r="EX305" s="41"/>
      <c r="EY305" s="41"/>
      <c r="EZ305" s="256"/>
      <c r="FA305" s="308"/>
      <c r="FB305" s="308"/>
      <c r="FC305" s="308"/>
      <c r="FD305" s="308"/>
      <c r="FE305" s="41"/>
      <c r="FF305" s="41"/>
      <c r="FG305" s="41"/>
      <c r="FH305" s="256"/>
      <c r="FI305" s="41"/>
      <c r="FJ305" s="41"/>
      <c r="FK305" s="41"/>
      <c r="FL305" s="276"/>
    </row>
    <row r="306" spans="1:168">
      <c r="A306" s="45">
        <v>299</v>
      </c>
      <c r="B306" s="45" t="s">
        <v>210</v>
      </c>
      <c r="C306" s="45">
        <v>5</v>
      </c>
      <c r="D306" s="29" t="s">
        <v>173</v>
      </c>
      <c r="E306" s="30">
        <v>185</v>
      </c>
      <c r="F306" s="30">
        <v>7</v>
      </c>
      <c r="G306" s="246">
        <f>42790.9986/1000</f>
        <v>42.790998600000002</v>
      </c>
      <c r="H306" s="582">
        <v>0</v>
      </c>
      <c r="I306" s="583">
        <v>42790.998599999999</v>
      </c>
      <c r="J306" s="397">
        <v>107.609319</v>
      </c>
      <c r="K306" s="495">
        <f t="shared" si="28"/>
        <v>150.40031759999999</v>
      </c>
      <c r="L306" s="578"/>
      <c r="M306" s="45">
        <f t="shared" si="30"/>
        <v>0</v>
      </c>
      <c r="N306" s="46">
        <f t="shared" si="27"/>
        <v>150.40031759999999</v>
      </c>
      <c r="O306" s="46">
        <f t="shared" si="29"/>
        <v>105</v>
      </c>
      <c r="P306" s="234" t="s">
        <v>249</v>
      </c>
      <c r="Q306" s="46">
        <v>1</v>
      </c>
      <c r="R306" s="450" t="s">
        <v>523</v>
      </c>
      <c r="S306" s="257">
        <v>90000</v>
      </c>
      <c r="T306" s="46"/>
      <c r="U306" s="46"/>
      <c r="V306" s="46"/>
      <c r="W306" s="46"/>
      <c r="X306" s="196"/>
      <c r="Y306" s="46"/>
      <c r="Z306" s="46"/>
      <c r="AA306" s="46"/>
      <c r="AB306" s="46"/>
      <c r="AC306" s="46"/>
      <c r="AD306" s="46"/>
      <c r="AE306" s="46"/>
      <c r="AF306" s="196"/>
      <c r="AG306" s="46"/>
      <c r="AH306" s="46"/>
      <c r="AI306" s="46"/>
      <c r="AJ306" s="46"/>
      <c r="AK306" s="46"/>
      <c r="AL306" s="46"/>
      <c r="AM306" s="46"/>
      <c r="AN306" s="196"/>
      <c r="AO306" s="438"/>
      <c r="AP306" s="46"/>
      <c r="AQ306" s="368"/>
      <c r="AR306" s="257"/>
      <c r="AS306" s="196"/>
      <c r="AT306" s="46"/>
      <c r="AU306" s="46"/>
      <c r="AV306" s="196"/>
      <c r="AW306" s="257"/>
      <c r="AX306" s="196"/>
      <c r="AY306" s="191"/>
      <c r="AZ306" s="257"/>
      <c r="BA306" s="196"/>
      <c r="BB306" s="46"/>
      <c r="BC306" s="257"/>
      <c r="BD306" s="196"/>
      <c r="BE306" s="191"/>
      <c r="BF306" s="46"/>
      <c r="BG306" s="196"/>
      <c r="BH306" s="46"/>
      <c r="BI306" s="257"/>
      <c r="BJ306" s="196"/>
      <c r="BK306" s="191"/>
      <c r="BL306" s="257"/>
      <c r="BM306" s="196"/>
      <c r="BN306" s="167"/>
      <c r="BO306" s="257"/>
      <c r="BP306" s="196"/>
      <c r="BQ306" s="190"/>
      <c r="BR306" s="46"/>
      <c r="BS306" s="196"/>
      <c r="BT306" s="46"/>
      <c r="BU306" s="257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196"/>
      <c r="CI306" s="46"/>
      <c r="CJ306" s="46"/>
      <c r="CK306" s="46"/>
      <c r="CL306" s="46"/>
      <c r="CM306" s="46"/>
      <c r="CN306" s="196"/>
      <c r="CO306" s="191"/>
      <c r="CP306" s="257"/>
      <c r="CQ306" s="196"/>
      <c r="CR306" s="167"/>
      <c r="CS306" s="257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191"/>
      <c r="DN306" s="46"/>
      <c r="DO306" s="196"/>
      <c r="DP306" s="581" t="s">
        <v>963</v>
      </c>
      <c r="DQ306" s="257">
        <f>DW306+EC306+EJ306+ER306+EZ306+FH306+15000</f>
        <v>15000</v>
      </c>
      <c r="DR306" s="294"/>
      <c r="DS306" s="295"/>
      <c r="DT306" s="386">
        <f t="shared" si="32"/>
        <v>0</v>
      </c>
      <c r="DU306" s="41"/>
      <c r="DV306" s="41"/>
      <c r="DW306" s="256"/>
      <c r="DX306" s="41"/>
      <c r="DY306" s="41"/>
      <c r="DZ306" s="68"/>
      <c r="EA306" s="41"/>
      <c r="EB306" s="41"/>
      <c r="EC306" s="256"/>
      <c r="ED306" s="308"/>
      <c r="EE306" s="308"/>
      <c r="EF306" s="308"/>
      <c r="EG306" s="41"/>
      <c r="EH306" s="41"/>
      <c r="EI306" s="41"/>
      <c r="EJ306" s="69"/>
      <c r="EK306" s="308"/>
      <c r="EL306" s="308"/>
      <c r="EM306" s="308"/>
      <c r="EN306" s="308"/>
      <c r="EO306" s="41"/>
      <c r="EP306" s="41"/>
      <c r="EQ306" s="41"/>
      <c r="ER306" s="256"/>
      <c r="ES306" s="293"/>
      <c r="ET306" s="293"/>
      <c r="EU306" s="293"/>
      <c r="EV306" s="293"/>
      <c r="EW306" s="41"/>
      <c r="EX306" s="41"/>
      <c r="EY306" s="41"/>
      <c r="EZ306" s="256"/>
      <c r="FA306" s="308"/>
      <c r="FB306" s="308"/>
      <c r="FC306" s="308"/>
      <c r="FD306" s="308"/>
      <c r="FE306" s="41"/>
      <c r="FF306" s="41"/>
      <c r="FG306" s="41"/>
      <c r="FH306" s="256"/>
      <c r="FI306" s="60"/>
      <c r="FJ306" s="41"/>
      <c r="FK306" s="41"/>
      <c r="FL306" s="276"/>
    </row>
    <row r="307" spans="1:168">
      <c r="A307" s="45">
        <v>300</v>
      </c>
      <c r="B307" s="45" t="s">
        <v>210</v>
      </c>
      <c r="C307" s="45">
        <v>4</v>
      </c>
      <c r="D307" s="29" t="s">
        <v>173</v>
      </c>
      <c r="E307" s="30">
        <v>224</v>
      </c>
      <c r="F307" s="30">
        <v>7</v>
      </c>
      <c r="G307" s="246">
        <f>44081.5158/1000</f>
        <v>44.081515799999998</v>
      </c>
      <c r="H307" s="582">
        <v>0</v>
      </c>
      <c r="I307" s="583">
        <v>44081.515799999994</v>
      </c>
      <c r="J307" s="397">
        <v>23.307666999999967</v>
      </c>
      <c r="K307" s="495">
        <f t="shared" si="28"/>
        <v>67.389182799999958</v>
      </c>
      <c r="L307" s="578"/>
      <c r="M307" s="45">
        <f t="shared" si="30"/>
        <v>0</v>
      </c>
      <c r="N307" s="46">
        <f t="shared" si="27"/>
        <v>67.389182799999958</v>
      </c>
      <c r="O307" s="46">
        <f t="shared" si="29"/>
        <v>67</v>
      </c>
      <c r="P307" s="234"/>
      <c r="Q307" s="46"/>
      <c r="R307" s="450"/>
      <c r="S307" s="257"/>
      <c r="T307" s="46"/>
      <c r="U307" s="46"/>
      <c r="V307" s="46"/>
      <c r="W307" s="46"/>
      <c r="X307" s="196"/>
      <c r="Y307" s="46"/>
      <c r="Z307" s="46"/>
      <c r="AA307" s="46"/>
      <c r="AB307" s="46"/>
      <c r="AC307" s="46"/>
      <c r="AD307" s="46"/>
      <c r="AE307" s="46"/>
      <c r="AF307" s="196"/>
      <c r="AG307" s="46"/>
      <c r="AH307" s="46"/>
      <c r="AI307" s="46"/>
      <c r="AJ307" s="46"/>
      <c r="AK307" s="46"/>
      <c r="AL307" s="46"/>
      <c r="AM307" s="46"/>
      <c r="AN307" s="196"/>
      <c r="AO307" s="438"/>
      <c r="AP307" s="46"/>
      <c r="AQ307" s="368"/>
      <c r="AR307" s="257"/>
      <c r="AS307" s="196"/>
      <c r="AT307" s="46"/>
      <c r="AU307" s="46"/>
      <c r="AV307" s="196"/>
      <c r="AW307" s="257"/>
      <c r="AX307" s="196"/>
      <c r="AY307" s="191"/>
      <c r="AZ307" s="257"/>
      <c r="BA307" s="196"/>
      <c r="BB307" s="46"/>
      <c r="BC307" s="257"/>
      <c r="BD307" s="196"/>
      <c r="BE307" s="191"/>
      <c r="BF307" s="46"/>
      <c r="BG307" s="196"/>
      <c r="BH307" s="46"/>
      <c r="BI307" s="257"/>
      <c r="BJ307" s="196"/>
      <c r="BK307" s="191"/>
      <c r="BL307" s="257"/>
      <c r="BM307" s="196"/>
      <c r="BN307" s="46"/>
      <c r="BO307" s="257"/>
      <c r="BP307" s="196"/>
      <c r="BQ307" s="190"/>
      <c r="BR307" s="46"/>
      <c r="BS307" s="196"/>
      <c r="BT307" s="46"/>
      <c r="BU307" s="257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196"/>
      <c r="CI307" s="46"/>
      <c r="CJ307" s="46"/>
      <c r="CK307" s="46"/>
      <c r="CL307" s="46"/>
      <c r="CM307" s="46"/>
      <c r="CN307" s="196"/>
      <c r="CO307" s="191"/>
      <c r="CP307" s="257"/>
      <c r="CQ307" s="196"/>
      <c r="CR307" s="167"/>
      <c r="CS307" s="257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191"/>
      <c r="DN307" s="46"/>
      <c r="DO307" s="196"/>
      <c r="DP307" s="581" t="s">
        <v>531</v>
      </c>
      <c r="DQ307" s="257">
        <f>DW307+EC307+EJ307+ER307+EZ307+FH307+67000</f>
        <v>67000</v>
      </c>
      <c r="DR307" s="294"/>
      <c r="DS307" s="295"/>
      <c r="DT307" s="386">
        <f t="shared" si="32"/>
        <v>0</v>
      </c>
      <c r="DU307" s="41"/>
      <c r="DV307" s="41"/>
      <c r="DW307" s="256"/>
      <c r="DX307" s="41"/>
      <c r="DY307" s="41"/>
      <c r="DZ307" s="68"/>
      <c r="EA307" s="41"/>
      <c r="EB307" s="41"/>
      <c r="EC307" s="256"/>
      <c r="ED307" s="308"/>
      <c r="EE307" s="308"/>
      <c r="EF307" s="308"/>
      <c r="EG307" s="41"/>
      <c r="EH307" s="41"/>
      <c r="EI307" s="41"/>
      <c r="EJ307" s="69"/>
      <c r="EK307" s="308"/>
      <c r="EL307" s="308"/>
      <c r="EM307" s="308"/>
      <c r="EN307" s="308"/>
      <c r="EO307" s="41"/>
      <c r="EP307" s="41"/>
      <c r="EQ307" s="41"/>
      <c r="ER307" s="256"/>
      <c r="ES307" s="293"/>
      <c r="ET307" s="293"/>
      <c r="EU307" s="293"/>
      <c r="EV307" s="293"/>
      <c r="EW307" s="41"/>
      <c r="EX307" s="41"/>
      <c r="EY307" s="41"/>
      <c r="EZ307" s="256"/>
      <c r="FA307" s="308"/>
      <c r="FB307" s="308"/>
      <c r="FC307" s="308"/>
      <c r="FD307" s="308"/>
      <c r="FE307" s="41"/>
      <c r="FF307" s="41"/>
      <c r="FG307" s="41"/>
      <c r="FH307" s="256"/>
      <c r="FI307" s="41"/>
      <c r="FJ307" s="41"/>
      <c r="FK307" s="41"/>
      <c r="FL307" s="276"/>
    </row>
    <row r="308" spans="1:168" ht="108">
      <c r="A308" s="45">
        <v>301</v>
      </c>
      <c r="B308" s="45" t="s">
        <v>210</v>
      </c>
      <c r="C308" s="45">
        <v>4</v>
      </c>
      <c r="D308" s="29" t="s">
        <v>174</v>
      </c>
      <c r="E308" s="30">
        <v>132</v>
      </c>
      <c r="F308" s="30">
        <v>2</v>
      </c>
      <c r="G308" s="246">
        <f>305242.752/1000</f>
        <v>305.242752</v>
      </c>
      <c r="H308" s="582">
        <v>305242.75200000004</v>
      </c>
      <c r="I308" s="583">
        <v>0</v>
      </c>
      <c r="J308" s="397">
        <v>660.32112000000006</v>
      </c>
      <c r="K308" s="495">
        <f t="shared" si="28"/>
        <v>965.56387200000006</v>
      </c>
      <c r="L308" s="578"/>
      <c r="M308" s="45">
        <f t="shared" si="30"/>
        <v>0</v>
      </c>
      <c r="N308" s="46">
        <f t="shared" si="27"/>
        <v>965.56387200000006</v>
      </c>
      <c r="O308" s="46">
        <f t="shared" si="29"/>
        <v>504.66</v>
      </c>
      <c r="P308" s="234"/>
      <c r="Q308" s="46"/>
      <c r="R308" s="450"/>
      <c r="S308" s="257"/>
      <c r="T308" s="46"/>
      <c r="U308" s="46"/>
      <c r="V308" s="46"/>
      <c r="W308" s="46"/>
      <c r="X308" s="196"/>
      <c r="Y308" s="46"/>
      <c r="Z308" s="46"/>
      <c r="AA308" s="46"/>
      <c r="AB308" s="46"/>
      <c r="AC308" s="46"/>
      <c r="AD308" s="46"/>
      <c r="AE308" s="46"/>
      <c r="AF308" s="196"/>
      <c r="AG308" s="46"/>
      <c r="AH308" s="46"/>
      <c r="AI308" s="46"/>
      <c r="AJ308" s="46"/>
      <c r="AK308" s="46"/>
      <c r="AL308" s="46"/>
      <c r="AM308" s="46"/>
      <c r="AN308" s="196" t="s">
        <v>227</v>
      </c>
      <c r="AO308" s="438" t="s">
        <v>310</v>
      </c>
      <c r="AP308" s="46">
        <v>40</v>
      </c>
      <c r="AQ308" s="368" t="s">
        <v>593</v>
      </c>
      <c r="AR308" s="257">
        <f>AP308*800</f>
        <v>32000</v>
      </c>
      <c r="AS308" s="196"/>
      <c r="AT308" s="46"/>
      <c r="AU308" s="46"/>
      <c r="AV308" s="196"/>
      <c r="AW308" s="257"/>
      <c r="AX308" s="196" t="s">
        <v>250</v>
      </c>
      <c r="AY308" s="190" t="s">
        <v>551</v>
      </c>
      <c r="AZ308" s="257">
        <v>25000</v>
      </c>
      <c r="BA308" s="196"/>
      <c r="BB308" s="46"/>
      <c r="BC308" s="257"/>
      <c r="BD308" s="196" t="s">
        <v>248</v>
      </c>
      <c r="BE308" s="191" t="s">
        <v>551</v>
      </c>
      <c r="BF308" s="46">
        <v>25000</v>
      </c>
      <c r="BG308" s="196"/>
      <c r="BH308" s="46"/>
      <c r="BI308" s="257"/>
      <c r="BJ308" s="196"/>
      <c r="BK308" s="191"/>
      <c r="BL308" s="257"/>
      <c r="BM308" s="196"/>
      <c r="BN308" s="46"/>
      <c r="BO308" s="257"/>
      <c r="BP308" s="196"/>
      <c r="BQ308" s="190"/>
      <c r="BR308" s="46"/>
      <c r="BS308" s="196"/>
      <c r="BT308" s="46"/>
      <c r="BU308" s="257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196"/>
      <c r="CI308" s="46"/>
      <c r="CJ308" s="46"/>
      <c r="CK308" s="46"/>
      <c r="CL308" s="46"/>
      <c r="CM308" s="46"/>
      <c r="CN308" s="196" t="s">
        <v>226</v>
      </c>
      <c r="CO308" s="190" t="s">
        <v>965</v>
      </c>
      <c r="CP308" s="257">
        <f>150000+11000</f>
        <v>161000</v>
      </c>
      <c r="CQ308" s="196"/>
      <c r="CR308" s="167"/>
      <c r="CS308" s="257"/>
      <c r="CT308" s="46">
        <v>5</v>
      </c>
      <c r="CU308" s="46">
        <v>1</v>
      </c>
      <c r="CV308" s="46">
        <v>10000</v>
      </c>
      <c r="CW308" s="46"/>
      <c r="CX308" s="46"/>
      <c r="CY308" s="46"/>
      <c r="CZ308" s="46">
        <v>5</v>
      </c>
      <c r="DA308" s="46" t="s">
        <v>964</v>
      </c>
      <c r="DB308" s="46">
        <v>30000</v>
      </c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191"/>
      <c r="DN308" s="46"/>
      <c r="DO308" s="196"/>
      <c r="DP308" s="221" t="s">
        <v>966</v>
      </c>
      <c r="DQ308" s="257">
        <f>DW308+EC308+EJ308+ER308+EZ308+FH308+20000+60000+9*4500+10.1*1600+15000+20000</f>
        <v>221660</v>
      </c>
      <c r="DR308" s="296"/>
      <c r="DS308" s="295"/>
      <c r="DT308" s="386">
        <f t="shared" si="32"/>
        <v>0</v>
      </c>
      <c r="DU308" s="41"/>
      <c r="DV308" s="41"/>
      <c r="DW308" s="256"/>
      <c r="DX308" s="41"/>
      <c r="DY308" s="41"/>
      <c r="DZ308" s="68"/>
      <c r="EA308" s="41"/>
      <c r="EB308" s="41"/>
      <c r="EC308" s="256"/>
      <c r="ED308" s="308"/>
      <c r="EE308" s="308"/>
      <c r="EF308" s="308"/>
      <c r="EG308" s="41"/>
      <c r="EH308" s="41"/>
      <c r="EI308" s="41"/>
      <c r="EJ308" s="69"/>
      <c r="EK308" s="308"/>
      <c r="EL308" s="308"/>
      <c r="EM308" s="308"/>
      <c r="EN308" s="308"/>
      <c r="EO308" s="41">
        <v>7</v>
      </c>
      <c r="EP308" s="41">
        <v>1</v>
      </c>
      <c r="EQ308" s="41">
        <v>1</v>
      </c>
      <c r="ER308" s="256">
        <v>50000</v>
      </c>
      <c r="ES308" s="293"/>
      <c r="ET308" s="293"/>
      <c r="EU308" s="293"/>
      <c r="EV308" s="293"/>
      <c r="EW308" s="41"/>
      <c r="EX308" s="41"/>
      <c r="EY308" s="41"/>
      <c r="EZ308" s="256"/>
      <c r="FA308" s="308"/>
      <c r="FB308" s="308"/>
      <c r="FC308" s="308"/>
      <c r="FD308" s="308"/>
      <c r="FE308" s="46"/>
      <c r="FF308" s="41"/>
      <c r="FG308" s="41"/>
      <c r="FH308" s="256"/>
      <c r="FI308" s="41"/>
      <c r="FJ308" s="41"/>
      <c r="FK308" s="41"/>
      <c r="FL308" s="276"/>
    </row>
    <row r="309" spans="1:168" ht="111" customHeight="1">
      <c r="A309" s="45">
        <v>302</v>
      </c>
      <c r="B309" s="45" t="s">
        <v>210</v>
      </c>
      <c r="C309" s="45">
        <v>4</v>
      </c>
      <c r="D309" s="29" t="s">
        <v>174</v>
      </c>
      <c r="E309" s="30">
        <v>287</v>
      </c>
      <c r="F309" s="30">
        <v>2</v>
      </c>
      <c r="G309" s="246">
        <f>323691.264/1000</f>
        <v>323.69126400000005</v>
      </c>
      <c r="H309" s="582">
        <v>323691.26400000002</v>
      </c>
      <c r="I309" s="583">
        <v>0</v>
      </c>
      <c r="J309" s="397">
        <v>229.66454999999991</v>
      </c>
      <c r="K309" s="495">
        <f t="shared" si="28"/>
        <v>553.35581400000001</v>
      </c>
      <c r="L309" s="578"/>
      <c r="M309" s="45">
        <f t="shared" si="30"/>
        <v>12.320540000000001</v>
      </c>
      <c r="N309" s="46">
        <f t="shared" si="27"/>
        <v>541.03527399999996</v>
      </c>
      <c r="O309" s="46">
        <f t="shared" si="29"/>
        <v>249.4</v>
      </c>
      <c r="P309" s="234"/>
      <c r="Q309" s="46"/>
      <c r="R309" s="450"/>
      <c r="S309" s="257"/>
      <c r="T309" s="46"/>
      <c r="U309" s="46"/>
      <c r="V309" s="46"/>
      <c r="W309" s="46"/>
      <c r="X309" s="196"/>
      <c r="Y309" s="46"/>
      <c r="Z309" s="46"/>
      <c r="AA309" s="46"/>
      <c r="AB309" s="46"/>
      <c r="AC309" s="46"/>
      <c r="AD309" s="46"/>
      <c r="AE309" s="46"/>
      <c r="AF309" s="196"/>
      <c r="AG309" s="46"/>
      <c r="AH309" s="46"/>
      <c r="AI309" s="46"/>
      <c r="AJ309" s="46"/>
      <c r="AK309" s="46"/>
      <c r="AL309" s="167"/>
      <c r="AM309" s="46"/>
      <c r="AN309" s="196"/>
      <c r="AO309" s="438"/>
      <c r="AP309" s="46"/>
      <c r="AQ309" s="368"/>
      <c r="AR309" s="257"/>
      <c r="AS309" s="196"/>
      <c r="AT309" s="46"/>
      <c r="AU309" s="46"/>
      <c r="AV309" s="196"/>
      <c r="AW309" s="257"/>
      <c r="AX309" s="196"/>
      <c r="AY309" s="191"/>
      <c r="AZ309" s="257"/>
      <c r="BA309" s="196"/>
      <c r="BB309" s="46"/>
      <c r="BC309" s="257"/>
      <c r="BD309" s="196"/>
      <c r="BE309" s="191"/>
      <c r="BF309" s="46"/>
      <c r="BG309" s="196"/>
      <c r="BH309" s="46"/>
      <c r="BI309" s="257"/>
      <c r="BJ309" s="196"/>
      <c r="BK309" s="191"/>
      <c r="BL309" s="257"/>
      <c r="BM309" s="196"/>
      <c r="BN309" s="46"/>
      <c r="BO309" s="257"/>
      <c r="BP309" s="196"/>
      <c r="BQ309" s="190"/>
      <c r="BR309" s="46"/>
      <c r="BS309" s="196"/>
      <c r="BT309" s="46"/>
      <c r="BU309" s="257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196"/>
      <c r="CI309" s="46"/>
      <c r="CJ309" s="46"/>
      <c r="CK309" s="46"/>
      <c r="CL309" s="46"/>
      <c r="CM309" s="46"/>
      <c r="CN309" s="196"/>
      <c r="CO309" s="191"/>
      <c r="CP309" s="257"/>
      <c r="CQ309" s="196"/>
      <c r="CR309" s="167"/>
      <c r="CS309" s="257"/>
      <c r="CT309" s="46"/>
      <c r="CU309" s="46"/>
      <c r="CV309" s="46"/>
      <c r="CW309" s="46"/>
      <c r="CX309" s="46"/>
      <c r="CY309" s="46"/>
      <c r="CZ309" s="46">
        <v>6</v>
      </c>
      <c r="DA309" s="46">
        <v>108</v>
      </c>
      <c r="DB309" s="46">
        <f>DA309*1800</f>
        <v>194400</v>
      </c>
      <c r="DC309" s="46"/>
      <c r="DD309" s="46"/>
      <c r="DE309" s="46"/>
      <c r="DF309" s="46"/>
      <c r="DG309" s="46"/>
      <c r="DH309" s="46"/>
      <c r="DI309" s="46"/>
      <c r="DJ309" s="46"/>
      <c r="DK309" s="46"/>
      <c r="DL309" s="46">
        <v>8</v>
      </c>
      <c r="DM309" s="191" t="s">
        <v>967</v>
      </c>
      <c r="DN309" s="46">
        <v>25000</v>
      </c>
      <c r="DO309" s="218"/>
      <c r="DP309" s="221" t="s">
        <v>968</v>
      </c>
      <c r="DQ309" s="257">
        <f>DW309+EC309+EJ309+ER309+EZ309+FH309+15000</f>
        <v>30000</v>
      </c>
      <c r="DR309" s="296" t="s">
        <v>523</v>
      </c>
      <c r="DS309" s="295" t="s">
        <v>776</v>
      </c>
      <c r="DT309" s="386">
        <f>DZ309+EF309+EN309+EV309+FD309+FL309+12320.54</f>
        <v>12320.54</v>
      </c>
      <c r="DU309" s="41"/>
      <c r="DV309" s="41"/>
      <c r="DW309" s="256"/>
      <c r="DX309" s="41"/>
      <c r="DY309" s="41"/>
      <c r="DZ309" s="68"/>
      <c r="EA309" s="41"/>
      <c r="EB309" s="41"/>
      <c r="EC309" s="256"/>
      <c r="ED309" s="308"/>
      <c r="EE309" s="308"/>
      <c r="EF309" s="308"/>
      <c r="EG309" s="41"/>
      <c r="EH309" s="41"/>
      <c r="EI309" s="41"/>
      <c r="EJ309" s="69"/>
      <c r="EK309" s="308"/>
      <c r="EL309" s="308"/>
      <c r="EM309" s="308"/>
      <c r="EN309" s="308"/>
      <c r="EO309" s="41">
        <v>8</v>
      </c>
      <c r="EP309" s="41">
        <v>1</v>
      </c>
      <c r="EQ309" s="41">
        <v>1</v>
      </c>
      <c r="ER309" s="256">
        <v>15000</v>
      </c>
      <c r="ES309" s="293"/>
      <c r="ET309" s="293"/>
      <c r="EU309" s="293"/>
      <c r="EV309" s="293"/>
      <c r="EW309" s="41"/>
      <c r="EX309" s="41"/>
      <c r="EY309" s="41"/>
      <c r="EZ309" s="256"/>
      <c r="FA309" s="308"/>
      <c r="FB309" s="308"/>
      <c r="FC309" s="308"/>
      <c r="FD309" s="308"/>
      <c r="FE309" s="46"/>
      <c r="FF309" s="41"/>
      <c r="FG309" s="41"/>
      <c r="FH309" s="256"/>
      <c r="FI309" s="41"/>
      <c r="FJ309" s="41"/>
      <c r="FK309" s="41"/>
      <c r="FL309" s="276"/>
    </row>
    <row r="310" spans="1:168">
      <c r="A310" s="45">
        <v>303</v>
      </c>
      <c r="B310" s="45" t="s">
        <v>210</v>
      </c>
      <c r="C310" s="45">
        <v>4</v>
      </c>
      <c r="D310" s="29" t="s">
        <v>970</v>
      </c>
      <c r="E310" s="175">
        <v>8</v>
      </c>
      <c r="F310" s="188">
        <v>7</v>
      </c>
      <c r="G310" s="246">
        <f>45105.354/1000</f>
        <v>45.105353999999998</v>
      </c>
      <c r="H310" s="45">
        <v>0</v>
      </c>
      <c r="I310" s="45">
        <v>45105.353999999999</v>
      </c>
      <c r="J310" s="492">
        <v>165.96345999999991</v>
      </c>
      <c r="K310" s="495">
        <f t="shared" si="28"/>
        <v>211.06881399999992</v>
      </c>
      <c r="L310" s="578"/>
      <c r="M310" s="45">
        <f t="shared" si="30"/>
        <v>0</v>
      </c>
      <c r="N310" s="46">
        <f t="shared" si="27"/>
        <v>211.06881399999992</v>
      </c>
      <c r="O310" s="46">
        <f t="shared" si="29"/>
        <v>211</v>
      </c>
      <c r="P310" s="234"/>
      <c r="Q310" s="46"/>
      <c r="R310" s="450"/>
      <c r="S310" s="257"/>
      <c r="T310" s="46"/>
      <c r="U310" s="46"/>
      <c r="V310" s="46"/>
      <c r="W310" s="46"/>
      <c r="X310" s="196"/>
      <c r="Y310" s="46"/>
      <c r="Z310" s="46"/>
      <c r="AA310" s="46"/>
      <c r="AB310" s="46"/>
      <c r="AC310" s="46"/>
      <c r="AD310" s="46"/>
      <c r="AE310" s="46"/>
      <c r="AF310" s="196"/>
      <c r="AG310" s="46"/>
      <c r="AH310" s="46"/>
      <c r="AI310" s="46"/>
      <c r="AJ310" s="46"/>
      <c r="AK310" s="46"/>
      <c r="AL310" s="46"/>
      <c r="AM310" s="46"/>
      <c r="AN310" s="196"/>
      <c r="AO310" s="438"/>
      <c r="AP310" s="46"/>
      <c r="AQ310" s="368"/>
      <c r="AR310" s="257"/>
      <c r="AS310" s="196"/>
      <c r="AT310" s="46"/>
      <c r="AU310" s="46"/>
      <c r="AV310" s="196"/>
      <c r="AW310" s="257"/>
      <c r="AX310" s="196"/>
      <c r="AY310" s="191"/>
      <c r="AZ310" s="257"/>
      <c r="BA310" s="196"/>
      <c r="BB310" s="46"/>
      <c r="BC310" s="257"/>
      <c r="BD310" s="196"/>
      <c r="BE310" s="191"/>
      <c r="BF310" s="46"/>
      <c r="BG310" s="196"/>
      <c r="BH310" s="46"/>
      <c r="BI310" s="257"/>
      <c r="BJ310" s="196"/>
      <c r="BK310" s="191"/>
      <c r="BL310" s="257"/>
      <c r="BM310" s="196"/>
      <c r="BN310" s="46"/>
      <c r="BO310" s="257"/>
      <c r="BP310" s="196"/>
      <c r="BQ310" s="190"/>
      <c r="BR310" s="46"/>
      <c r="BS310" s="196"/>
      <c r="BT310" s="46"/>
      <c r="BU310" s="257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196"/>
      <c r="CI310" s="46"/>
      <c r="CJ310" s="46"/>
      <c r="CK310" s="46"/>
      <c r="CL310" s="46"/>
      <c r="CM310" s="46"/>
      <c r="CN310" s="196"/>
      <c r="CO310" s="191"/>
      <c r="CP310" s="257"/>
      <c r="CQ310" s="196"/>
      <c r="CR310" s="167"/>
      <c r="CS310" s="257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191"/>
      <c r="DN310" s="46"/>
      <c r="DO310" s="196"/>
      <c r="DP310" s="581" t="s">
        <v>531</v>
      </c>
      <c r="DQ310" s="257">
        <f>DW310+EC310+EJ310+ER310+EZ310+FH310+211000</f>
        <v>211000</v>
      </c>
      <c r="DR310" s="294"/>
      <c r="DS310" s="295"/>
      <c r="DT310" s="386">
        <f t="shared" si="32"/>
        <v>0</v>
      </c>
      <c r="DU310" s="41"/>
      <c r="DV310" s="41"/>
      <c r="DW310" s="256"/>
      <c r="DX310" s="41"/>
      <c r="DY310" s="41"/>
      <c r="DZ310" s="68"/>
      <c r="EA310" s="41"/>
      <c r="EB310" s="41"/>
      <c r="EC310" s="256"/>
      <c r="ED310" s="308"/>
      <c r="EE310" s="308"/>
      <c r="EF310" s="308"/>
      <c r="EG310" s="41"/>
      <c r="EH310" s="41"/>
      <c r="EI310" s="41"/>
      <c r="EJ310" s="69"/>
      <c r="EK310" s="308"/>
      <c r="EL310" s="308"/>
      <c r="EM310" s="308"/>
      <c r="EN310" s="308"/>
      <c r="EO310" s="41"/>
      <c r="EP310" s="41"/>
      <c r="EQ310" s="41"/>
      <c r="ER310" s="256"/>
      <c r="ES310" s="293"/>
      <c r="ET310" s="293"/>
      <c r="EU310" s="293"/>
      <c r="EV310" s="293"/>
      <c r="EW310" s="41"/>
      <c r="EX310" s="41"/>
      <c r="EY310" s="41"/>
      <c r="EZ310" s="256"/>
      <c r="FA310" s="308"/>
      <c r="FB310" s="308"/>
      <c r="FC310" s="308"/>
      <c r="FD310" s="308"/>
      <c r="FE310" s="41"/>
      <c r="FF310" s="41"/>
      <c r="FG310" s="41"/>
      <c r="FH310" s="256"/>
      <c r="FI310" s="41"/>
      <c r="FJ310" s="41"/>
      <c r="FK310" s="41"/>
      <c r="FL310" s="276"/>
    </row>
    <row r="311" spans="1:168">
      <c r="A311" s="45">
        <v>304</v>
      </c>
      <c r="B311" s="45" t="s">
        <v>210</v>
      </c>
      <c r="C311" s="45">
        <v>4</v>
      </c>
      <c r="D311" s="29" t="s">
        <v>175</v>
      </c>
      <c r="E311" s="30" t="s">
        <v>176</v>
      </c>
      <c r="F311" s="30">
        <v>7</v>
      </c>
      <c r="G311" s="246">
        <f>44875.278/1000</f>
        <v>44.875278000000002</v>
      </c>
      <c r="H311" s="45">
        <v>0</v>
      </c>
      <c r="I311" s="45">
        <v>44875.277999999998</v>
      </c>
      <c r="J311" s="397">
        <v>109.52139</v>
      </c>
      <c r="K311" s="495">
        <f t="shared" si="28"/>
        <v>154.39666800000001</v>
      </c>
      <c r="L311" s="578"/>
      <c r="M311" s="45">
        <f t="shared" si="30"/>
        <v>0</v>
      </c>
      <c r="N311" s="46">
        <f t="shared" si="27"/>
        <v>154.39666800000001</v>
      </c>
      <c r="O311" s="46">
        <f t="shared" si="29"/>
        <v>90</v>
      </c>
      <c r="P311" s="234" t="s">
        <v>249</v>
      </c>
      <c r="Q311" s="46">
        <v>1</v>
      </c>
      <c r="R311" s="450" t="s">
        <v>523</v>
      </c>
      <c r="S311" s="257">
        <v>90000</v>
      </c>
      <c r="T311" s="46"/>
      <c r="U311" s="46"/>
      <c r="V311" s="46"/>
      <c r="W311" s="46"/>
      <c r="X311" s="196"/>
      <c r="Y311" s="46"/>
      <c r="Z311" s="46"/>
      <c r="AA311" s="46"/>
      <c r="AB311" s="46"/>
      <c r="AC311" s="46"/>
      <c r="AD311" s="46"/>
      <c r="AE311" s="46"/>
      <c r="AF311" s="196"/>
      <c r="AG311" s="46"/>
      <c r="AH311" s="46"/>
      <c r="AI311" s="46"/>
      <c r="AJ311" s="46"/>
      <c r="AK311" s="46"/>
      <c r="AL311" s="46"/>
      <c r="AM311" s="46"/>
      <c r="AN311" s="196"/>
      <c r="AO311" s="438"/>
      <c r="AP311" s="46"/>
      <c r="AQ311" s="368"/>
      <c r="AR311" s="257"/>
      <c r="AS311" s="196"/>
      <c r="AT311" s="46"/>
      <c r="AU311" s="46"/>
      <c r="AV311" s="196"/>
      <c r="AW311" s="257"/>
      <c r="AX311" s="196"/>
      <c r="AY311" s="191"/>
      <c r="AZ311" s="257"/>
      <c r="BA311" s="196"/>
      <c r="BB311" s="46"/>
      <c r="BC311" s="257"/>
      <c r="BD311" s="196"/>
      <c r="BE311" s="191"/>
      <c r="BF311" s="46"/>
      <c r="BG311" s="196"/>
      <c r="BH311" s="46"/>
      <c r="BI311" s="257"/>
      <c r="BJ311" s="196"/>
      <c r="BK311" s="191"/>
      <c r="BL311" s="257"/>
      <c r="BM311" s="196"/>
      <c r="BN311" s="46"/>
      <c r="BO311" s="257"/>
      <c r="BP311" s="196"/>
      <c r="BQ311" s="190"/>
      <c r="BR311" s="46"/>
      <c r="BS311" s="196"/>
      <c r="BT311" s="46"/>
      <c r="BU311" s="257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196"/>
      <c r="CI311" s="46"/>
      <c r="CJ311" s="46"/>
      <c r="CK311" s="46"/>
      <c r="CL311" s="46"/>
      <c r="CM311" s="46"/>
      <c r="CN311" s="196"/>
      <c r="CO311" s="191"/>
      <c r="CP311" s="257"/>
      <c r="CQ311" s="196"/>
      <c r="CR311" s="167"/>
      <c r="CS311" s="257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191"/>
      <c r="DN311" s="46"/>
      <c r="DO311" s="196"/>
      <c r="DP311" s="581"/>
      <c r="DQ311" s="257">
        <f t="shared" si="31"/>
        <v>0</v>
      </c>
      <c r="DR311" s="294"/>
      <c r="DS311" s="295"/>
      <c r="DT311" s="386">
        <f t="shared" si="32"/>
        <v>0</v>
      </c>
      <c r="DU311" s="41"/>
      <c r="DV311" s="41"/>
      <c r="DW311" s="256"/>
      <c r="DX311" s="41"/>
      <c r="DY311" s="41"/>
      <c r="DZ311" s="68"/>
      <c r="EA311" s="41"/>
      <c r="EB311" s="41"/>
      <c r="EC311" s="256"/>
      <c r="ED311" s="308"/>
      <c r="EE311" s="308"/>
      <c r="EF311" s="308"/>
      <c r="EG311" s="41"/>
      <c r="EH311" s="41"/>
      <c r="EI311" s="41"/>
      <c r="EJ311" s="69"/>
      <c r="EK311" s="308"/>
      <c r="EL311" s="308"/>
      <c r="EM311" s="308"/>
      <c r="EN311" s="308"/>
      <c r="EO311" s="41"/>
      <c r="EP311" s="41"/>
      <c r="EQ311" s="41"/>
      <c r="ER311" s="256"/>
      <c r="ES311" s="293"/>
      <c r="ET311" s="293"/>
      <c r="EU311" s="293"/>
      <c r="EV311" s="293"/>
      <c r="EW311" s="41"/>
      <c r="EX311" s="41"/>
      <c r="EY311" s="41"/>
      <c r="EZ311" s="256"/>
      <c r="FA311" s="308"/>
      <c r="FB311" s="308"/>
      <c r="FC311" s="308"/>
      <c r="FD311" s="308"/>
      <c r="FE311" s="41"/>
      <c r="FF311" s="41"/>
      <c r="FG311" s="41"/>
      <c r="FH311" s="256"/>
      <c r="FI311" s="41"/>
      <c r="FJ311" s="41"/>
      <c r="FK311" s="41"/>
      <c r="FL311" s="276"/>
    </row>
    <row r="312" spans="1:168" ht="39.75">
      <c r="A312" s="45">
        <v>305</v>
      </c>
      <c r="B312" s="45" t="s">
        <v>210</v>
      </c>
      <c r="C312" s="45">
        <v>4</v>
      </c>
      <c r="D312" s="29" t="s">
        <v>177</v>
      </c>
      <c r="E312" s="30">
        <v>137</v>
      </c>
      <c r="F312" s="30">
        <v>2</v>
      </c>
      <c r="G312" s="246">
        <f>589540.896/1000</f>
        <v>589.54089599999998</v>
      </c>
      <c r="H312" s="45">
        <v>589540.89600000007</v>
      </c>
      <c r="I312" s="45">
        <v>0</v>
      </c>
      <c r="J312" s="397">
        <v>470.88209000000001</v>
      </c>
      <c r="K312" s="495">
        <f t="shared" si="28"/>
        <v>1060.422986</v>
      </c>
      <c r="L312" s="578"/>
      <c r="M312" s="45">
        <f t="shared" si="30"/>
        <v>8.2136299999999984</v>
      </c>
      <c r="N312" s="46">
        <f t="shared" si="27"/>
        <v>1052.2093560000001</v>
      </c>
      <c r="O312" s="46">
        <f t="shared" si="29"/>
        <v>961</v>
      </c>
      <c r="P312" s="234" t="s">
        <v>247</v>
      </c>
      <c r="Q312" s="46">
        <v>1</v>
      </c>
      <c r="R312" s="450" t="s">
        <v>823</v>
      </c>
      <c r="S312" s="257">
        <f>70000+150000</f>
        <v>220000</v>
      </c>
      <c r="T312" s="46"/>
      <c r="U312" s="46"/>
      <c r="V312" s="46"/>
      <c r="W312" s="46"/>
      <c r="X312" s="196"/>
      <c r="Y312" s="46"/>
      <c r="Z312" s="46"/>
      <c r="AA312" s="46"/>
      <c r="AB312" s="46"/>
      <c r="AC312" s="46"/>
      <c r="AD312" s="46"/>
      <c r="AE312" s="46"/>
      <c r="AF312" s="196"/>
      <c r="AG312" s="46"/>
      <c r="AH312" s="46"/>
      <c r="AI312" s="46"/>
      <c r="AJ312" s="46"/>
      <c r="AK312" s="46"/>
      <c r="AL312" s="46"/>
      <c r="AM312" s="46"/>
      <c r="AN312" s="196"/>
      <c r="AO312" s="438"/>
      <c r="AP312" s="46"/>
      <c r="AQ312" s="368"/>
      <c r="AR312" s="257"/>
      <c r="AS312" s="196"/>
      <c r="AT312" s="46"/>
      <c r="AU312" s="46"/>
      <c r="AV312" s="196"/>
      <c r="AW312" s="257"/>
      <c r="AX312" s="196" t="s">
        <v>229</v>
      </c>
      <c r="AY312" s="190" t="s">
        <v>819</v>
      </c>
      <c r="AZ312" s="257">
        <f>123*2000</f>
        <v>246000</v>
      </c>
      <c r="BA312" s="196"/>
      <c r="BB312" s="46"/>
      <c r="BC312" s="257"/>
      <c r="BD312" s="196" t="s">
        <v>229</v>
      </c>
      <c r="BE312" s="191" t="s">
        <v>818</v>
      </c>
      <c r="BF312" s="46">
        <f>87*2500</f>
        <v>217500</v>
      </c>
      <c r="BG312" s="196"/>
      <c r="BH312" s="46"/>
      <c r="BI312" s="257"/>
      <c r="BJ312" s="196" t="s">
        <v>228</v>
      </c>
      <c r="BK312" s="190" t="s">
        <v>820</v>
      </c>
      <c r="BL312" s="257">
        <f>14*2500+135000</f>
        <v>170000</v>
      </c>
      <c r="BM312" s="196"/>
      <c r="BN312" s="167"/>
      <c r="BO312" s="257"/>
      <c r="BP312" s="196"/>
      <c r="BQ312" s="190"/>
      <c r="BR312" s="46"/>
      <c r="BS312" s="196"/>
      <c r="BT312" s="46"/>
      <c r="BU312" s="257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196"/>
      <c r="CI312" s="46"/>
      <c r="CJ312" s="46"/>
      <c r="CK312" s="46"/>
      <c r="CL312" s="46"/>
      <c r="CM312" s="46"/>
      <c r="CN312" s="196" t="s">
        <v>254</v>
      </c>
      <c r="CO312" s="191" t="s">
        <v>822</v>
      </c>
      <c r="CP312" s="257">
        <v>3000</v>
      </c>
      <c r="CQ312" s="196"/>
      <c r="CR312" s="167"/>
      <c r="CS312" s="257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191"/>
      <c r="DN312" s="46"/>
      <c r="DO312" s="218"/>
      <c r="DP312" s="221" t="s">
        <v>821</v>
      </c>
      <c r="DQ312" s="257">
        <f>DW312+EC312+EJ312+ER312+EZ312+FH312+4*15000+1*14500+10*3000</f>
        <v>104500</v>
      </c>
      <c r="DR312" s="296" t="s">
        <v>523</v>
      </c>
      <c r="DS312" s="295" t="s">
        <v>777</v>
      </c>
      <c r="DT312" s="386">
        <f>DZ312+EF312+EN312+EV312+FD312+FL312+8213.63</f>
        <v>8213.6299999999992</v>
      </c>
      <c r="DU312" s="41"/>
      <c r="DV312" s="41"/>
      <c r="DW312" s="256"/>
      <c r="DX312" s="41"/>
      <c r="DY312" s="41"/>
      <c r="DZ312" s="68"/>
      <c r="EA312" s="41"/>
      <c r="EB312" s="41"/>
      <c r="EC312" s="256"/>
      <c r="ED312" s="308"/>
      <c r="EE312" s="308"/>
      <c r="EF312" s="308"/>
      <c r="EG312" s="41"/>
      <c r="EH312" s="41"/>
      <c r="EI312" s="41"/>
      <c r="EJ312" s="69"/>
      <c r="EK312" s="308"/>
      <c r="EL312" s="308"/>
      <c r="EM312" s="308"/>
      <c r="EN312" s="308"/>
      <c r="EO312" s="41"/>
      <c r="EP312" s="41"/>
      <c r="EQ312" s="41"/>
      <c r="ER312" s="256"/>
      <c r="ES312" s="293"/>
      <c r="ET312" s="293"/>
      <c r="EU312" s="293"/>
      <c r="EV312" s="293"/>
      <c r="EW312" s="41"/>
      <c r="EX312" s="41"/>
      <c r="EY312" s="41"/>
      <c r="EZ312" s="256"/>
      <c r="FA312" s="308"/>
      <c r="FB312" s="308"/>
      <c r="FC312" s="308"/>
      <c r="FD312" s="308"/>
      <c r="FE312" s="46"/>
      <c r="FF312" s="41"/>
      <c r="FG312" s="41"/>
      <c r="FH312" s="256"/>
      <c r="FI312" s="60"/>
      <c r="FJ312" s="41"/>
      <c r="FK312" s="41"/>
      <c r="FL312" s="276"/>
    </row>
    <row r="313" spans="1:168">
      <c r="A313" s="45">
        <v>306</v>
      </c>
      <c r="B313" s="45" t="s">
        <v>210</v>
      </c>
      <c r="C313" s="45">
        <v>4</v>
      </c>
      <c r="D313" s="29" t="s">
        <v>512</v>
      </c>
      <c r="E313" s="175">
        <v>56</v>
      </c>
      <c r="F313" s="188">
        <v>7</v>
      </c>
      <c r="G313" s="246">
        <f>45670.086/1000</f>
        <v>45.670086000000005</v>
      </c>
      <c r="H313" s="45">
        <v>0</v>
      </c>
      <c r="I313" s="45">
        <v>45670.085999999996</v>
      </c>
      <c r="J313" s="397">
        <v>96.111410000000006</v>
      </c>
      <c r="K313" s="495">
        <f t="shared" si="28"/>
        <v>141.781496</v>
      </c>
      <c r="L313" s="578"/>
      <c r="M313" s="45">
        <f t="shared" si="30"/>
        <v>0</v>
      </c>
      <c r="N313" s="46">
        <f t="shared" ref="N313:N318" si="34">K313-M313</f>
        <v>141.781496</v>
      </c>
      <c r="O313" s="46">
        <f t="shared" si="29"/>
        <v>141</v>
      </c>
      <c r="P313" s="234"/>
      <c r="Q313" s="46"/>
      <c r="R313" s="450"/>
      <c r="S313" s="257"/>
      <c r="T313" s="46"/>
      <c r="U313" s="46"/>
      <c r="V313" s="46"/>
      <c r="W313" s="46"/>
      <c r="X313" s="196"/>
      <c r="Y313" s="46"/>
      <c r="Z313" s="46"/>
      <c r="AA313" s="46"/>
      <c r="AB313" s="46"/>
      <c r="AC313" s="46"/>
      <c r="AD313" s="46"/>
      <c r="AE313" s="46"/>
      <c r="AF313" s="196"/>
      <c r="AG313" s="46"/>
      <c r="AH313" s="46"/>
      <c r="AI313" s="46"/>
      <c r="AJ313" s="46"/>
      <c r="AK313" s="46"/>
      <c r="AL313" s="46"/>
      <c r="AM313" s="46"/>
      <c r="AN313" s="196"/>
      <c r="AO313" s="438"/>
      <c r="AP313" s="46"/>
      <c r="AQ313" s="368"/>
      <c r="AR313" s="257"/>
      <c r="AS313" s="196"/>
      <c r="AT313" s="46"/>
      <c r="AU313" s="46"/>
      <c r="AV313" s="196"/>
      <c r="AW313" s="257"/>
      <c r="AX313" s="196"/>
      <c r="AY313" s="191"/>
      <c r="AZ313" s="257"/>
      <c r="BA313" s="196"/>
      <c r="BB313" s="46"/>
      <c r="BC313" s="257"/>
      <c r="BD313" s="196"/>
      <c r="BE313" s="191"/>
      <c r="BF313" s="46"/>
      <c r="BG313" s="196"/>
      <c r="BH313" s="46"/>
      <c r="BI313" s="257"/>
      <c r="BJ313" s="196"/>
      <c r="BK313" s="191"/>
      <c r="BL313" s="257"/>
      <c r="BM313" s="196"/>
      <c r="BN313" s="46"/>
      <c r="BO313" s="257"/>
      <c r="BP313" s="196"/>
      <c r="BQ313" s="190"/>
      <c r="BR313" s="46"/>
      <c r="BS313" s="196"/>
      <c r="BT313" s="46"/>
      <c r="BU313" s="257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196"/>
      <c r="CI313" s="46"/>
      <c r="CJ313" s="46"/>
      <c r="CK313" s="46"/>
      <c r="CL313" s="46"/>
      <c r="CM313" s="46"/>
      <c r="CN313" s="196"/>
      <c r="CO313" s="191"/>
      <c r="CP313" s="257"/>
      <c r="CQ313" s="196"/>
      <c r="CR313" s="167"/>
      <c r="CS313" s="257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191"/>
      <c r="DN313" s="46"/>
      <c r="DO313" s="196"/>
      <c r="DP313" s="581" t="s">
        <v>531</v>
      </c>
      <c r="DQ313" s="257">
        <f>DW313+EC313+EJ313+ER313+EZ313+FH313+141000</f>
        <v>141000</v>
      </c>
      <c r="DR313" s="294"/>
      <c r="DS313" s="295"/>
      <c r="DT313" s="386">
        <f t="shared" si="32"/>
        <v>0</v>
      </c>
      <c r="DU313" s="41"/>
      <c r="DV313" s="41"/>
      <c r="DW313" s="256"/>
      <c r="DX313" s="41"/>
      <c r="DY313" s="41"/>
      <c r="DZ313" s="68"/>
      <c r="EA313" s="41"/>
      <c r="EB313" s="41"/>
      <c r="EC313" s="256"/>
      <c r="ED313" s="308"/>
      <c r="EE313" s="308"/>
      <c r="EF313" s="308"/>
      <c r="EG313" s="41"/>
      <c r="EH313" s="41"/>
      <c r="EI313" s="41"/>
      <c r="EJ313" s="69"/>
      <c r="EK313" s="308"/>
      <c r="EL313" s="308"/>
      <c r="EM313" s="308"/>
      <c r="EN313" s="308"/>
      <c r="EO313" s="41"/>
      <c r="EP313" s="41"/>
      <c r="EQ313" s="41"/>
      <c r="ER313" s="256"/>
      <c r="ES313" s="293"/>
      <c r="ET313" s="293"/>
      <c r="EU313" s="293"/>
      <c r="EV313" s="293"/>
      <c r="EW313" s="41"/>
      <c r="EX313" s="41"/>
      <c r="EY313" s="41"/>
      <c r="EZ313" s="256"/>
      <c r="FA313" s="308"/>
      <c r="FB313" s="308"/>
      <c r="FC313" s="308"/>
      <c r="FD313" s="308"/>
      <c r="FE313" s="41"/>
      <c r="FF313" s="41"/>
      <c r="FG313" s="41"/>
      <c r="FH313" s="256"/>
      <c r="FI313" s="41"/>
      <c r="FJ313" s="41"/>
      <c r="FK313" s="41"/>
      <c r="FL313" s="276"/>
    </row>
    <row r="314" spans="1:168" ht="20.25">
      <c r="A314" s="45">
        <v>307</v>
      </c>
      <c r="B314" s="45" t="s">
        <v>210</v>
      </c>
      <c r="C314" s="45">
        <v>4</v>
      </c>
      <c r="D314" s="29" t="s">
        <v>512</v>
      </c>
      <c r="E314" s="175">
        <v>60</v>
      </c>
      <c r="F314" s="188">
        <v>7</v>
      </c>
      <c r="G314" s="246">
        <f>45094.896/1000</f>
        <v>45.094895999999999</v>
      </c>
      <c r="H314" s="45">
        <v>0</v>
      </c>
      <c r="I314" s="45">
        <v>45094.896000000008</v>
      </c>
      <c r="J314" s="397">
        <v>159.51774</v>
      </c>
      <c r="K314" s="495">
        <f t="shared" si="28"/>
        <v>204.61263600000001</v>
      </c>
      <c r="L314" s="578"/>
      <c r="M314" s="45">
        <f t="shared" si="30"/>
        <v>0</v>
      </c>
      <c r="N314" s="46">
        <f t="shared" si="34"/>
        <v>204.61263600000001</v>
      </c>
      <c r="O314" s="46">
        <f t="shared" si="29"/>
        <v>20</v>
      </c>
      <c r="P314" s="234"/>
      <c r="Q314" s="46"/>
      <c r="R314" s="450"/>
      <c r="S314" s="257"/>
      <c r="T314" s="46"/>
      <c r="U314" s="46"/>
      <c r="V314" s="46"/>
      <c r="W314" s="46"/>
      <c r="X314" s="196"/>
      <c r="Y314" s="46"/>
      <c r="Z314" s="46"/>
      <c r="AA314" s="46"/>
      <c r="AB314" s="46"/>
      <c r="AC314" s="46"/>
      <c r="AD314" s="46"/>
      <c r="AE314" s="46"/>
      <c r="AF314" s="196"/>
      <c r="AG314" s="46"/>
      <c r="AH314" s="46"/>
      <c r="AI314" s="46"/>
      <c r="AJ314" s="46"/>
      <c r="AK314" s="46"/>
      <c r="AL314" s="46"/>
      <c r="AM314" s="46"/>
      <c r="AN314" s="196"/>
      <c r="AO314" s="438"/>
      <c r="AP314" s="46"/>
      <c r="AQ314" s="368"/>
      <c r="AR314" s="257"/>
      <c r="AS314" s="196"/>
      <c r="AT314" s="46"/>
      <c r="AU314" s="46"/>
      <c r="AV314" s="196"/>
      <c r="AW314" s="257"/>
      <c r="AX314" s="196"/>
      <c r="AY314" s="191"/>
      <c r="AZ314" s="257"/>
      <c r="BA314" s="196"/>
      <c r="BB314" s="46"/>
      <c r="BC314" s="257"/>
      <c r="BD314" s="196"/>
      <c r="BE314" s="191"/>
      <c r="BF314" s="46"/>
      <c r="BG314" s="196"/>
      <c r="BH314" s="46"/>
      <c r="BI314" s="257"/>
      <c r="BJ314" s="196"/>
      <c r="BK314" s="191"/>
      <c r="BL314" s="257"/>
      <c r="BM314" s="196"/>
      <c r="BN314" s="46"/>
      <c r="BO314" s="257"/>
      <c r="BP314" s="196"/>
      <c r="BQ314" s="190"/>
      <c r="BR314" s="46"/>
      <c r="BS314" s="196"/>
      <c r="BT314" s="46"/>
      <c r="BU314" s="257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196"/>
      <c r="CI314" s="46"/>
      <c r="CJ314" s="46"/>
      <c r="CK314" s="46"/>
      <c r="CL314" s="46"/>
      <c r="CM314" s="46"/>
      <c r="CN314" s="196"/>
      <c r="CO314" s="191"/>
      <c r="CP314" s="257"/>
      <c r="CQ314" s="196"/>
      <c r="CR314" s="167"/>
      <c r="CS314" s="257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191"/>
      <c r="DN314" s="46"/>
      <c r="DO314" s="196"/>
      <c r="DP314" s="221" t="s">
        <v>969</v>
      </c>
      <c r="DQ314" s="257">
        <f>DW314+EC314+EJ314+ER314+EZ314+FH314+20000</f>
        <v>20000</v>
      </c>
      <c r="DR314" s="294"/>
      <c r="DS314" s="295"/>
      <c r="DT314" s="386">
        <f t="shared" si="32"/>
        <v>0</v>
      </c>
      <c r="DU314" s="41"/>
      <c r="DV314" s="41"/>
      <c r="DW314" s="256"/>
      <c r="DX314" s="41"/>
      <c r="DY314" s="41"/>
      <c r="DZ314" s="68"/>
      <c r="EA314" s="41"/>
      <c r="EB314" s="41"/>
      <c r="EC314" s="256"/>
      <c r="ED314" s="308"/>
      <c r="EE314" s="308"/>
      <c r="EF314" s="308"/>
      <c r="EG314" s="41"/>
      <c r="EH314" s="41"/>
      <c r="EI314" s="41"/>
      <c r="EJ314" s="69"/>
      <c r="EK314" s="308"/>
      <c r="EL314" s="308"/>
      <c r="EM314" s="308"/>
      <c r="EN314" s="308"/>
      <c r="EO314" s="41"/>
      <c r="EP314" s="41"/>
      <c r="EQ314" s="41"/>
      <c r="ER314" s="256"/>
      <c r="ES314" s="293"/>
      <c r="ET314" s="293"/>
      <c r="EU314" s="293"/>
      <c r="EV314" s="293"/>
      <c r="EW314" s="41"/>
      <c r="EX314" s="41"/>
      <c r="EY314" s="41"/>
      <c r="EZ314" s="256"/>
      <c r="FA314" s="308"/>
      <c r="FB314" s="308"/>
      <c r="FC314" s="308"/>
      <c r="FD314" s="308"/>
      <c r="FE314" s="41"/>
      <c r="FF314" s="41"/>
      <c r="FG314" s="41"/>
      <c r="FH314" s="256"/>
      <c r="FI314" s="41"/>
      <c r="FJ314" s="41"/>
      <c r="FK314" s="41"/>
      <c r="FL314" s="276"/>
    </row>
    <row r="315" spans="1:168">
      <c r="A315" s="45">
        <v>308</v>
      </c>
      <c r="B315" s="45" t="s">
        <v>210</v>
      </c>
      <c r="C315" s="45">
        <v>4</v>
      </c>
      <c r="D315" s="29" t="s">
        <v>512</v>
      </c>
      <c r="E315" s="175" t="s">
        <v>513</v>
      </c>
      <c r="F315" s="188">
        <v>7</v>
      </c>
      <c r="G315" s="246">
        <f>45062.4762/1000</f>
        <v>45.062476199999999</v>
      </c>
      <c r="H315" s="45">
        <v>0</v>
      </c>
      <c r="I315" s="45">
        <v>45062.476199999997</v>
      </c>
      <c r="J315" s="397">
        <v>26.550273000000011</v>
      </c>
      <c r="K315" s="495">
        <f t="shared" si="28"/>
        <v>71.61274920000001</v>
      </c>
      <c r="L315" s="578"/>
      <c r="M315" s="45">
        <f t="shared" si="30"/>
        <v>0</v>
      </c>
      <c r="N315" s="46">
        <f t="shared" si="34"/>
        <v>71.61274920000001</v>
      </c>
      <c r="O315" s="46">
        <f t="shared" si="29"/>
        <v>50</v>
      </c>
      <c r="P315" s="234"/>
      <c r="Q315" s="46"/>
      <c r="R315" s="450"/>
      <c r="S315" s="257"/>
      <c r="T315" s="46"/>
      <c r="U315" s="46"/>
      <c r="V315" s="46"/>
      <c r="W315" s="46"/>
      <c r="X315" s="196"/>
      <c r="Y315" s="46"/>
      <c r="Z315" s="46"/>
      <c r="AA315" s="46"/>
      <c r="AB315" s="46"/>
      <c r="AC315" s="46"/>
      <c r="AD315" s="46"/>
      <c r="AE315" s="46"/>
      <c r="AF315" s="196"/>
      <c r="AG315" s="46"/>
      <c r="AH315" s="46"/>
      <c r="AI315" s="46"/>
      <c r="AJ315" s="46"/>
      <c r="AK315" s="46"/>
      <c r="AL315" s="46"/>
      <c r="AM315" s="46"/>
      <c r="AN315" s="196"/>
      <c r="AO315" s="438"/>
      <c r="AP315" s="46"/>
      <c r="AQ315" s="368"/>
      <c r="AR315" s="257"/>
      <c r="AS315" s="196"/>
      <c r="AT315" s="46"/>
      <c r="AU315" s="46"/>
      <c r="AV315" s="196"/>
      <c r="AW315" s="257"/>
      <c r="AX315" s="196"/>
      <c r="AY315" s="191"/>
      <c r="AZ315" s="257"/>
      <c r="BA315" s="196"/>
      <c r="BB315" s="46"/>
      <c r="BC315" s="257"/>
      <c r="BD315" s="196"/>
      <c r="BE315" s="191"/>
      <c r="BF315" s="46"/>
      <c r="BG315" s="196"/>
      <c r="BH315" s="46"/>
      <c r="BI315" s="257"/>
      <c r="BJ315" s="196" t="s">
        <v>248</v>
      </c>
      <c r="BK315" s="191">
        <v>20</v>
      </c>
      <c r="BL315" s="257">
        <f>BK315*2500</f>
        <v>50000</v>
      </c>
      <c r="BM315" s="196"/>
      <c r="BN315" s="46"/>
      <c r="BO315" s="257"/>
      <c r="BP315" s="196"/>
      <c r="BQ315" s="190"/>
      <c r="BR315" s="46"/>
      <c r="BS315" s="196"/>
      <c r="BT315" s="46"/>
      <c r="BU315" s="257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196"/>
      <c r="CI315" s="46"/>
      <c r="CJ315" s="46"/>
      <c r="CK315" s="46"/>
      <c r="CL315" s="46"/>
      <c r="CM315" s="46"/>
      <c r="CN315" s="196"/>
      <c r="CO315" s="191"/>
      <c r="CP315" s="257"/>
      <c r="CQ315" s="196"/>
      <c r="CR315" s="167"/>
      <c r="CS315" s="257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191"/>
      <c r="DN315" s="46"/>
      <c r="DO315" s="196"/>
      <c r="DP315" s="581"/>
      <c r="DQ315" s="257">
        <f t="shared" si="31"/>
        <v>0</v>
      </c>
      <c r="DR315" s="294"/>
      <c r="DS315" s="295"/>
      <c r="DT315" s="386">
        <f t="shared" si="32"/>
        <v>0</v>
      </c>
      <c r="DU315" s="41"/>
      <c r="DV315" s="41"/>
      <c r="DW315" s="256"/>
      <c r="DX315" s="41"/>
      <c r="DY315" s="41"/>
      <c r="DZ315" s="68"/>
      <c r="EA315" s="41"/>
      <c r="EB315" s="41"/>
      <c r="EC315" s="256"/>
      <c r="ED315" s="308"/>
      <c r="EE315" s="308"/>
      <c r="EF315" s="308"/>
      <c r="EG315" s="41"/>
      <c r="EH315" s="41"/>
      <c r="EI315" s="41"/>
      <c r="EJ315" s="69"/>
      <c r="EK315" s="308"/>
      <c r="EL315" s="308"/>
      <c r="EM315" s="308"/>
      <c r="EN315" s="308"/>
      <c r="EO315" s="41"/>
      <c r="EP315" s="41"/>
      <c r="EQ315" s="41"/>
      <c r="ER315" s="256"/>
      <c r="ES315" s="293"/>
      <c r="ET315" s="293"/>
      <c r="EU315" s="293"/>
      <c r="EV315" s="293"/>
      <c r="EW315" s="41"/>
      <c r="EX315" s="41"/>
      <c r="EY315" s="41"/>
      <c r="EZ315" s="256"/>
      <c r="FA315" s="308"/>
      <c r="FB315" s="308"/>
      <c r="FC315" s="308"/>
      <c r="FD315" s="308"/>
      <c r="FE315" s="41"/>
      <c r="FF315" s="41"/>
      <c r="FG315" s="41"/>
      <c r="FH315" s="256"/>
      <c r="FI315" s="41"/>
      <c r="FJ315" s="41"/>
      <c r="FK315" s="41"/>
      <c r="FL315" s="276"/>
    </row>
    <row r="316" spans="1:168">
      <c r="A316" s="45">
        <v>309</v>
      </c>
      <c r="B316" s="45" t="s">
        <v>210</v>
      </c>
      <c r="C316" s="45">
        <v>4</v>
      </c>
      <c r="D316" s="29" t="s">
        <v>512</v>
      </c>
      <c r="E316" s="175">
        <v>65</v>
      </c>
      <c r="F316" s="188">
        <v>7</v>
      </c>
      <c r="G316" s="246">
        <f>44802.072/1000</f>
        <v>44.802072000000003</v>
      </c>
      <c r="H316" s="45">
        <v>0</v>
      </c>
      <c r="I316" s="45">
        <v>44802.071999999993</v>
      </c>
      <c r="J316" s="397">
        <v>-111.27378</v>
      </c>
      <c r="K316" s="495">
        <f t="shared" si="28"/>
        <v>-66.471708000000007</v>
      </c>
      <c r="L316" s="578"/>
      <c r="M316" s="45">
        <f t="shared" si="30"/>
        <v>0</v>
      </c>
      <c r="N316" s="46">
        <f t="shared" si="34"/>
        <v>-66.471708000000007</v>
      </c>
      <c r="O316" s="46">
        <f t="shared" si="29"/>
        <v>0</v>
      </c>
      <c r="P316" s="234"/>
      <c r="Q316" s="46"/>
      <c r="R316" s="450"/>
      <c r="S316" s="257"/>
      <c r="T316" s="46"/>
      <c r="U316" s="46"/>
      <c r="V316" s="46"/>
      <c r="W316" s="46"/>
      <c r="X316" s="196"/>
      <c r="Y316" s="46"/>
      <c r="Z316" s="46"/>
      <c r="AA316" s="46"/>
      <c r="AB316" s="46"/>
      <c r="AC316" s="46"/>
      <c r="AD316" s="46"/>
      <c r="AE316" s="46"/>
      <c r="AF316" s="196"/>
      <c r="AG316" s="46"/>
      <c r="AH316" s="46"/>
      <c r="AI316" s="46"/>
      <c r="AJ316" s="46"/>
      <c r="AK316" s="46"/>
      <c r="AL316" s="46"/>
      <c r="AM316" s="46"/>
      <c r="AN316" s="196"/>
      <c r="AO316" s="438"/>
      <c r="AP316" s="46"/>
      <c r="AQ316" s="368"/>
      <c r="AR316" s="257"/>
      <c r="AS316" s="196"/>
      <c r="AT316" s="46"/>
      <c r="AU316" s="46"/>
      <c r="AV316" s="196"/>
      <c r="AW316" s="257"/>
      <c r="AX316" s="196"/>
      <c r="AY316" s="191"/>
      <c r="AZ316" s="257"/>
      <c r="BA316" s="196"/>
      <c r="BB316" s="46"/>
      <c r="BC316" s="257"/>
      <c r="BD316" s="196"/>
      <c r="BE316" s="191"/>
      <c r="BF316" s="46"/>
      <c r="BG316" s="196"/>
      <c r="BH316" s="46"/>
      <c r="BI316" s="257"/>
      <c r="BJ316" s="196"/>
      <c r="BK316" s="191"/>
      <c r="BL316" s="257"/>
      <c r="BM316" s="196"/>
      <c r="BN316" s="46"/>
      <c r="BO316" s="257"/>
      <c r="BP316" s="196"/>
      <c r="BQ316" s="190"/>
      <c r="BR316" s="46"/>
      <c r="BS316" s="196"/>
      <c r="BT316" s="46"/>
      <c r="BU316" s="257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196"/>
      <c r="CI316" s="46"/>
      <c r="CJ316" s="46"/>
      <c r="CK316" s="46"/>
      <c r="CL316" s="46"/>
      <c r="CM316" s="46"/>
      <c r="CN316" s="196"/>
      <c r="CO316" s="191"/>
      <c r="CP316" s="257"/>
      <c r="CQ316" s="196"/>
      <c r="CR316" s="167"/>
      <c r="CS316" s="257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191"/>
      <c r="DN316" s="46"/>
      <c r="DO316" s="196"/>
      <c r="DP316" s="581"/>
      <c r="DQ316" s="257">
        <f t="shared" si="31"/>
        <v>0</v>
      </c>
      <c r="DR316" s="294"/>
      <c r="DS316" s="295"/>
      <c r="DT316" s="386">
        <f t="shared" si="32"/>
        <v>0</v>
      </c>
      <c r="DU316" s="41"/>
      <c r="DV316" s="41"/>
      <c r="DW316" s="256"/>
      <c r="DX316" s="41"/>
      <c r="DY316" s="41"/>
      <c r="DZ316" s="68"/>
      <c r="EA316" s="41"/>
      <c r="EB316" s="41"/>
      <c r="EC316" s="256"/>
      <c r="ED316" s="308"/>
      <c r="EE316" s="308"/>
      <c r="EF316" s="308"/>
      <c r="EG316" s="41"/>
      <c r="EH316" s="41"/>
      <c r="EI316" s="41"/>
      <c r="EJ316" s="69"/>
      <c r="EK316" s="308"/>
      <c r="EL316" s="308"/>
      <c r="EM316" s="308"/>
      <c r="EN316" s="308"/>
      <c r="EO316" s="41"/>
      <c r="EP316" s="41"/>
      <c r="EQ316" s="41"/>
      <c r="ER316" s="256"/>
      <c r="ES316" s="293"/>
      <c r="ET316" s="293"/>
      <c r="EU316" s="293"/>
      <c r="EV316" s="293"/>
      <c r="EW316" s="41"/>
      <c r="EX316" s="41"/>
      <c r="EY316" s="41"/>
      <c r="EZ316" s="256"/>
      <c r="FA316" s="308"/>
      <c r="FB316" s="308"/>
      <c r="FC316" s="308"/>
      <c r="FD316" s="308"/>
      <c r="FE316" s="41"/>
      <c r="FF316" s="41"/>
      <c r="FG316" s="41"/>
      <c r="FH316" s="256"/>
      <c r="FI316" s="41"/>
      <c r="FJ316" s="41"/>
      <c r="FK316" s="41"/>
      <c r="FL316" s="276"/>
    </row>
    <row r="317" spans="1:168">
      <c r="A317" s="45">
        <v>310</v>
      </c>
      <c r="B317" s="45" t="s">
        <v>210</v>
      </c>
      <c r="C317" s="45">
        <v>4</v>
      </c>
      <c r="D317" s="29" t="s">
        <v>512</v>
      </c>
      <c r="E317" s="175">
        <v>74</v>
      </c>
      <c r="F317" s="188">
        <v>7</v>
      </c>
      <c r="G317" s="246">
        <f>44875.278/1000</f>
        <v>44.875278000000002</v>
      </c>
      <c r="H317" s="45">
        <v>0</v>
      </c>
      <c r="I317" s="45">
        <v>44875.277999999998</v>
      </c>
      <c r="J317" s="397">
        <v>-38.590830000000018</v>
      </c>
      <c r="K317" s="495">
        <f t="shared" si="28"/>
        <v>6.2844479999999834</v>
      </c>
      <c r="L317" s="578"/>
      <c r="M317" s="45">
        <f t="shared" si="30"/>
        <v>0</v>
      </c>
      <c r="N317" s="46">
        <f t="shared" si="34"/>
        <v>6.2844479999999834</v>
      </c>
      <c r="O317" s="46">
        <f t="shared" si="29"/>
        <v>6</v>
      </c>
      <c r="P317" s="234"/>
      <c r="Q317" s="46"/>
      <c r="R317" s="450"/>
      <c r="S317" s="257"/>
      <c r="T317" s="46"/>
      <c r="U317" s="46"/>
      <c r="V317" s="46"/>
      <c r="W317" s="46"/>
      <c r="X317" s="196"/>
      <c r="Y317" s="46"/>
      <c r="Z317" s="46"/>
      <c r="AA317" s="46"/>
      <c r="AB317" s="46"/>
      <c r="AC317" s="46"/>
      <c r="AD317" s="46"/>
      <c r="AE317" s="46"/>
      <c r="AF317" s="196"/>
      <c r="AG317" s="46"/>
      <c r="AH317" s="46"/>
      <c r="AI317" s="46"/>
      <c r="AJ317" s="46"/>
      <c r="AK317" s="46"/>
      <c r="AL317" s="46"/>
      <c r="AM317" s="46"/>
      <c r="AN317" s="196"/>
      <c r="AO317" s="438"/>
      <c r="AP317" s="46"/>
      <c r="AQ317" s="368"/>
      <c r="AR317" s="257"/>
      <c r="AS317" s="196"/>
      <c r="AT317" s="46"/>
      <c r="AU317" s="46"/>
      <c r="AV317" s="196"/>
      <c r="AW317" s="257"/>
      <c r="AX317" s="196"/>
      <c r="AY317" s="191"/>
      <c r="AZ317" s="257"/>
      <c r="BA317" s="196"/>
      <c r="BB317" s="46"/>
      <c r="BC317" s="257"/>
      <c r="BD317" s="196"/>
      <c r="BE317" s="191"/>
      <c r="BF317" s="46"/>
      <c r="BG317" s="196"/>
      <c r="BH317" s="46"/>
      <c r="BI317" s="257"/>
      <c r="BJ317" s="196"/>
      <c r="BK317" s="191"/>
      <c r="BL317" s="257"/>
      <c r="BM317" s="196"/>
      <c r="BN317" s="46"/>
      <c r="BO317" s="257"/>
      <c r="BP317" s="196"/>
      <c r="BQ317" s="190"/>
      <c r="BR317" s="46"/>
      <c r="BS317" s="196"/>
      <c r="BT317" s="46"/>
      <c r="BU317" s="257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196"/>
      <c r="CI317" s="46"/>
      <c r="CJ317" s="46"/>
      <c r="CK317" s="46"/>
      <c r="CL317" s="46"/>
      <c r="CM317" s="46"/>
      <c r="CN317" s="196"/>
      <c r="CO317" s="191"/>
      <c r="CP317" s="257"/>
      <c r="CQ317" s="196"/>
      <c r="CR317" s="167"/>
      <c r="CS317" s="257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191"/>
      <c r="DN317" s="46"/>
      <c r="DO317" s="196"/>
      <c r="DP317" s="581" t="s">
        <v>531</v>
      </c>
      <c r="DQ317" s="257">
        <f>DW317+EC317+EJ317+ER317+EZ317+FH317+6000</f>
        <v>6000</v>
      </c>
      <c r="DR317" s="294"/>
      <c r="DS317" s="295"/>
      <c r="DT317" s="386">
        <f t="shared" si="32"/>
        <v>0</v>
      </c>
      <c r="DU317" s="41"/>
      <c r="DV317" s="41"/>
      <c r="DW317" s="256"/>
      <c r="DX317" s="41"/>
      <c r="DY317" s="41"/>
      <c r="DZ317" s="68"/>
      <c r="EA317" s="41"/>
      <c r="EB317" s="41"/>
      <c r="EC317" s="256"/>
      <c r="ED317" s="308"/>
      <c r="EE317" s="308"/>
      <c r="EF317" s="308"/>
      <c r="EG317" s="41"/>
      <c r="EH317" s="41"/>
      <c r="EI317" s="41"/>
      <c r="EJ317" s="69"/>
      <c r="EK317" s="308"/>
      <c r="EL317" s="308"/>
      <c r="EM317" s="308"/>
      <c r="EN317" s="308"/>
      <c r="EO317" s="41"/>
      <c r="EP317" s="41"/>
      <c r="EQ317" s="41"/>
      <c r="ER317" s="256"/>
      <c r="ES317" s="293"/>
      <c r="ET317" s="293"/>
      <c r="EU317" s="293"/>
      <c r="EV317" s="293"/>
      <c r="EW317" s="41"/>
      <c r="EX317" s="41"/>
      <c r="EY317" s="41"/>
      <c r="EZ317" s="256"/>
      <c r="FA317" s="308"/>
      <c r="FB317" s="308"/>
      <c r="FC317" s="308"/>
      <c r="FD317" s="308"/>
      <c r="FE317" s="41"/>
      <c r="FF317" s="41"/>
      <c r="FG317" s="41"/>
      <c r="FH317" s="256"/>
      <c r="FI317" s="41"/>
      <c r="FJ317" s="41"/>
      <c r="FK317" s="41"/>
      <c r="FL317" s="276"/>
    </row>
    <row r="318" spans="1:168">
      <c r="A318" s="45">
        <v>311</v>
      </c>
      <c r="B318" s="45" t="s">
        <v>210</v>
      </c>
      <c r="C318" s="45">
        <v>4</v>
      </c>
      <c r="D318" s="29" t="s">
        <v>512</v>
      </c>
      <c r="E318" s="175">
        <v>76</v>
      </c>
      <c r="F318" s="188">
        <v>7</v>
      </c>
      <c r="G318" s="246">
        <f>43630.776/1000</f>
        <v>43.630775999999997</v>
      </c>
      <c r="H318" s="45">
        <v>0</v>
      </c>
      <c r="I318" s="45">
        <v>43630.775999999998</v>
      </c>
      <c r="J318" s="397">
        <v>145.54114000000001</v>
      </c>
      <c r="K318" s="495">
        <f t="shared" si="28"/>
        <v>189.17191600000001</v>
      </c>
      <c r="L318" s="578"/>
      <c r="M318" s="45">
        <f t="shared" si="30"/>
        <v>0</v>
      </c>
      <c r="N318" s="46">
        <f t="shared" si="34"/>
        <v>189.17191600000001</v>
      </c>
      <c r="O318" s="46">
        <f t="shared" si="29"/>
        <v>189</v>
      </c>
      <c r="P318" s="234"/>
      <c r="Q318" s="46"/>
      <c r="R318" s="450"/>
      <c r="S318" s="257"/>
      <c r="T318" s="46"/>
      <c r="U318" s="46"/>
      <c r="V318" s="46"/>
      <c r="W318" s="46"/>
      <c r="X318" s="196"/>
      <c r="Y318" s="46"/>
      <c r="Z318" s="46"/>
      <c r="AA318" s="46"/>
      <c r="AB318" s="46"/>
      <c r="AC318" s="46"/>
      <c r="AD318" s="46"/>
      <c r="AE318" s="46"/>
      <c r="AF318" s="196"/>
      <c r="AG318" s="46"/>
      <c r="AH318" s="46"/>
      <c r="AI318" s="46"/>
      <c r="AJ318" s="46"/>
      <c r="AK318" s="46"/>
      <c r="AL318" s="46"/>
      <c r="AM318" s="46"/>
      <c r="AN318" s="196"/>
      <c r="AO318" s="438"/>
      <c r="AP318" s="46"/>
      <c r="AQ318" s="368"/>
      <c r="AR318" s="257"/>
      <c r="AS318" s="196"/>
      <c r="AT318" s="46"/>
      <c r="AU318" s="46"/>
      <c r="AV318" s="196"/>
      <c r="AW318" s="257"/>
      <c r="AX318" s="196"/>
      <c r="AY318" s="191"/>
      <c r="AZ318" s="257"/>
      <c r="BA318" s="196"/>
      <c r="BB318" s="46"/>
      <c r="BC318" s="257"/>
      <c r="BD318" s="196"/>
      <c r="BE318" s="191"/>
      <c r="BF318" s="46"/>
      <c r="BG318" s="196"/>
      <c r="BH318" s="46"/>
      <c r="BI318" s="257"/>
      <c r="BJ318" s="196"/>
      <c r="BK318" s="191"/>
      <c r="BL318" s="257"/>
      <c r="BM318" s="196"/>
      <c r="BN318" s="46"/>
      <c r="BO318" s="257"/>
      <c r="BP318" s="196"/>
      <c r="BQ318" s="190"/>
      <c r="BR318" s="46"/>
      <c r="BS318" s="196"/>
      <c r="BT318" s="46"/>
      <c r="BU318" s="257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196"/>
      <c r="CI318" s="46"/>
      <c r="CJ318" s="46"/>
      <c r="CK318" s="46"/>
      <c r="CL318" s="46"/>
      <c r="CM318" s="46"/>
      <c r="CN318" s="196"/>
      <c r="CO318" s="191"/>
      <c r="CP318" s="257"/>
      <c r="CQ318" s="196"/>
      <c r="CR318" s="167"/>
      <c r="CS318" s="257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191"/>
      <c r="DN318" s="46"/>
      <c r="DO318" s="196"/>
      <c r="DP318" s="581" t="s">
        <v>531</v>
      </c>
      <c r="DQ318" s="257">
        <f>DW318+EC318+EJ318+ER318+EZ318+FH318+189000</f>
        <v>189000</v>
      </c>
      <c r="DR318" s="294"/>
      <c r="DS318" s="295"/>
      <c r="DT318" s="386">
        <f t="shared" si="32"/>
        <v>0</v>
      </c>
      <c r="DU318" s="41"/>
      <c r="DV318" s="41"/>
      <c r="DW318" s="256"/>
      <c r="DX318" s="41"/>
      <c r="DY318" s="41"/>
      <c r="DZ318" s="68"/>
      <c r="EA318" s="41"/>
      <c r="EB318" s="41"/>
      <c r="EC318" s="256"/>
      <c r="ED318" s="308"/>
      <c r="EE318" s="308"/>
      <c r="EF318" s="308"/>
      <c r="EG318" s="41"/>
      <c r="EH318" s="41"/>
      <c r="EI318" s="41"/>
      <c r="EJ318" s="69"/>
      <c r="EK318" s="308"/>
      <c r="EL318" s="308"/>
      <c r="EM318" s="308"/>
      <c r="EN318" s="308"/>
      <c r="EO318" s="41"/>
      <c r="EP318" s="41"/>
      <c r="EQ318" s="41"/>
      <c r="ER318" s="256"/>
      <c r="ES318" s="293"/>
      <c r="ET318" s="293"/>
      <c r="EU318" s="293"/>
      <c r="EV318" s="293"/>
      <c r="EW318" s="41"/>
      <c r="EX318" s="41"/>
      <c r="EY318" s="41"/>
      <c r="EZ318" s="256"/>
      <c r="FA318" s="308"/>
      <c r="FB318" s="308"/>
      <c r="FC318" s="308"/>
      <c r="FD318" s="308"/>
      <c r="FE318" s="41"/>
      <c r="FF318" s="41"/>
      <c r="FG318" s="41"/>
      <c r="FH318" s="256"/>
      <c r="FI318" s="41"/>
      <c r="FJ318" s="41"/>
      <c r="FK318" s="41"/>
      <c r="FL318" s="276"/>
    </row>
    <row r="319" spans="1:168">
      <c r="A319" s="45">
        <v>312</v>
      </c>
      <c r="B319" s="45" t="s">
        <v>210</v>
      </c>
      <c r="C319" s="45">
        <v>4</v>
      </c>
      <c r="D319" s="29" t="s">
        <v>512</v>
      </c>
      <c r="E319" s="175" t="s">
        <v>145</v>
      </c>
      <c r="F319" s="188">
        <v>7</v>
      </c>
      <c r="G319" s="246">
        <f>43693.524/1000</f>
        <v>43.693523999999996</v>
      </c>
      <c r="H319" s="45">
        <v>0</v>
      </c>
      <c r="I319" s="45">
        <v>43693.52399999999</v>
      </c>
      <c r="J319" s="397">
        <v>118.61281</v>
      </c>
      <c r="K319" s="495">
        <f t="shared" si="28"/>
        <v>162.30633399999999</v>
      </c>
      <c r="L319" s="578"/>
      <c r="M319" s="45">
        <f t="shared" si="30"/>
        <v>0</v>
      </c>
      <c r="N319" s="46">
        <f>K319-M319</f>
        <v>162.30633399999999</v>
      </c>
      <c r="O319" s="46">
        <f t="shared" si="29"/>
        <v>162</v>
      </c>
      <c r="P319" s="234"/>
      <c r="Q319" s="46"/>
      <c r="R319" s="450"/>
      <c r="S319" s="257"/>
      <c r="T319" s="46"/>
      <c r="U319" s="46"/>
      <c r="V319" s="46"/>
      <c r="W319" s="46"/>
      <c r="X319" s="196"/>
      <c r="Y319" s="46"/>
      <c r="Z319" s="46"/>
      <c r="AA319" s="46"/>
      <c r="AB319" s="46"/>
      <c r="AC319" s="46"/>
      <c r="AD319" s="46"/>
      <c r="AE319" s="46"/>
      <c r="AF319" s="196"/>
      <c r="AG319" s="46"/>
      <c r="AH319" s="46"/>
      <c r="AI319" s="46"/>
      <c r="AJ319" s="46"/>
      <c r="AK319" s="46"/>
      <c r="AL319" s="46"/>
      <c r="AM319" s="46"/>
      <c r="AN319" s="196"/>
      <c r="AO319" s="438"/>
      <c r="AP319" s="46"/>
      <c r="AQ319" s="368"/>
      <c r="AR319" s="257"/>
      <c r="AS319" s="196"/>
      <c r="AT319" s="46"/>
      <c r="AU319" s="46"/>
      <c r="AV319" s="196"/>
      <c r="AW319" s="257"/>
      <c r="AX319" s="196"/>
      <c r="AY319" s="191"/>
      <c r="AZ319" s="257"/>
      <c r="BA319" s="196"/>
      <c r="BB319" s="46"/>
      <c r="BC319" s="257"/>
      <c r="BD319" s="196"/>
      <c r="BE319" s="191"/>
      <c r="BF319" s="46"/>
      <c r="BG319" s="196"/>
      <c r="BH319" s="46"/>
      <c r="BI319" s="257"/>
      <c r="BJ319" s="196"/>
      <c r="BK319" s="191"/>
      <c r="BL319" s="257"/>
      <c r="BM319" s="196"/>
      <c r="BN319" s="46"/>
      <c r="BO319" s="257"/>
      <c r="BP319" s="196"/>
      <c r="BQ319" s="190"/>
      <c r="BR319" s="46"/>
      <c r="BS319" s="196"/>
      <c r="BT319" s="46"/>
      <c r="BU319" s="257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196"/>
      <c r="CI319" s="46"/>
      <c r="CJ319" s="46"/>
      <c r="CK319" s="46"/>
      <c r="CL319" s="46"/>
      <c r="CM319" s="46"/>
      <c r="CN319" s="196"/>
      <c r="CO319" s="191"/>
      <c r="CP319" s="257"/>
      <c r="CQ319" s="196"/>
      <c r="CR319" s="167"/>
      <c r="CS319" s="257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191"/>
      <c r="DN319" s="46"/>
      <c r="DO319" s="196"/>
      <c r="DP319" s="581" t="s">
        <v>531</v>
      </c>
      <c r="DQ319" s="257">
        <f>DW319+EC319+EJ319+ER319+EZ319+FH319+162000</f>
        <v>162000</v>
      </c>
      <c r="DR319" s="294"/>
      <c r="DS319" s="295"/>
      <c r="DT319" s="386">
        <f t="shared" si="32"/>
        <v>0</v>
      </c>
      <c r="DU319" s="41"/>
      <c r="DV319" s="41"/>
      <c r="DW319" s="256"/>
      <c r="DX319" s="41"/>
      <c r="DY319" s="41"/>
      <c r="DZ319" s="68"/>
      <c r="EA319" s="41"/>
      <c r="EB319" s="41"/>
      <c r="EC319" s="256"/>
      <c r="ED319" s="308"/>
      <c r="EE319" s="308"/>
      <c r="EF319" s="308"/>
      <c r="EG319" s="41"/>
      <c r="EH319" s="41"/>
      <c r="EI319" s="41"/>
      <c r="EJ319" s="69"/>
      <c r="EK319" s="308"/>
      <c r="EL319" s="308"/>
      <c r="EM319" s="308"/>
      <c r="EN319" s="308"/>
      <c r="EO319" s="41"/>
      <c r="EP319" s="41"/>
      <c r="EQ319" s="41"/>
      <c r="ER319" s="256"/>
      <c r="ES319" s="293"/>
      <c r="ET319" s="293"/>
      <c r="EU319" s="293"/>
      <c r="EV319" s="293"/>
      <c r="EW319" s="41"/>
      <c r="EX319" s="41"/>
      <c r="EY319" s="41"/>
      <c r="EZ319" s="256"/>
      <c r="FA319" s="308"/>
      <c r="FB319" s="308"/>
      <c r="FC319" s="308"/>
      <c r="FD319" s="308"/>
      <c r="FE319" s="41"/>
      <c r="FF319" s="41"/>
      <c r="FG319" s="41"/>
      <c r="FH319" s="256"/>
      <c r="FI319" s="41"/>
      <c r="FJ319" s="41"/>
      <c r="FK319" s="41"/>
      <c r="FL319" s="276"/>
    </row>
    <row r="320" spans="1:168">
      <c r="A320" s="45">
        <v>313</v>
      </c>
      <c r="B320" s="45" t="s">
        <v>210</v>
      </c>
      <c r="C320" s="45">
        <v>4</v>
      </c>
      <c r="D320" s="29" t="s">
        <v>181</v>
      </c>
      <c r="E320" s="30" t="s">
        <v>132</v>
      </c>
      <c r="F320" s="30">
        <v>5</v>
      </c>
      <c r="G320" s="246">
        <f>317005.92/1000</f>
        <v>317.00592</v>
      </c>
      <c r="H320" s="45">
        <v>317005.91999999993</v>
      </c>
      <c r="I320" s="45">
        <v>0</v>
      </c>
      <c r="J320" s="397">
        <v>19.163729999999987</v>
      </c>
      <c r="K320" s="495">
        <f t="shared" ref="K320:K382" si="35">G320+J320</f>
        <v>336.16964999999999</v>
      </c>
      <c r="L320" s="578"/>
      <c r="M320" s="45">
        <f t="shared" si="30"/>
        <v>0</v>
      </c>
      <c r="N320" s="46">
        <f t="shared" si="27"/>
        <v>336.16964999999999</v>
      </c>
      <c r="O320" s="46">
        <f t="shared" si="29"/>
        <v>300</v>
      </c>
      <c r="P320" s="234" t="s">
        <v>226</v>
      </c>
      <c r="Q320" s="46">
        <v>1</v>
      </c>
      <c r="R320" s="450" t="s">
        <v>224</v>
      </c>
      <c r="S320" s="257">
        <v>200000</v>
      </c>
      <c r="T320" s="46"/>
      <c r="U320" s="46"/>
      <c r="V320" s="167"/>
      <c r="W320" s="46"/>
      <c r="X320" s="196"/>
      <c r="Y320" s="46"/>
      <c r="Z320" s="46"/>
      <c r="AA320" s="46"/>
      <c r="AB320" s="46"/>
      <c r="AC320" s="46"/>
      <c r="AD320" s="46"/>
      <c r="AE320" s="46"/>
      <c r="AF320" s="196"/>
      <c r="AG320" s="46"/>
      <c r="AH320" s="46"/>
      <c r="AI320" s="46"/>
      <c r="AJ320" s="46"/>
      <c r="AK320" s="46"/>
      <c r="AL320" s="46"/>
      <c r="AM320" s="46"/>
      <c r="AN320" s="196"/>
      <c r="AO320" s="438"/>
      <c r="AP320" s="46"/>
      <c r="AQ320" s="368"/>
      <c r="AR320" s="257"/>
      <c r="AS320" s="218"/>
      <c r="AT320" s="46"/>
      <c r="AU320" s="167"/>
      <c r="AV320" s="218"/>
      <c r="AW320" s="257"/>
      <c r="AX320" s="196"/>
      <c r="AY320" s="191"/>
      <c r="AZ320" s="257"/>
      <c r="BA320" s="196"/>
      <c r="BB320" s="46"/>
      <c r="BC320" s="257"/>
      <c r="BD320" s="196"/>
      <c r="BE320" s="191"/>
      <c r="BF320" s="46"/>
      <c r="BG320" s="196"/>
      <c r="BH320" s="46"/>
      <c r="BI320" s="257"/>
      <c r="BJ320" s="196"/>
      <c r="BK320" s="191"/>
      <c r="BL320" s="257"/>
      <c r="BM320" s="196"/>
      <c r="BN320" s="46"/>
      <c r="BO320" s="257"/>
      <c r="BP320" s="196"/>
      <c r="BQ320" s="190"/>
      <c r="BR320" s="46"/>
      <c r="BS320" s="196"/>
      <c r="BT320" s="46"/>
      <c r="BU320" s="257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196"/>
      <c r="CI320" s="46"/>
      <c r="CJ320" s="46"/>
      <c r="CK320" s="46"/>
      <c r="CL320" s="46"/>
      <c r="CM320" s="46"/>
      <c r="CN320" s="196" t="s">
        <v>249</v>
      </c>
      <c r="CO320" s="191" t="s">
        <v>326</v>
      </c>
      <c r="CP320" s="257">
        <v>100000</v>
      </c>
      <c r="CQ320" s="196"/>
      <c r="CR320" s="167"/>
      <c r="CS320" s="257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191"/>
      <c r="DN320" s="46"/>
      <c r="DO320" s="196"/>
      <c r="DP320" s="581"/>
      <c r="DQ320" s="257">
        <f t="shared" si="31"/>
        <v>0</v>
      </c>
      <c r="DR320" s="296"/>
      <c r="DS320" s="295"/>
      <c r="DT320" s="386">
        <f t="shared" si="32"/>
        <v>0</v>
      </c>
      <c r="DU320" s="41"/>
      <c r="DV320" s="41"/>
      <c r="DW320" s="256"/>
      <c r="DX320" s="41"/>
      <c r="DY320" s="41"/>
      <c r="DZ320" s="68"/>
      <c r="EA320" s="41"/>
      <c r="EB320" s="41"/>
      <c r="EC320" s="256"/>
      <c r="ED320" s="308"/>
      <c r="EE320" s="308"/>
      <c r="EF320" s="308"/>
      <c r="EG320" s="41"/>
      <c r="EH320" s="41"/>
      <c r="EI320" s="41"/>
      <c r="EJ320" s="69"/>
      <c r="EK320" s="308"/>
      <c r="EL320" s="308"/>
      <c r="EM320" s="308"/>
      <c r="EN320" s="308"/>
      <c r="EO320" s="41"/>
      <c r="EP320" s="41"/>
      <c r="EQ320" s="41"/>
      <c r="ER320" s="256"/>
      <c r="ES320" s="293"/>
      <c r="ET320" s="293"/>
      <c r="EU320" s="293"/>
      <c r="EV320" s="293"/>
      <c r="EW320" s="41"/>
      <c r="EX320" s="41"/>
      <c r="EY320" s="41"/>
      <c r="EZ320" s="256"/>
      <c r="FA320" s="308"/>
      <c r="FB320" s="308"/>
      <c r="FC320" s="308"/>
      <c r="FD320" s="308"/>
      <c r="FE320" s="46"/>
      <c r="FF320" s="41"/>
      <c r="FG320" s="41"/>
      <c r="FH320" s="256"/>
      <c r="FI320" s="41"/>
      <c r="FJ320" s="41"/>
      <c r="FK320" s="41"/>
      <c r="FL320" s="276"/>
    </row>
    <row r="321" spans="1:168">
      <c r="A321" s="45">
        <v>314</v>
      </c>
      <c r="B321" s="45" t="s">
        <v>210</v>
      </c>
      <c r="C321" s="45">
        <v>4</v>
      </c>
      <c r="D321" s="29" t="s">
        <v>1003</v>
      </c>
      <c r="E321" s="175">
        <v>2</v>
      </c>
      <c r="F321" s="188">
        <v>7</v>
      </c>
      <c r="G321" s="246">
        <f>42804.594/1000</f>
        <v>42.804593999999994</v>
      </c>
      <c r="H321" s="45">
        <v>0</v>
      </c>
      <c r="I321" s="45">
        <v>42804.593999999997</v>
      </c>
      <c r="J321" s="397">
        <v>152.00346999999999</v>
      </c>
      <c r="K321" s="495">
        <f t="shared" si="35"/>
        <v>194.808064</v>
      </c>
      <c r="L321" s="578"/>
      <c r="M321" s="45">
        <f t="shared" si="30"/>
        <v>0</v>
      </c>
      <c r="N321" s="46">
        <f>K321-M321</f>
        <v>194.808064</v>
      </c>
      <c r="O321" s="46">
        <f t="shared" si="29"/>
        <v>0</v>
      </c>
      <c r="P321" s="234" t="s">
        <v>582</v>
      </c>
      <c r="Q321" s="46"/>
      <c r="R321" s="450"/>
      <c r="S321" s="257"/>
      <c r="T321" s="46"/>
      <c r="U321" s="46"/>
      <c r="V321" s="46"/>
      <c r="W321" s="46"/>
      <c r="X321" s="196"/>
      <c r="Y321" s="46"/>
      <c r="Z321" s="46"/>
      <c r="AA321" s="46"/>
      <c r="AB321" s="46"/>
      <c r="AC321" s="46"/>
      <c r="AD321" s="46"/>
      <c r="AE321" s="46"/>
      <c r="AF321" s="196"/>
      <c r="AG321" s="46"/>
      <c r="AH321" s="46"/>
      <c r="AI321" s="46"/>
      <c r="AJ321" s="46"/>
      <c r="AK321" s="46"/>
      <c r="AL321" s="46"/>
      <c r="AM321" s="46"/>
      <c r="AN321" s="196"/>
      <c r="AO321" s="438"/>
      <c r="AP321" s="46"/>
      <c r="AQ321" s="368"/>
      <c r="AR321" s="257"/>
      <c r="AS321" s="196"/>
      <c r="AT321" s="46"/>
      <c r="AU321" s="46"/>
      <c r="AV321" s="196"/>
      <c r="AW321" s="257"/>
      <c r="AX321" s="196"/>
      <c r="AY321" s="191"/>
      <c r="AZ321" s="257"/>
      <c r="BA321" s="196"/>
      <c r="BB321" s="46"/>
      <c r="BC321" s="257"/>
      <c r="BD321" s="196"/>
      <c r="BE321" s="191"/>
      <c r="BF321" s="46"/>
      <c r="BG321" s="196"/>
      <c r="BH321" s="46"/>
      <c r="BI321" s="257"/>
      <c r="BJ321" s="196"/>
      <c r="BK321" s="191"/>
      <c r="BL321" s="257"/>
      <c r="BM321" s="196"/>
      <c r="BN321" s="46"/>
      <c r="BO321" s="257"/>
      <c r="BP321" s="196"/>
      <c r="BQ321" s="190"/>
      <c r="BR321" s="46"/>
      <c r="BS321" s="196"/>
      <c r="BT321" s="46"/>
      <c r="BU321" s="257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196"/>
      <c r="CI321" s="46"/>
      <c r="CJ321" s="46"/>
      <c r="CK321" s="46"/>
      <c r="CL321" s="46"/>
      <c r="CM321" s="46"/>
      <c r="CN321" s="196"/>
      <c r="CO321" s="191"/>
      <c r="CP321" s="257"/>
      <c r="CQ321" s="196"/>
      <c r="CR321" s="167"/>
      <c r="CS321" s="257"/>
      <c r="CT321" s="46"/>
      <c r="CU321" s="46"/>
      <c r="CV321" s="46"/>
      <c r="CW321" s="46"/>
      <c r="CX321" s="46"/>
      <c r="CY321" s="46"/>
      <c r="CZ321" s="46"/>
      <c r="DA321" s="46"/>
      <c r="DB321" s="257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191"/>
      <c r="DN321" s="46"/>
      <c r="DO321" s="196"/>
      <c r="DP321" s="581"/>
      <c r="DQ321" s="257">
        <f t="shared" si="31"/>
        <v>0</v>
      </c>
      <c r="DR321" s="294"/>
      <c r="DS321" s="295"/>
      <c r="DT321" s="386">
        <f t="shared" si="32"/>
        <v>0</v>
      </c>
      <c r="DU321" s="41"/>
      <c r="DV321" s="41"/>
      <c r="DW321" s="256"/>
      <c r="DX321" s="41"/>
      <c r="DY321" s="41"/>
      <c r="DZ321" s="68"/>
      <c r="EA321" s="41"/>
      <c r="EB321" s="41"/>
      <c r="EC321" s="256"/>
      <c r="ED321" s="308"/>
      <c r="EE321" s="308"/>
      <c r="EF321" s="308"/>
      <c r="EG321" s="41"/>
      <c r="EH321" s="41"/>
      <c r="EI321" s="41"/>
      <c r="EJ321" s="69"/>
      <c r="EK321" s="308"/>
      <c r="EL321" s="308"/>
      <c r="EM321" s="308"/>
      <c r="EN321" s="308"/>
      <c r="EO321" s="41"/>
      <c r="EP321" s="41"/>
      <c r="EQ321" s="41"/>
      <c r="ER321" s="256"/>
      <c r="ES321" s="293"/>
      <c r="ET321" s="293"/>
      <c r="EU321" s="293"/>
      <c r="EV321" s="293"/>
      <c r="EW321" s="41"/>
      <c r="EX321" s="41"/>
      <c r="EY321" s="41"/>
      <c r="EZ321" s="256"/>
      <c r="FA321" s="308"/>
      <c r="FB321" s="308"/>
      <c r="FC321" s="308"/>
      <c r="FD321" s="308"/>
      <c r="FE321" s="41"/>
      <c r="FF321" s="41"/>
      <c r="FG321" s="41"/>
      <c r="FH321" s="256"/>
      <c r="FI321" s="41"/>
      <c r="FJ321" s="41"/>
      <c r="FK321" s="41"/>
      <c r="FL321" s="276"/>
    </row>
    <row r="322" spans="1:168" ht="30">
      <c r="A322" s="45">
        <v>315</v>
      </c>
      <c r="B322" s="45" t="s">
        <v>210</v>
      </c>
      <c r="C322" s="45">
        <v>4</v>
      </c>
      <c r="D322" s="29" t="s">
        <v>181</v>
      </c>
      <c r="E322" s="30">
        <v>3</v>
      </c>
      <c r="F322" s="30">
        <v>7</v>
      </c>
      <c r="G322" s="246">
        <f>62758.458/1000</f>
        <v>62.758457999999997</v>
      </c>
      <c r="H322" s="45">
        <v>0</v>
      </c>
      <c r="I322" s="45">
        <v>62758.457999999999</v>
      </c>
      <c r="J322" s="397">
        <v>170.03103000000002</v>
      </c>
      <c r="K322" s="495">
        <f t="shared" si="35"/>
        <v>232.78948800000001</v>
      </c>
      <c r="L322" s="578"/>
      <c r="M322" s="45">
        <f t="shared" si="30"/>
        <v>10.637559999999999</v>
      </c>
      <c r="N322" s="46">
        <f t="shared" si="27"/>
        <v>222.151928</v>
      </c>
      <c r="O322" s="46">
        <f t="shared" si="29"/>
        <v>192.4</v>
      </c>
      <c r="P322" s="234"/>
      <c r="Q322" s="46"/>
      <c r="R322" s="450"/>
      <c r="S322" s="257"/>
      <c r="T322" s="46"/>
      <c r="U322" s="46"/>
      <c r="V322" s="46"/>
      <c r="W322" s="46"/>
      <c r="X322" s="196"/>
      <c r="Y322" s="46"/>
      <c r="Z322" s="46"/>
      <c r="AA322" s="46"/>
      <c r="AB322" s="46"/>
      <c r="AC322" s="46"/>
      <c r="AD322" s="46"/>
      <c r="AE322" s="46"/>
      <c r="AF322" s="196"/>
      <c r="AG322" s="46"/>
      <c r="AH322" s="46"/>
      <c r="AI322" s="46"/>
      <c r="AJ322" s="46"/>
      <c r="AK322" s="46"/>
      <c r="AL322" s="46"/>
      <c r="AM322" s="46"/>
      <c r="AN322" s="196"/>
      <c r="AO322" s="438"/>
      <c r="AP322" s="46"/>
      <c r="AQ322" s="368"/>
      <c r="AR322" s="257"/>
      <c r="AS322" s="196"/>
      <c r="AT322" s="46"/>
      <c r="AU322" s="46"/>
      <c r="AV322" s="196"/>
      <c r="AW322" s="257"/>
      <c r="AX322" s="196" t="s">
        <v>250</v>
      </c>
      <c r="AY322" s="190" t="s">
        <v>971</v>
      </c>
      <c r="AZ322" s="257">
        <f>7*2000</f>
        <v>14000</v>
      </c>
      <c r="BA322" s="196"/>
      <c r="BB322" s="46"/>
      <c r="BC322" s="257"/>
      <c r="BD322" s="196"/>
      <c r="BE322" s="191"/>
      <c r="BF322" s="46"/>
      <c r="BG322" s="196"/>
      <c r="BH322" s="46"/>
      <c r="BI322" s="257"/>
      <c r="BJ322" s="196" t="s">
        <v>228</v>
      </c>
      <c r="BK322" s="191">
        <v>40</v>
      </c>
      <c r="BL322" s="257">
        <f>BK322*2500</f>
        <v>100000</v>
      </c>
      <c r="BM322" s="196"/>
      <c r="BN322" s="46"/>
      <c r="BO322" s="257"/>
      <c r="BP322" s="196" t="s">
        <v>250</v>
      </c>
      <c r="BQ322" s="190" t="s">
        <v>971</v>
      </c>
      <c r="BR322" s="46">
        <f>7*1200</f>
        <v>8400</v>
      </c>
      <c r="BS322" s="196"/>
      <c r="BT322" s="46"/>
      <c r="BU322" s="257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196"/>
      <c r="CI322" s="46"/>
      <c r="CJ322" s="46"/>
      <c r="CK322" s="46"/>
      <c r="CL322" s="46"/>
      <c r="CM322" s="46"/>
      <c r="CN322" s="196" t="s">
        <v>249</v>
      </c>
      <c r="CO322" s="191">
        <v>100</v>
      </c>
      <c r="CP322" s="257">
        <v>50000</v>
      </c>
      <c r="CQ322" s="196"/>
      <c r="CR322" s="167"/>
      <c r="CS322" s="257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191"/>
      <c r="DN322" s="46"/>
      <c r="DO322" s="196"/>
      <c r="DP322" s="221" t="s">
        <v>530</v>
      </c>
      <c r="DQ322" s="257">
        <f t="shared" si="31"/>
        <v>20000</v>
      </c>
      <c r="DR322" s="294" t="s">
        <v>523</v>
      </c>
      <c r="DS322" s="295" t="s">
        <v>530</v>
      </c>
      <c r="DT322" s="386">
        <f t="shared" si="32"/>
        <v>10637.56</v>
      </c>
      <c r="DU322" s="41"/>
      <c r="DV322" s="41"/>
      <c r="DW322" s="256"/>
      <c r="DX322" s="41"/>
      <c r="DY322" s="41"/>
      <c r="DZ322" s="68"/>
      <c r="EA322" s="41"/>
      <c r="EB322" s="41"/>
      <c r="EC322" s="256"/>
      <c r="ED322" s="308"/>
      <c r="EE322" s="308"/>
      <c r="EF322" s="308"/>
      <c r="EG322" s="41"/>
      <c r="EH322" s="41"/>
      <c r="EI322" s="41"/>
      <c r="EJ322" s="69"/>
      <c r="EK322" s="308"/>
      <c r="EL322" s="308"/>
      <c r="EM322" s="308"/>
      <c r="EN322" s="308"/>
      <c r="EO322" s="41">
        <v>6</v>
      </c>
      <c r="EP322" s="41">
        <v>1</v>
      </c>
      <c r="EQ322" s="41">
        <v>1</v>
      </c>
      <c r="ER322" s="256">
        <v>20000</v>
      </c>
      <c r="ES322" s="293">
        <v>1</v>
      </c>
      <c r="ET322" s="293">
        <v>1</v>
      </c>
      <c r="EU322" s="293">
        <v>1</v>
      </c>
      <c r="EV322" s="293">
        <f>10637.56</f>
        <v>10637.56</v>
      </c>
      <c r="EW322" s="41"/>
      <c r="EX322" s="41"/>
      <c r="EY322" s="41"/>
      <c r="EZ322" s="256"/>
      <c r="FA322" s="308"/>
      <c r="FB322" s="308"/>
      <c r="FC322" s="308"/>
      <c r="FD322" s="308"/>
      <c r="FE322" s="41"/>
      <c r="FF322" s="41"/>
      <c r="FG322" s="41"/>
      <c r="FH322" s="256"/>
      <c r="FI322" s="41"/>
      <c r="FJ322" s="41"/>
      <c r="FK322" s="41"/>
      <c r="FL322" s="276"/>
    </row>
    <row r="323" spans="1:168" ht="67.150000000000006" customHeight="1">
      <c r="A323" s="45">
        <v>316</v>
      </c>
      <c r="B323" s="45" t="s">
        <v>210</v>
      </c>
      <c r="C323" s="45">
        <v>4</v>
      </c>
      <c r="D323" s="29" t="s">
        <v>1003</v>
      </c>
      <c r="E323" s="175">
        <v>4</v>
      </c>
      <c r="F323" s="188">
        <v>7</v>
      </c>
      <c r="G323" s="246">
        <f>42480.396/1000</f>
        <v>42.480395999999999</v>
      </c>
      <c r="H323" s="45">
        <v>0</v>
      </c>
      <c r="I323" s="45">
        <v>42480.396000000008</v>
      </c>
      <c r="J323" s="397">
        <v>130.52914999999999</v>
      </c>
      <c r="K323" s="495">
        <f t="shared" si="35"/>
        <v>173.009546</v>
      </c>
      <c r="L323" s="578"/>
      <c r="M323" s="45">
        <f t="shared" si="30"/>
        <v>0</v>
      </c>
      <c r="N323" s="46">
        <f>K323-M323</f>
        <v>173.009546</v>
      </c>
      <c r="O323" s="46">
        <f t="shared" si="29"/>
        <v>0</v>
      </c>
      <c r="P323" s="234" t="s">
        <v>582</v>
      </c>
      <c r="Q323" s="46"/>
      <c r="R323" s="450"/>
      <c r="S323" s="257"/>
      <c r="T323" s="46"/>
      <c r="U323" s="46"/>
      <c r="V323" s="46"/>
      <c r="W323" s="46"/>
      <c r="X323" s="196"/>
      <c r="Y323" s="46"/>
      <c r="Z323" s="46"/>
      <c r="AA323" s="46"/>
      <c r="AB323" s="46"/>
      <c r="AC323" s="46"/>
      <c r="AD323" s="46"/>
      <c r="AE323" s="46"/>
      <c r="AF323" s="196"/>
      <c r="AG323" s="46"/>
      <c r="AH323" s="46"/>
      <c r="AI323" s="46"/>
      <c r="AJ323" s="46"/>
      <c r="AK323" s="46"/>
      <c r="AL323" s="46"/>
      <c r="AM323" s="46"/>
      <c r="AN323" s="196"/>
      <c r="AO323" s="438"/>
      <c r="AP323" s="46"/>
      <c r="AQ323" s="368"/>
      <c r="AR323" s="257"/>
      <c r="AS323" s="196"/>
      <c r="AT323" s="46"/>
      <c r="AU323" s="46"/>
      <c r="AV323" s="196"/>
      <c r="AW323" s="257"/>
      <c r="AX323" s="196"/>
      <c r="AY323" s="191"/>
      <c r="AZ323" s="257"/>
      <c r="BA323" s="196"/>
      <c r="BB323" s="46"/>
      <c r="BC323" s="257"/>
      <c r="BD323" s="196"/>
      <c r="BE323" s="191"/>
      <c r="BF323" s="46"/>
      <c r="BG323" s="196"/>
      <c r="BH323" s="46"/>
      <c r="BI323" s="257"/>
      <c r="BJ323" s="196"/>
      <c r="BK323" s="191"/>
      <c r="BL323" s="257"/>
      <c r="BM323" s="196"/>
      <c r="BN323" s="46"/>
      <c r="BO323" s="257"/>
      <c r="BP323" s="196"/>
      <c r="BQ323" s="190"/>
      <c r="BR323" s="46"/>
      <c r="BS323" s="196"/>
      <c r="BT323" s="46"/>
      <c r="BU323" s="257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196"/>
      <c r="CI323" s="46"/>
      <c r="CJ323" s="46"/>
      <c r="CK323" s="46"/>
      <c r="CL323" s="46"/>
      <c r="CM323" s="46"/>
      <c r="CN323" s="196"/>
      <c r="CO323" s="191"/>
      <c r="CP323" s="257"/>
      <c r="CQ323" s="196"/>
      <c r="CR323" s="167"/>
      <c r="CS323" s="257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191"/>
      <c r="DN323" s="46"/>
      <c r="DO323" s="196"/>
      <c r="DP323" s="221"/>
      <c r="DQ323" s="257">
        <f t="shared" si="31"/>
        <v>0</v>
      </c>
      <c r="DR323" s="294"/>
      <c r="DS323" s="295"/>
      <c r="DT323" s="386">
        <f t="shared" si="32"/>
        <v>0</v>
      </c>
      <c r="DU323" s="41"/>
      <c r="DV323" s="41"/>
      <c r="DW323" s="256"/>
      <c r="DX323" s="41"/>
      <c r="DY323" s="41"/>
      <c r="DZ323" s="68"/>
      <c r="EA323" s="41"/>
      <c r="EB323" s="41"/>
      <c r="EC323" s="256"/>
      <c r="ED323" s="308"/>
      <c r="EE323" s="308"/>
      <c r="EF323" s="308"/>
      <c r="EG323" s="41"/>
      <c r="EH323" s="41"/>
      <c r="EI323" s="41"/>
      <c r="EJ323" s="69"/>
      <c r="EK323" s="308"/>
      <c r="EL323" s="308"/>
      <c r="EM323" s="308"/>
      <c r="EN323" s="308"/>
      <c r="EO323" s="41"/>
      <c r="EP323" s="41"/>
      <c r="EQ323" s="41"/>
      <c r="ER323" s="256"/>
      <c r="ES323" s="293"/>
      <c r="ET323" s="293"/>
      <c r="EU323" s="293"/>
      <c r="EV323" s="293"/>
      <c r="EW323" s="41"/>
      <c r="EX323" s="41"/>
      <c r="EY323" s="41"/>
      <c r="EZ323" s="256"/>
      <c r="FA323" s="308"/>
      <c r="FB323" s="308"/>
      <c r="FC323" s="308"/>
      <c r="FD323" s="308"/>
      <c r="FE323" s="41"/>
      <c r="FF323" s="41"/>
      <c r="FG323" s="41"/>
      <c r="FH323" s="256"/>
      <c r="FI323" s="41"/>
      <c r="FJ323" s="41"/>
      <c r="FK323" s="41"/>
      <c r="FL323" s="276"/>
    </row>
    <row r="324" spans="1:168">
      <c r="A324" s="45">
        <v>317</v>
      </c>
      <c r="B324" s="45" t="s">
        <v>210</v>
      </c>
      <c r="C324" s="45">
        <v>4</v>
      </c>
      <c r="D324" s="29" t="s">
        <v>1003</v>
      </c>
      <c r="E324" s="30">
        <v>6</v>
      </c>
      <c r="F324" s="30">
        <v>7</v>
      </c>
      <c r="G324" s="246">
        <f>42731.388/1000</f>
        <v>42.731387999999995</v>
      </c>
      <c r="H324" s="45">
        <v>0</v>
      </c>
      <c r="I324" s="45">
        <v>42731.388000000006</v>
      </c>
      <c r="J324" s="397">
        <v>148.38848999999999</v>
      </c>
      <c r="K324" s="495">
        <f t="shared" si="35"/>
        <v>191.11987799999997</v>
      </c>
      <c r="L324" s="578"/>
      <c r="M324" s="45">
        <f t="shared" si="30"/>
        <v>0</v>
      </c>
      <c r="N324" s="46">
        <f t="shared" si="27"/>
        <v>191.11987799999997</v>
      </c>
      <c r="O324" s="46">
        <f t="shared" si="29"/>
        <v>0</v>
      </c>
      <c r="P324" s="234" t="s">
        <v>582</v>
      </c>
      <c r="Q324" s="46"/>
      <c r="R324" s="450"/>
      <c r="S324" s="257"/>
      <c r="T324" s="46"/>
      <c r="U324" s="46"/>
      <c r="V324" s="46"/>
      <c r="W324" s="46"/>
      <c r="X324" s="196"/>
      <c r="Y324" s="46"/>
      <c r="Z324" s="46"/>
      <c r="AA324" s="46"/>
      <c r="AB324" s="46"/>
      <c r="AC324" s="46"/>
      <c r="AD324" s="46"/>
      <c r="AE324" s="46"/>
      <c r="AF324" s="196"/>
      <c r="AG324" s="46"/>
      <c r="AH324" s="46"/>
      <c r="AI324" s="46"/>
      <c r="AJ324" s="46"/>
      <c r="AK324" s="46"/>
      <c r="AL324" s="46"/>
      <c r="AM324" s="46"/>
      <c r="AN324" s="196"/>
      <c r="AO324" s="438"/>
      <c r="AP324" s="46"/>
      <c r="AQ324" s="368"/>
      <c r="AR324" s="257"/>
      <c r="AS324" s="196"/>
      <c r="AT324" s="46"/>
      <c r="AU324" s="46"/>
      <c r="AV324" s="196"/>
      <c r="AW324" s="257"/>
      <c r="AX324" s="196"/>
      <c r="AY324" s="191"/>
      <c r="AZ324" s="257"/>
      <c r="BA324" s="196"/>
      <c r="BB324" s="46"/>
      <c r="BC324" s="257"/>
      <c r="BD324" s="196"/>
      <c r="BE324" s="191"/>
      <c r="BF324" s="46"/>
      <c r="BG324" s="196"/>
      <c r="BH324" s="46"/>
      <c r="BI324" s="257"/>
      <c r="BJ324" s="196"/>
      <c r="BK324" s="191"/>
      <c r="BL324" s="257"/>
      <c r="BM324" s="196"/>
      <c r="BN324" s="46"/>
      <c r="BO324" s="257"/>
      <c r="BP324" s="196"/>
      <c r="BQ324" s="190"/>
      <c r="BR324" s="46"/>
      <c r="BS324" s="196"/>
      <c r="BT324" s="46"/>
      <c r="BU324" s="257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196"/>
      <c r="CI324" s="46"/>
      <c r="CJ324" s="46"/>
      <c r="CK324" s="46"/>
      <c r="CL324" s="46"/>
      <c r="CM324" s="46"/>
      <c r="CN324" s="196"/>
      <c r="CO324" s="191"/>
      <c r="CP324" s="257"/>
      <c r="CQ324" s="196"/>
      <c r="CR324" s="167"/>
      <c r="CS324" s="257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191"/>
      <c r="DN324" s="46"/>
      <c r="DO324" s="196"/>
      <c r="DP324" s="221"/>
      <c r="DQ324" s="257">
        <f t="shared" si="31"/>
        <v>0</v>
      </c>
      <c r="DR324" s="294"/>
      <c r="DS324" s="295"/>
      <c r="DT324" s="386">
        <f t="shared" si="32"/>
        <v>0</v>
      </c>
      <c r="DU324" s="41"/>
      <c r="DV324" s="41"/>
      <c r="DW324" s="256"/>
      <c r="DX324" s="41"/>
      <c r="DY324" s="41"/>
      <c r="DZ324" s="68"/>
      <c r="EA324" s="41"/>
      <c r="EB324" s="41"/>
      <c r="EC324" s="256"/>
      <c r="ED324" s="308"/>
      <c r="EE324" s="308"/>
      <c r="EF324" s="308"/>
      <c r="EG324" s="41"/>
      <c r="EH324" s="41"/>
      <c r="EI324" s="41"/>
      <c r="EJ324" s="69"/>
      <c r="EK324" s="308"/>
      <c r="EL324" s="308"/>
      <c r="EM324" s="308"/>
      <c r="EN324" s="308"/>
      <c r="EO324" s="41"/>
      <c r="EP324" s="41"/>
      <c r="EQ324" s="41"/>
      <c r="ER324" s="256"/>
      <c r="ES324" s="293"/>
      <c r="ET324" s="293"/>
      <c r="EU324" s="293"/>
      <c r="EV324" s="293"/>
      <c r="EW324" s="41"/>
      <c r="EX324" s="41"/>
      <c r="EY324" s="41"/>
      <c r="EZ324" s="256"/>
      <c r="FA324" s="308"/>
      <c r="FB324" s="308"/>
      <c r="FC324" s="308"/>
      <c r="FD324" s="308"/>
      <c r="FE324" s="41"/>
      <c r="FF324" s="41"/>
      <c r="FG324" s="41"/>
      <c r="FH324" s="256"/>
      <c r="FI324" s="41"/>
      <c r="FJ324" s="41"/>
      <c r="FK324" s="41"/>
      <c r="FL324" s="276"/>
    </row>
    <row r="325" spans="1:168" ht="49.5">
      <c r="A325" s="45">
        <v>318</v>
      </c>
      <c r="B325" s="45" t="s">
        <v>210</v>
      </c>
      <c r="C325" s="45">
        <v>4</v>
      </c>
      <c r="D325" s="29" t="s">
        <v>181</v>
      </c>
      <c r="E325" s="30">
        <v>8</v>
      </c>
      <c r="F325" s="30">
        <v>7</v>
      </c>
      <c r="G325" s="246">
        <f>43703.982/1000</f>
        <v>43.703982000000003</v>
      </c>
      <c r="H325" s="45">
        <v>0</v>
      </c>
      <c r="I325" s="45">
        <v>43703.982000000004</v>
      </c>
      <c r="J325" s="397">
        <v>162.93556000000004</v>
      </c>
      <c r="K325" s="495">
        <f t="shared" si="35"/>
        <v>206.63954200000003</v>
      </c>
      <c r="L325" s="578"/>
      <c r="M325" s="45">
        <f t="shared" si="30"/>
        <v>0</v>
      </c>
      <c r="N325" s="46">
        <f t="shared" si="27"/>
        <v>206.63954200000003</v>
      </c>
      <c r="O325" s="46">
        <f t="shared" ref="O325:O382" si="36">(S325+AA325+AI325+AR325+AZ325+BF325+BL325+BR325+BX325+CD325+CJ325+CP325+CV325+DB325+DH325+DN325+DQ325)/1000</f>
        <v>80</v>
      </c>
      <c r="P325" s="234" t="s">
        <v>227</v>
      </c>
      <c r="Q325" s="46">
        <v>1</v>
      </c>
      <c r="R325" s="450" t="s">
        <v>910</v>
      </c>
      <c r="S325" s="257">
        <v>20000</v>
      </c>
      <c r="T325" s="46"/>
      <c r="U325" s="46"/>
      <c r="V325" s="46"/>
      <c r="W325" s="46"/>
      <c r="X325" s="196"/>
      <c r="Y325" s="46"/>
      <c r="Z325" s="46"/>
      <c r="AA325" s="46"/>
      <c r="AB325" s="46"/>
      <c r="AC325" s="46"/>
      <c r="AD325" s="46"/>
      <c r="AE325" s="46"/>
      <c r="AF325" s="196"/>
      <c r="AG325" s="46"/>
      <c r="AH325" s="46"/>
      <c r="AI325" s="46"/>
      <c r="AJ325" s="46"/>
      <c r="AK325" s="46"/>
      <c r="AL325" s="46"/>
      <c r="AM325" s="46"/>
      <c r="AN325" s="196"/>
      <c r="AO325" s="438"/>
      <c r="AP325" s="46"/>
      <c r="AQ325" s="368"/>
      <c r="AR325" s="257"/>
      <c r="AS325" s="196"/>
      <c r="AT325" s="46"/>
      <c r="AU325" s="46"/>
      <c r="AV325" s="196"/>
      <c r="AW325" s="257"/>
      <c r="AX325" s="196"/>
      <c r="AY325" s="191"/>
      <c r="AZ325" s="257"/>
      <c r="BA325" s="196"/>
      <c r="BB325" s="46"/>
      <c r="BC325" s="257"/>
      <c r="BD325" s="196"/>
      <c r="BE325" s="191"/>
      <c r="BF325" s="46"/>
      <c r="BG325" s="196"/>
      <c r="BH325" s="46"/>
      <c r="BI325" s="257"/>
      <c r="BJ325" s="196"/>
      <c r="BK325" s="191"/>
      <c r="BL325" s="257"/>
      <c r="BM325" s="196"/>
      <c r="BN325" s="46"/>
      <c r="BO325" s="257"/>
      <c r="BP325" s="196"/>
      <c r="BQ325" s="190"/>
      <c r="BR325" s="46"/>
      <c r="BS325" s="196"/>
      <c r="BT325" s="46"/>
      <c r="BU325" s="257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196"/>
      <c r="CI325" s="46"/>
      <c r="CJ325" s="46"/>
      <c r="CK325" s="46"/>
      <c r="CL325" s="46"/>
      <c r="CM325" s="46"/>
      <c r="CN325" s="196"/>
      <c r="CO325" s="191"/>
      <c r="CP325" s="257"/>
      <c r="CQ325" s="196"/>
      <c r="CR325" s="167"/>
      <c r="CS325" s="257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191"/>
      <c r="DN325" s="46"/>
      <c r="DO325" s="218"/>
      <c r="DP325" s="221" t="s">
        <v>972</v>
      </c>
      <c r="DQ325" s="257">
        <f>DW325+EC325+EJ325+ER325+EZ325+FH325+20000+5000+15000</f>
        <v>60000</v>
      </c>
      <c r="DR325" s="294"/>
      <c r="DS325" s="295"/>
      <c r="DT325" s="386">
        <f t="shared" si="32"/>
        <v>0</v>
      </c>
      <c r="DU325" s="41"/>
      <c r="DV325" s="41"/>
      <c r="DW325" s="256"/>
      <c r="DX325" s="41"/>
      <c r="DY325" s="41"/>
      <c r="DZ325" s="68"/>
      <c r="EA325" s="41"/>
      <c r="EB325" s="41"/>
      <c r="EC325" s="256"/>
      <c r="ED325" s="308"/>
      <c r="EE325" s="308"/>
      <c r="EF325" s="308"/>
      <c r="EG325" s="41"/>
      <c r="EH325" s="41"/>
      <c r="EI325" s="41"/>
      <c r="EJ325" s="69"/>
      <c r="EK325" s="308"/>
      <c r="EL325" s="308"/>
      <c r="EM325" s="308"/>
      <c r="EN325" s="308"/>
      <c r="EO325" s="41">
        <v>6</v>
      </c>
      <c r="EP325" s="41">
        <v>1</v>
      </c>
      <c r="EQ325" s="41">
        <v>1</v>
      </c>
      <c r="ER325" s="256">
        <v>20000</v>
      </c>
      <c r="ES325" s="293"/>
      <c r="ET325" s="293"/>
      <c r="EU325" s="293"/>
      <c r="EV325" s="293"/>
      <c r="EW325" s="41"/>
      <c r="EX325" s="41"/>
      <c r="EY325" s="41"/>
      <c r="EZ325" s="256"/>
      <c r="FA325" s="308"/>
      <c r="FB325" s="308"/>
      <c r="FC325" s="308"/>
      <c r="FD325" s="308"/>
      <c r="FE325" s="41"/>
      <c r="FF325" s="41"/>
      <c r="FG325" s="41"/>
      <c r="FH325" s="256"/>
      <c r="FI325" s="41"/>
      <c r="FJ325" s="41"/>
      <c r="FK325" s="41"/>
      <c r="FL325" s="276"/>
    </row>
    <row r="326" spans="1:168" ht="49.5">
      <c r="A326" s="45">
        <v>319</v>
      </c>
      <c r="B326" s="45" t="s">
        <v>210</v>
      </c>
      <c r="C326" s="45">
        <v>4</v>
      </c>
      <c r="D326" s="29" t="s">
        <v>181</v>
      </c>
      <c r="E326" s="30">
        <v>10</v>
      </c>
      <c r="F326" s="30">
        <v>7</v>
      </c>
      <c r="G326" s="246">
        <f>42323.526/1000</f>
        <v>42.323526000000001</v>
      </c>
      <c r="H326" s="45">
        <v>0</v>
      </c>
      <c r="I326" s="45">
        <v>42323.525999999998</v>
      </c>
      <c r="J326" s="397">
        <v>92.538870000000031</v>
      </c>
      <c r="K326" s="495">
        <f t="shared" si="35"/>
        <v>134.86239600000005</v>
      </c>
      <c r="L326" s="578"/>
      <c r="M326" s="45">
        <f t="shared" si="30"/>
        <v>0</v>
      </c>
      <c r="N326" s="46">
        <f t="shared" si="27"/>
        <v>134.86239600000005</v>
      </c>
      <c r="O326" s="46">
        <f t="shared" si="36"/>
        <v>94.6</v>
      </c>
      <c r="P326" s="234"/>
      <c r="Q326" s="46"/>
      <c r="R326" s="450"/>
      <c r="S326" s="257"/>
      <c r="T326" s="46"/>
      <c r="U326" s="46"/>
      <c r="V326" s="46"/>
      <c r="W326" s="46"/>
      <c r="X326" s="196"/>
      <c r="Y326" s="46"/>
      <c r="Z326" s="46"/>
      <c r="AA326" s="46"/>
      <c r="AB326" s="46"/>
      <c r="AC326" s="46"/>
      <c r="AD326" s="46"/>
      <c r="AE326" s="46"/>
      <c r="AF326" s="196"/>
      <c r="AG326" s="46"/>
      <c r="AH326" s="46"/>
      <c r="AI326" s="46"/>
      <c r="AJ326" s="46"/>
      <c r="AK326" s="46"/>
      <c r="AL326" s="46"/>
      <c r="AM326" s="46"/>
      <c r="AN326" s="237"/>
      <c r="AO326" s="438"/>
      <c r="AP326" s="46"/>
      <c r="AQ326" s="368"/>
      <c r="AR326" s="257"/>
      <c r="AS326" s="196"/>
      <c r="AT326" s="46"/>
      <c r="AU326" s="46"/>
      <c r="AV326" s="196"/>
      <c r="AW326" s="257"/>
      <c r="AX326" s="196"/>
      <c r="AY326" s="191"/>
      <c r="AZ326" s="257"/>
      <c r="BA326" s="196"/>
      <c r="BB326" s="46"/>
      <c r="BC326" s="257"/>
      <c r="BD326" s="196"/>
      <c r="BE326" s="191"/>
      <c r="BF326" s="46"/>
      <c r="BG326" s="196"/>
      <c r="BH326" s="46"/>
      <c r="BI326" s="257"/>
      <c r="BJ326" s="196"/>
      <c r="BK326" s="191"/>
      <c r="BL326" s="257"/>
      <c r="BM326" s="196"/>
      <c r="BN326" s="46"/>
      <c r="BO326" s="257"/>
      <c r="BP326" s="196"/>
      <c r="BQ326" s="190"/>
      <c r="BR326" s="46"/>
      <c r="BS326" s="196"/>
      <c r="BT326" s="46"/>
      <c r="BU326" s="257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196"/>
      <c r="CI326" s="46"/>
      <c r="CJ326" s="46"/>
      <c r="CK326" s="46"/>
      <c r="CL326" s="46"/>
      <c r="CM326" s="46"/>
      <c r="CN326" s="196"/>
      <c r="CO326" s="191"/>
      <c r="CP326" s="257"/>
      <c r="CQ326" s="196"/>
      <c r="CR326" s="167"/>
      <c r="CS326" s="257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191"/>
      <c r="DN326" s="46"/>
      <c r="DO326" s="196"/>
      <c r="DP326" s="221" t="s">
        <v>973</v>
      </c>
      <c r="DQ326" s="257">
        <f>DW326+EC326+EJ326+ER326+EZ326+FH326+5000+20000+20000</f>
        <v>94600</v>
      </c>
      <c r="DR326" s="294"/>
      <c r="DS326" s="295"/>
      <c r="DT326" s="386">
        <f t="shared" si="32"/>
        <v>0</v>
      </c>
      <c r="DU326" s="41"/>
      <c r="DV326" s="41"/>
      <c r="DW326" s="256"/>
      <c r="DX326" s="41"/>
      <c r="DY326" s="41"/>
      <c r="DZ326" s="68"/>
      <c r="EA326" s="41">
        <v>5</v>
      </c>
      <c r="EB326" s="41">
        <v>62</v>
      </c>
      <c r="EC326" s="256">
        <f>EB326*800</f>
        <v>49600</v>
      </c>
      <c r="ED326" s="308"/>
      <c r="EE326" s="308"/>
      <c r="EF326" s="308"/>
      <c r="EG326" s="41"/>
      <c r="EH326" s="41"/>
      <c r="EI326" s="41"/>
      <c r="EJ326" s="69"/>
      <c r="EK326" s="308"/>
      <c r="EL326" s="308"/>
      <c r="EM326" s="308"/>
      <c r="EN326" s="308"/>
      <c r="EO326" s="41"/>
      <c r="EP326" s="41"/>
      <c r="EQ326" s="41"/>
      <c r="ER326" s="256"/>
      <c r="ES326" s="293"/>
      <c r="ET326" s="293"/>
      <c r="EU326" s="293"/>
      <c r="EV326" s="293"/>
      <c r="EW326" s="41"/>
      <c r="EX326" s="41"/>
      <c r="EY326" s="41"/>
      <c r="EZ326" s="256"/>
      <c r="FA326" s="308"/>
      <c r="FB326" s="308"/>
      <c r="FC326" s="308"/>
      <c r="FD326" s="308"/>
      <c r="FE326" s="41"/>
      <c r="FF326" s="41"/>
      <c r="FG326" s="41"/>
      <c r="FH326" s="256"/>
      <c r="FI326" s="41"/>
      <c r="FJ326" s="41"/>
      <c r="FK326" s="41"/>
      <c r="FL326" s="276"/>
    </row>
    <row r="327" spans="1:168">
      <c r="A327" s="45">
        <v>320</v>
      </c>
      <c r="B327" s="45" t="s">
        <v>210</v>
      </c>
      <c r="C327" s="45">
        <v>4</v>
      </c>
      <c r="D327" s="29" t="s">
        <v>1004</v>
      </c>
      <c r="E327" s="30">
        <v>12</v>
      </c>
      <c r="F327" s="30">
        <v>5</v>
      </c>
      <c r="G327" s="246">
        <f>59683.932/1000</f>
        <v>59.683931999999999</v>
      </c>
      <c r="H327" s="45">
        <v>59683.932000000001</v>
      </c>
      <c r="I327" s="45">
        <v>0</v>
      </c>
      <c r="J327" s="397">
        <v>222.42296999999999</v>
      </c>
      <c r="K327" s="495">
        <f t="shared" si="35"/>
        <v>282.10690199999999</v>
      </c>
      <c r="L327" s="578"/>
      <c r="M327" s="45">
        <f t="shared" si="30"/>
        <v>0</v>
      </c>
      <c r="N327" s="46">
        <f t="shared" si="27"/>
        <v>282.10690199999999</v>
      </c>
      <c r="O327" s="46">
        <f t="shared" si="36"/>
        <v>0</v>
      </c>
      <c r="P327" s="234" t="s">
        <v>582</v>
      </c>
      <c r="Q327" s="46"/>
      <c r="R327" s="450"/>
      <c r="S327" s="257"/>
      <c r="T327" s="46"/>
      <c r="U327" s="46"/>
      <c r="V327" s="46"/>
      <c r="W327" s="46"/>
      <c r="X327" s="196"/>
      <c r="Y327" s="46"/>
      <c r="Z327" s="46"/>
      <c r="AA327" s="46"/>
      <c r="AB327" s="46"/>
      <c r="AC327" s="46"/>
      <c r="AD327" s="46"/>
      <c r="AE327" s="46"/>
      <c r="AF327" s="196"/>
      <c r="AG327" s="46"/>
      <c r="AH327" s="46"/>
      <c r="AI327" s="46"/>
      <c r="AJ327" s="46"/>
      <c r="AK327" s="46"/>
      <c r="AL327" s="46"/>
      <c r="AM327" s="46"/>
      <c r="AN327" s="196"/>
      <c r="AO327" s="438"/>
      <c r="AP327" s="46"/>
      <c r="AQ327" s="368"/>
      <c r="AR327" s="257"/>
      <c r="AS327" s="196"/>
      <c r="AT327" s="46"/>
      <c r="AU327" s="46"/>
      <c r="AV327" s="196"/>
      <c r="AW327" s="257"/>
      <c r="AX327" s="196"/>
      <c r="AY327" s="191"/>
      <c r="AZ327" s="257"/>
      <c r="BA327" s="196"/>
      <c r="BB327" s="46"/>
      <c r="BC327" s="257"/>
      <c r="BD327" s="196"/>
      <c r="BE327" s="191"/>
      <c r="BF327" s="46"/>
      <c r="BG327" s="196"/>
      <c r="BH327" s="46"/>
      <c r="BI327" s="257"/>
      <c r="BJ327" s="196"/>
      <c r="BK327" s="191"/>
      <c r="BL327" s="257"/>
      <c r="BM327" s="196"/>
      <c r="BN327" s="46"/>
      <c r="BO327" s="257"/>
      <c r="BP327" s="196"/>
      <c r="BQ327" s="190"/>
      <c r="BR327" s="46"/>
      <c r="BS327" s="196"/>
      <c r="BT327" s="46"/>
      <c r="BU327" s="257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196"/>
      <c r="CI327" s="46"/>
      <c r="CJ327" s="46"/>
      <c r="CK327" s="46"/>
      <c r="CL327" s="46"/>
      <c r="CM327" s="46"/>
      <c r="CN327" s="196"/>
      <c r="CO327" s="191"/>
      <c r="CP327" s="257"/>
      <c r="CQ327" s="196"/>
      <c r="CR327" s="167"/>
      <c r="CS327" s="257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191"/>
      <c r="DN327" s="46"/>
      <c r="DO327" s="218"/>
      <c r="DP327" s="221"/>
      <c r="DQ327" s="257">
        <f t="shared" si="31"/>
        <v>0</v>
      </c>
      <c r="DR327" s="294"/>
      <c r="DS327" s="295"/>
      <c r="DT327" s="386">
        <f t="shared" si="32"/>
        <v>0</v>
      </c>
      <c r="DU327" s="41"/>
      <c r="DV327" s="41"/>
      <c r="DW327" s="256"/>
      <c r="DX327" s="41"/>
      <c r="DY327" s="41"/>
      <c r="DZ327" s="68"/>
      <c r="EA327" s="41"/>
      <c r="EB327" s="41"/>
      <c r="EC327" s="256"/>
      <c r="ED327" s="308"/>
      <c r="EE327" s="308"/>
      <c r="EF327" s="308"/>
      <c r="EG327" s="41"/>
      <c r="EH327" s="41"/>
      <c r="EI327" s="41"/>
      <c r="EJ327" s="69"/>
      <c r="EK327" s="308"/>
      <c r="EL327" s="308"/>
      <c r="EM327" s="308"/>
      <c r="EN327" s="308"/>
      <c r="EO327" s="41"/>
      <c r="EP327" s="41"/>
      <c r="EQ327" s="41"/>
      <c r="ER327" s="256"/>
      <c r="ES327" s="293"/>
      <c r="ET327" s="293"/>
      <c r="EU327" s="293"/>
      <c r="EV327" s="293"/>
      <c r="EW327" s="41"/>
      <c r="EX327" s="41"/>
      <c r="EY327" s="41"/>
      <c r="EZ327" s="256"/>
      <c r="FA327" s="308"/>
      <c r="FB327" s="308"/>
      <c r="FC327" s="308"/>
      <c r="FD327" s="308"/>
      <c r="FE327" s="46"/>
      <c r="FF327" s="41"/>
      <c r="FG327" s="41"/>
      <c r="FH327" s="256"/>
      <c r="FI327" s="41"/>
      <c r="FJ327" s="41"/>
      <c r="FK327" s="41"/>
      <c r="FL327" s="276"/>
    </row>
    <row r="328" spans="1:168">
      <c r="A328" s="45">
        <v>321</v>
      </c>
      <c r="B328" s="45" t="s">
        <v>210</v>
      </c>
      <c r="C328" s="45">
        <v>4</v>
      </c>
      <c r="D328" s="29" t="s">
        <v>1004</v>
      </c>
      <c r="E328" s="177" t="s">
        <v>85</v>
      </c>
      <c r="F328" s="188">
        <v>5</v>
      </c>
      <c r="G328" s="246">
        <f>39950.064/1000</f>
        <v>39.950063999999998</v>
      </c>
      <c r="H328" s="45">
        <v>39950.063999999998</v>
      </c>
      <c r="I328" s="45">
        <v>0</v>
      </c>
      <c r="J328" s="397">
        <v>128.55031</v>
      </c>
      <c r="K328" s="495">
        <f t="shared" si="35"/>
        <v>168.50037399999999</v>
      </c>
      <c r="L328" s="578"/>
      <c r="M328" s="45">
        <f t="shared" si="30"/>
        <v>0</v>
      </c>
      <c r="N328" s="46">
        <f>K328-M328</f>
        <v>168.50037399999999</v>
      </c>
      <c r="O328" s="46">
        <f t="shared" si="36"/>
        <v>0</v>
      </c>
      <c r="P328" s="234" t="s">
        <v>582</v>
      </c>
      <c r="Q328" s="46"/>
      <c r="R328" s="450"/>
      <c r="S328" s="257"/>
      <c r="T328" s="46"/>
      <c r="U328" s="46"/>
      <c r="V328" s="46"/>
      <c r="W328" s="46"/>
      <c r="X328" s="196"/>
      <c r="Y328" s="46"/>
      <c r="Z328" s="46"/>
      <c r="AA328" s="46"/>
      <c r="AB328" s="46"/>
      <c r="AC328" s="46"/>
      <c r="AD328" s="46"/>
      <c r="AE328" s="46"/>
      <c r="AF328" s="196"/>
      <c r="AG328" s="46"/>
      <c r="AH328" s="46"/>
      <c r="AI328" s="46"/>
      <c r="AJ328" s="46"/>
      <c r="AK328" s="46"/>
      <c r="AL328" s="46"/>
      <c r="AM328" s="46"/>
      <c r="AN328" s="196"/>
      <c r="AO328" s="438"/>
      <c r="AP328" s="46"/>
      <c r="AQ328" s="368"/>
      <c r="AR328" s="257"/>
      <c r="AS328" s="196"/>
      <c r="AT328" s="46"/>
      <c r="AU328" s="46"/>
      <c r="AV328" s="196"/>
      <c r="AW328" s="257"/>
      <c r="AX328" s="196"/>
      <c r="AY328" s="191"/>
      <c r="AZ328" s="257"/>
      <c r="BA328" s="196"/>
      <c r="BB328" s="46"/>
      <c r="BC328" s="257"/>
      <c r="BD328" s="196"/>
      <c r="BE328" s="191"/>
      <c r="BF328" s="46"/>
      <c r="BG328" s="196"/>
      <c r="BH328" s="46"/>
      <c r="BI328" s="257"/>
      <c r="BJ328" s="196"/>
      <c r="BK328" s="191"/>
      <c r="BL328" s="257"/>
      <c r="BM328" s="196"/>
      <c r="BN328" s="46"/>
      <c r="BO328" s="257"/>
      <c r="BP328" s="196"/>
      <c r="BQ328" s="190"/>
      <c r="BR328" s="46"/>
      <c r="BS328" s="196"/>
      <c r="BT328" s="46"/>
      <c r="BU328" s="257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196"/>
      <c r="CI328" s="46"/>
      <c r="CJ328" s="46"/>
      <c r="CK328" s="46"/>
      <c r="CL328" s="46"/>
      <c r="CM328" s="46"/>
      <c r="CN328" s="196"/>
      <c r="CO328" s="191"/>
      <c r="CP328" s="257"/>
      <c r="CQ328" s="196"/>
      <c r="CR328" s="167"/>
      <c r="CS328" s="257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191"/>
      <c r="DN328" s="46"/>
      <c r="DO328" s="196"/>
      <c r="DP328" s="221"/>
      <c r="DQ328" s="257">
        <f t="shared" si="31"/>
        <v>0</v>
      </c>
      <c r="DR328" s="294"/>
      <c r="DS328" s="295"/>
      <c r="DT328" s="386">
        <f t="shared" si="32"/>
        <v>0</v>
      </c>
      <c r="DU328" s="41"/>
      <c r="DV328" s="41"/>
      <c r="DW328" s="256"/>
      <c r="DX328" s="41"/>
      <c r="DY328" s="41"/>
      <c r="DZ328" s="68"/>
      <c r="EA328" s="41"/>
      <c r="EB328" s="41"/>
      <c r="EC328" s="256"/>
      <c r="ED328" s="308"/>
      <c r="EE328" s="308"/>
      <c r="EF328" s="308"/>
      <c r="EG328" s="41"/>
      <c r="EH328" s="41"/>
      <c r="EI328" s="41"/>
      <c r="EJ328" s="69"/>
      <c r="EK328" s="308"/>
      <c r="EL328" s="308"/>
      <c r="EM328" s="308"/>
      <c r="EN328" s="308"/>
      <c r="EO328" s="41"/>
      <c r="EP328" s="41"/>
      <c r="EQ328" s="41"/>
      <c r="ER328" s="256"/>
      <c r="ES328" s="293"/>
      <c r="ET328" s="293"/>
      <c r="EU328" s="293"/>
      <c r="EV328" s="293"/>
      <c r="EW328" s="41"/>
      <c r="EX328" s="41"/>
      <c r="EY328" s="41"/>
      <c r="EZ328" s="256"/>
      <c r="FA328" s="308"/>
      <c r="FB328" s="308"/>
      <c r="FC328" s="308"/>
      <c r="FD328" s="308"/>
      <c r="FE328" s="46"/>
      <c r="FF328" s="41"/>
      <c r="FG328" s="41"/>
      <c r="FH328" s="256"/>
      <c r="FI328" s="41"/>
      <c r="FJ328" s="41"/>
      <c r="FK328" s="41"/>
      <c r="FL328" s="276"/>
    </row>
    <row r="329" spans="1:168">
      <c r="A329" s="45">
        <v>322</v>
      </c>
      <c r="B329" s="45" t="s">
        <v>210</v>
      </c>
      <c r="C329" s="45">
        <v>4</v>
      </c>
      <c r="D329" s="29" t="s">
        <v>182</v>
      </c>
      <c r="E329" s="30">
        <v>11</v>
      </c>
      <c r="F329" s="30">
        <v>5</v>
      </c>
      <c r="G329" s="246">
        <f>37039.464/1000</f>
        <v>37.039464000000002</v>
      </c>
      <c r="H329" s="45">
        <v>37039.463999999993</v>
      </c>
      <c r="I329" s="45">
        <v>0</v>
      </c>
      <c r="J329" s="397">
        <v>2.8766399999999877</v>
      </c>
      <c r="K329" s="495">
        <f t="shared" si="35"/>
        <v>39.91610399999999</v>
      </c>
      <c r="L329" s="578"/>
      <c r="M329" s="45">
        <f t="shared" ref="M329:M382" si="37">(W329+AE329+AM329+AW329+BC329+BI329+BO329+BU329+CA329+CG329+CM329+CS329+CY329+DE329+DK329+DT329)/1000</f>
        <v>0</v>
      </c>
      <c r="N329" s="46">
        <f t="shared" si="27"/>
        <v>39.91610399999999</v>
      </c>
      <c r="O329" s="46">
        <f t="shared" si="36"/>
        <v>33.799999999999997</v>
      </c>
      <c r="P329" s="234"/>
      <c r="Q329" s="46"/>
      <c r="R329" s="450"/>
      <c r="S329" s="257"/>
      <c r="T329" s="46"/>
      <c r="U329" s="46"/>
      <c r="V329" s="46"/>
      <c r="W329" s="46"/>
      <c r="X329" s="196"/>
      <c r="Y329" s="46"/>
      <c r="Z329" s="46"/>
      <c r="AA329" s="46"/>
      <c r="AB329" s="46"/>
      <c r="AC329" s="46"/>
      <c r="AD329" s="46"/>
      <c r="AE329" s="46"/>
      <c r="AF329" s="196"/>
      <c r="AG329" s="46"/>
      <c r="AH329" s="46"/>
      <c r="AI329" s="46"/>
      <c r="AJ329" s="46"/>
      <c r="AK329" s="46"/>
      <c r="AL329" s="46"/>
      <c r="AM329" s="46"/>
      <c r="AN329" s="196" t="s">
        <v>248</v>
      </c>
      <c r="AO329" s="438" t="s">
        <v>335</v>
      </c>
      <c r="AP329" s="46">
        <v>26</v>
      </c>
      <c r="AQ329" s="368" t="s">
        <v>974</v>
      </c>
      <c r="AR329" s="257">
        <f>AP329*1300</f>
        <v>33800</v>
      </c>
      <c r="AS329" s="196"/>
      <c r="AT329" s="46"/>
      <c r="AU329" s="46"/>
      <c r="AV329" s="196"/>
      <c r="AW329" s="257"/>
      <c r="AX329" s="196"/>
      <c r="AY329" s="191"/>
      <c r="AZ329" s="257"/>
      <c r="BA329" s="196"/>
      <c r="BB329" s="46"/>
      <c r="BC329" s="257"/>
      <c r="BD329" s="196"/>
      <c r="BE329" s="191"/>
      <c r="BF329" s="46"/>
      <c r="BG329" s="196"/>
      <c r="BH329" s="46"/>
      <c r="BI329" s="257"/>
      <c r="BJ329" s="196"/>
      <c r="BK329" s="191"/>
      <c r="BL329" s="257"/>
      <c r="BM329" s="196"/>
      <c r="BN329" s="46"/>
      <c r="BO329" s="257"/>
      <c r="BP329" s="196"/>
      <c r="BQ329" s="190"/>
      <c r="BR329" s="46"/>
      <c r="BS329" s="196"/>
      <c r="BT329" s="46"/>
      <c r="BU329" s="257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196"/>
      <c r="CI329" s="46"/>
      <c r="CJ329" s="46"/>
      <c r="CK329" s="46"/>
      <c r="CL329" s="46"/>
      <c r="CM329" s="46"/>
      <c r="CN329" s="196"/>
      <c r="CO329" s="191"/>
      <c r="CP329" s="257"/>
      <c r="CQ329" s="196"/>
      <c r="CR329" s="167"/>
      <c r="CS329" s="257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191"/>
      <c r="DN329" s="46"/>
      <c r="DO329" s="196"/>
      <c r="DP329" s="221"/>
      <c r="DQ329" s="257">
        <f t="shared" ref="DQ329:DQ381" si="38">DW329+EC329+EJ329+ER329+EZ329+FH329</f>
        <v>0</v>
      </c>
      <c r="DR329" s="294"/>
      <c r="DS329" s="295"/>
      <c r="DT329" s="386">
        <f t="shared" ref="DT329:DT382" si="39">DZ329+EF329+EN329+EV329+FD329+FL329</f>
        <v>0</v>
      </c>
      <c r="DU329" s="41"/>
      <c r="DV329" s="41"/>
      <c r="DW329" s="256"/>
      <c r="DX329" s="41"/>
      <c r="DY329" s="41"/>
      <c r="DZ329" s="68"/>
      <c r="EA329" s="41"/>
      <c r="EB329" s="41"/>
      <c r="EC329" s="256"/>
      <c r="ED329" s="308"/>
      <c r="EE329" s="308"/>
      <c r="EF329" s="308"/>
      <c r="EG329" s="41"/>
      <c r="EH329" s="41"/>
      <c r="EI329" s="41"/>
      <c r="EJ329" s="69"/>
      <c r="EK329" s="308"/>
      <c r="EL329" s="308"/>
      <c r="EM329" s="308"/>
      <c r="EN329" s="308"/>
      <c r="EO329" s="41"/>
      <c r="EP329" s="41"/>
      <c r="EQ329" s="41"/>
      <c r="ER329" s="256"/>
      <c r="ES329" s="293"/>
      <c r="ET329" s="293"/>
      <c r="EU329" s="293"/>
      <c r="EV329" s="293"/>
      <c r="EW329" s="41"/>
      <c r="EX329" s="41"/>
      <c r="EY329" s="41"/>
      <c r="EZ329" s="256"/>
      <c r="FA329" s="308"/>
      <c r="FB329" s="308"/>
      <c r="FC329" s="308"/>
      <c r="FD329" s="308"/>
      <c r="FE329" s="46"/>
      <c r="FF329" s="41"/>
      <c r="FG329" s="41"/>
      <c r="FH329" s="256"/>
      <c r="FI329" s="41"/>
      <c r="FJ329" s="41"/>
      <c r="FK329" s="41"/>
      <c r="FL329" s="276"/>
    </row>
    <row r="330" spans="1:168">
      <c r="A330" s="45">
        <v>323</v>
      </c>
      <c r="B330" s="45" t="s">
        <v>210</v>
      </c>
      <c r="C330" s="45">
        <v>4</v>
      </c>
      <c r="D330" s="29" t="s">
        <v>579</v>
      </c>
      <c r="E330" s="30">
        <v>13</v>
      </c>
      <c r="F330" s="30">
        <v>5</v>
      </c>
      <c r="G330" s="246">
        <f>36939.672/1000</f>
        <v>36.939672000000002</v>
      </c>
      <c r="H330" s="45">
        <v>36939.671999999999</v>
      </c>
      <c r="I330" s="45">
        <v>0</v>
      </c>
      <c r="J330" s="397">
        <v>63.708880000000001</v>
      </c>
      <c r="K330" s="495">
        <f t="shared" si="35"/>
        <v>100.648552</v>
      </c>
      <c r="L330" s="578"/>
      <c r="M330" s="45">
        <f t="shared" si="37"/>
        <v>0</v>
      </c>
      <c r="N330" s="46">
        <f t="shared" si="27"/>
        <v>100.648552</v>
      </c>
      <c r="O330" s="46">
        <f t="shared" si="36"/>
        <v>0</v>
      </c>
      <c r="P330" s="234"/>
      <c r="Q330" s="46"/>
      <c r="R330" s="450"/>
      <c r="S330" s="257"/>
      <c r="T330" s="46"/>
      <c r="U330" s="46"/>
      <c r="V330" s="46"/>
      <c r="W330" s="46"/>
      <c r="X330" s="196"/>
      <c r="Y330" s="46"/>
      <c r="Z330" s="46"/>
      <c r="AA330" s="46"/>
      <c r="AB330" s="46"/>
      <c r="AC330" s="46"/>
      <c r="AD330" s="46"/>
      <c r="AE330" s="46"/>
      <c r="AF330" s="196"/>
      <c r="AG330" s="46"/>
      <c r="AH330" s="46"/>
      <c r="AI330" s="46"/>
      <c r="AJ330" s="46"/>
      <c r="AK330" s="46"/>
      <c r="AL330" s="46"/>
      <c r="AM330" s="46"/>
      <c r="AN330" s="237"/>
      <c r="AO330" s="438"/>
      <c r="AP330" s="46"/>
      <c r="AQ330" s="368"/>
      <c r="AR330" s="257"/>
      <c r="AS330" s="196"/>
      <c r="AT330" s="46"/>
      <c r="AU330" s="46"/>
      <c r="AV330" s="196"/>
      <c r="AW330" s="257"/>
      <c r="AX330" s="196"/>
      <c r="AY330" s="191"/>
      <c r="AZ330" s="257"/>
      <c r="BA330" s="218"/>
      <c r="BB330" s="46"/>
      <c r="BC330" s="257"/>
      <c r="BD330" s="196"/>
      <c r="BE330" s="191"/>
      <c r="BF330" s="46"/>
      <c r="BG330" s="196"/>
      <c r="BH330" s="46"/>
      <c r="BI330" s="257"/>
      <c r="BJ330" s="196"/>
      <c r="BK330" s="191"/>
      <c r="BL330" s="257"/>
      <c r="BM330" s="196"/>
      <c r="BN330" s="46"/>
      <c r="BO330" s="257"/>
      <c r="BP330" s="196"/>
      <c r="BQ330" s="190"/>
      <c r="BR330" s="46"/>
      <c r="BS330" s="196"/>
      <c r="BT330" s="46"/>
      <c r="BU330" s="257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196"/>
      <c r="CI330" s="46"/>
      <c r="CJ330" s="46"/>
      <c r="CK330" s="46"/>
      <c r="CL330" s="46"/>
      <c r="CM330" s="46"/>
      <c r="CN330" s="196"/>
      <c r="CO330" s="191"/>
      <c r="CP330" s="257"/>
      <c r="CQ330" s="196"/>
      <c r="CR330" s="167"/>
      <c r="CS330" s="257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191"/>
      <c r="DN330" s="46"/>
      <c r="DO330" s="196"/>
      <c r="DP330" s="221"/>
      <c r="DQ330" s="257">
        <f t="shared" si="38"/>
        <v>0</v>
      </c>
      <c r="DR330" s="294"/>
      <c r="DS330" s="295"/>
      <c r="DT330" s="386">
        <f t="shared" si="39"/>
        <v>0</v>
      </c>
      <c r="DU330" s="41"/>
      <c r="DV330" s="41"/>
      <c r="DW330" s="256"/>
      <c r="DX330" s="41"/>
      <c r="DY330" s="41"/>
      <c r="DZ330" s="68"/>
      <c r="EA330" s="41"/>
      <c r="EB330" s="41"/>
      <c r="EC330" s="256"/>
      <c r="ED330" s="308"/>
      <c r="EE330" s="308"/>
      <c r="EF330" s="308"/>
      <c r="EG330" s="41"/>
      <c r="EH330" s="41"/>
      <c r="EI330" s="41"/>
      <c r="EJ330" s="69"/>
      <c r="EK330" s="308"/>
      <c r="EL330" s="308"/>
      <c r="EM330" s="308"/>
      <c r="EN330" s="308"/>
      <c r="EO330" s="41"/>
      <c r="EP330" s="41"/>
      <c r="EQ330" s="41"/>
      <c r="ER330" s="256"/>
      <c r="ES330" s="293"/>
      <c r="ET330" s="293"/>
      <c r="EU330" s="293"/>
      <c r="EV330" s="293"/>
      <c r="EW330" s="41"/>
      <c r="EX330" s="41"/>
      <c r="EY330" s="41"/>
      <c r="EZ330" s="256"/>
      <c r="FA330" s="308"/>
      <c r="FB330" s="308"/>
      <c r="FC330" s="308"/>
      <c r="FD330" s="308"/>
      <c r="FE330" s="46"/>
      <c r="FF330" s="41"/>
      <c r="FG330" s="41"/>
      <c r="FH330" s="256"/>
      <c r="FI330" s="41"/>
      <c r="FJ330" s="41"/>
      <c r="FK330" s="41"/>
      <c r="FL330" s="276"/>
    </row>
    <row r="331" spans="1:168">
      <c r="A331" s="45">
        <v>324</v>
      </c>
      <c r="B331" s="45" t="s">
        <v>210</v>
      </c>
      <c r="C331" s="45">
        <v>4</v>
      </c>
      <c r="D331" s="31" t="s">
        <v>183</v>
      </c>
      <c r="E331" s="30">
        <v>12</v>
      </c>
      <c r="F331" s="30">
        <v>7</v>
      </c>
      <c r="G331" s="246">
        <f>9129.834/1000</f>
        <v>9.1298340000000007</v>
      </c>
      <c r="H331" s="45">
        <v>0</v>
      </c>
      <c r="I331" s="45">
        <v>9129.8339999999989</v>
      </c>
      <c r="J331" s="397">
        <v>43.990470000000002</v>
      </c>
      <c r="K331" s="495">
        <f t="shared" si="35"/>
        <v>53.120304000000004</v>
      </c>
      <c r="L331" s="578"/>
      <c r="M331" s="45">
        <f t="shared" si="37"/>
        <v>0</v>
      </c>
      <c r="N331" s="46">
        <f t="shared" si="27"/>
        <v>53.120304000000004</v>
      </c>
      <c r="O331" s="46">
        <f t="shared" si="36"/>
        <v>53</v>
      </c>
      <c r="P331" s="234"/>
      <c r="Q331" s="46"/>
      <c r="R331" s="450"/>
      <c r="S331" s="257"/>
      <c r="T331" s="46"/>
      <c r="U331" s="46"/>
      <c r="V331" s="46"/>
      <c r="W331" s="46"/>
      <c r="X331" s="196"/>
      <c r="Y331" s="46"/>
      <c r="Z331" s="46"/>
      <c r="AA331" s="46"/>
      <c r="AB331" s="46"/>
      <c r="AC331" s="46"/>
      <c r="AD331" s="46"/>
      <c r="AE331" s="46"/>
      <c r="AF331" s="196"/>
      <c r="AG331" s="46"/>
      <c r="AH331" s="46"/>
      <c r="AI331" s="46"/>
      <c r="AJ331" s="46"/>
      <c r="AK331" s="46"/>
      <c r="AL331" s="46"/>
      <c r="AM331" s="46"/>
      <c r="AN331" s="196"/>
      <c r="AO331" s="438"/>
      <c r="AP331" s="46"/>
      <c r="AQ331" s="368"/>
      <c r="AR331" s="257"/>
      <c r="AS331" s="196"/>
      <c r="AT331" s="46"/>
      <c r="AU331" s="46"/>
      <c r="AV331" s="196"/>
      <c r="AW331" s="257"/>
      <c r="AX331" s="196"/>
      <c r="AY331" s="191"/>
      <c r="AZ331" s="257"/>
      <c r="BA331" s="196"/>
      <c r="BB331" s="46"/>
      <c r="BC331" s="257"/>
      <c r="BD331" s="196"/>
      <c r="BE331" s="191"/>
      <c r="BF331" s="46"/>
      <c r="BG331" s="196"/>
      <c r="BH331" s="46"/>
      <c r="BI331" s="257"/>
      <c r="BJ331" s="196"/>
      <c r="BK331" s="191"/>
      <c r="BL331" s="257"/>
      <c r="BM331" s="196"/>
      <c r="BN331" s="46"/>
      <c r="BO331" s="257"/>
      <c r="BP331" s="196"/>
      <c r="BQ331" s="190"/>
      <c r="BR331" s="46"/>
      <c r="BS331" s="196"/>
      <c r="BT331" s="46"/>
      <c r="BU331" s="257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196"/>
      <c r="CI331" s="46"/>
      <c r="CJ331" s="46"/>
      <c r="CK331" s="46"/>
      <c r="CL331" s="46"/>
      <c r="CM331" s="46"/>
      <c r="CN331" s="196"/>
      <c r="CO331" s="191"/>
      <c r="CP331" s="257"/>
      <c r="CQ331" s="196"/>
      <c r="CR331" s="167"/>
      <c r="CS331" s="257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191"/>
      <c r="DN331" s="46"/>
      <c r="DO331" s="196"/>
      <c r="DP331" s="581" t="s">
        <v>531</v>
      </c>
      <c r="DQ331" s="257">
        <f>DW331+EC331+EJ331+ER331+EZ331+FH331+53000</f>
        <v>53000</v>
      </c>
      <c r="DR331" s="294"/>
      <c r="DS331" s="295"/>
      <c r="DT331" s="386">
        <f t="shared" si="39"/>
        <v>0</v>
      </c>
      <c r="DU331" s="41"/>
      <c r="DV331" s="41"/>
      <c r="DW331" s="256"/>
      <c r="DX331" s="41"/>
      <c r="DY331" s="41"/>
      <c r="DZ331" s="68"/>
      <c r="EA331" s="41"/>
      <c r="EB331" s="41"/>
      <c r="EC331" s="256"/>
      <c r="ED331" s="308"/>
      <c r="EE331" s="308"/>
      <c r="EF331" s="308"/>
      <c r="EG331" s="41"/>
      <c r="EH331" s="41"/>
      <c r="EI331" s="41"/>
      <c r="EJ331" s="69"/>
      <c r="EK331" s="308"/>
      <c r="EL331" s="308"/>
      <c r="EM331" s="308"/>
      <c r="EN331" s="308"/>
      <c r="EO331" s="41"/>
      <c r="EP331" s="41"/>
      <c r="EQ331" s="41"/>
      <c r="ER331" s="256"/>
      <c r="ES331" s="293"/>
      <c r="ET331" s="293"/>
      <c r="EU331" s="293"/>
      <c r="EV331" s="293"/>
      <c r="EW331" s="41"/>
      <c r="EX331" s="41"/>
      <c r="EY331" s="41"/>
      <c r="EZ331" s="256"/>
      <c r="FA331" s="308"/>
      <c r="FB331" s="308"/>
      <c r="FC331" s="308"/>
      <c r="FD331" s="308"/>
      <c r="FE331" s="41"/>
      <c r="FF331" s="41"/>
      <c r="FG331" s="41"/>
      <c r="FH331" s="256"/>
      <c r="FI331" s="41"/>
      <c r="FJ331" s="41"/>
      <c r="FK331" s="41"/>
      <c r="FL331" s="276"/>
    </row>
    <row r="332" spans="1:168">
      <c r="A332" s="45">
        <v>325</v>
      </c>
      <c r="B332" s="45" t="s">
        <v>210</v>
      </c>
      <c r="C332" s="45">
        <v>4</v>
      </c>
      <c r="D332" s="29" t="s">
        <v>1005</v>
      </c>
      <c r="E332" s="176">
        <v>7</v>
      </c>
      <c r="F332" s="188">
        <v>7</v>
      </c>
      <c r="G332" s="246">
        <f>47615.274/1000</f>
        <v>47.615273999999999</v>
      </c>
      <c r="H332" s="45">
        <v>0</v>
      </c>
      <c r="I332" s="45">
        <v>47615.273999999998</v>
      </c>
      <c r="J332" s="397">
        <v>128.83552580000003</v>
      </c>
      <c r="K332" s="495">
        <f t="shared" si="35"/>
        <v>176.45079980000003</v>
      </c>
      <c r="L332" s="578"/>
      <c r="M332" s="45">
        <f t="shared" si="37"/>
        <v>0</v>
      </c>
      <c r="N332" s="46">
        <f>K332-M332</f>
        <v>176.45079980000003</v>
      </c>
      <c r="O332" s="46">
        <f t="shared" si="36"/>
        <v>0</v>
      </c>
      <c r="P332" s="234" t="s">
        <v>582</v>
      </c>
      <c r="Q332" s="46"/>
      <c r="R332" s="450"/>
      <c r="S332" s="257"/>
      <c r="T332" s="46"/>
      <c r="U332" s="46"/>
      <c r="V332" s="46"/>
      <c r="W332" s="46"/>
      <c r="X332" s="196"/>
      <c r="Y332" s="46"/>
      <c r="Z332" s="46"/>
      <c r="AA332" s="46"/>
      <c r="AB332" s="46"/>
      <c r="AC332" s="46"/>
      <c r="AD332" s="46"/>
      <c r="AE332" s="46"/>
      <c r="AF332" s="196"/>
      <c r="AG332" s="46"/>
      <c r="AH332" s="46"/>
      <c r="AI332" s="46"/>
      <c r="AJ332" s="46"/>
      <c r="AK332" s="46"/>
      <c r="AL332" s="46"/>
      <c r="AM332" s="46"/>
      <c r="AN332" s="196"/>
      <c r="AO332" s="438"/>
      <c r="AP332" s="46"/>
      <c r="AQ332" s="368"/>
      <c r="AR332" s="257"/>
      <c r="AS332" s="196"/>
      <c r="AT332" s="46"/>
      <c r="AU332" s="46"/>
      <c r="AV332" s="196"/>
      <c r="AW332" s="257"/>
      <c r="AX332" s="196"/>
      <c r="AY332" s="191"/>
      <c r="AZ332" s="257"/>
      <c r="BA332" s="196"/>
      <c r="BB332" s="46"/>
      <c r="BC332" s="257"/>
      <c r="BD332" s="196"/>
      <c r="BE332" s="191"/>
      <c r="BF332" s="46"/>
      <c r="BG332" s="196"/>
      <c r="BH332" s="46"/>
      <c r="BI332" s="257"/>
      <c r="BJ332" s="196"/>
      <c r="BK332" s="191"/>
      <c r="BL332" s="257"/>
      <c r="BM332" s="196"/>
      <c r="BN332" s="46"/>
      <c r="BO332" s="257"/>
      <c r="BP332" s="196"/>
      <c r="BQ332" s="190"/>
      <c r="BR332" s="46"/>
      <c r="BS332" s="196"/>
      <c r="BT332" s="46"/>
      <c r="BU332" s="257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196"/>
      <c r="CI332" s="46"/>
      <c r="CJ332" s="46"/>
      <c r="CK332" s="46"/>
      <c r="CL332" s="46"/>
      <c r="CM332" s="46"/>
      <c r="CN332" s="196"/>
      <c r="CO332" s="191"/>
      <c r="CP332" s="257"/>
      <c r="CQ332" s="196"/>
      <c r="CR332" s="167"/>
      <c r="CS332" s="257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191"/>
      <c r="DN332" s="46"/>
      <c r="DO332" s="196"/>
      <c r="DP332" s="581"/>
      <c r="DQ332" s="257">
        <f t="shared" si="38"/>
        <v>0</v>
      </c>
      <c r="DR332" s="294"/>
      <c r="DS332" s="295"/>
      <c r="DT332" s="386">
        <f t="shared" si="39"/>
        <v>0</v>
      </c>
      <c r="DU332" s="41"/>
      <c r="DV332" s="41"/>
      <c r="DW332" s="256"/>
      <c r="DX332" s="41"/>
      <c r="DY332" s="41"/>
      <c r="DZ332" s="68"/>
      <c r="EA332" s="41"/>
      <c r="EB332" s="41"/>
      <c r="EC332" s="256"/>
      <c r="ED332" s="308"/>
      <c r="EE332" s="308"/>
      <c r="EF332" s="308"/>
      <c r="EG332" s="41"/>
      <c r="EH332" s="41"/>
      <c r="EI332" s="41"/>
      <c r="EJ332" s="69"/>
      <c r="EK332" s="308"/>
      <c r="EL332" s="308"/>
      <c r="EM332" s="308"/>
      <c r="EN332" s="308"/>
      <c r="EO332" s="41"/>
      <c r="EP332" s="41"/>
      <c r="EQ332" s="41"/>
      <c r="ER332" s="256"/>
      <c r="ES332" s="293"/>
      <c r="ET332" s="293"/>
      <c r="EU332" s="293"/>
      <c r="EV332" s="293"/>
      <c r="EW332" s="41"/>
      <c r="EX332" s="41"/>
      <c r="EY332" s="41"/>
      <c r="EZ332" s="256"/>
      <c r="FA332" s="308"/>
      <c r="FB332" s="308"/>
      <c r="FC332" s="308"/>
      <c r="FD332" s="308"/>
      <c r="FE332" s="41"/>
      <c r="FF332" s="41"/>
      <c r="FG332" s="41"/>
      <c r="FH332" s="256"/>
      <c r="FI332" s="41"/>
      <c r="FJ332" s="41"/>
      <c r="FK332" s="41"/>
      <c r="FL332" s="276"/>
    </row>
    <row r="333" spans="1:168">
      <c r="A333" s="45">
        <v>326</v>
      </c>
      <c r="B333" s="45" t="s">
        <v>210</v>
      </c>
      <c r="C333" s="45">
        <v>4</v>
      </c>
      <c r="D333" s="29" t="s">
        <v>514</v>
      </c>
      <c r="E333" s="176">
        <v>9</v>
      </c>
      <c r="F333" s="188">
        <v>7</v>
      </c>
      <c r="G333" s="246">
        <f>45387.72/1000</f>
        <v>45.387720000000002</v>
      </c>
      <c r="H333" s="45">
        <v>0</v>
      </c>
      <c r="I333" s="45">
        <v>45387.72</v>
      </c>
      <c r="J333" s="397">
        <v>-31.14984999999999</v>
      </c>
      <c r="K333" s="495">
        <f t="shared" si="35"/>
        <v>14.237870000000012</v>
      </c>
      <c r="L333" s="578"/>
      <c r="M333" s="45">
        <f t="shared" si="37"/>
        <v>0</v>
      </c>
      <c r="N333" s="46">
        <f>K333-M333</f>
        <v>14.237870000000012</v>
      </c>
      <c r="O333" s="46">
        <f t="shared" si="36"/>
        <v>14</v>
      </c>
      <c r="P333" s="234"/>
      <c r="Q333" s="46"/>
      <c r="R333" s="450"/>
      <c r="S333" s="257"/>
      <c r="T333" s="46"/>
      <c r="U333" s="46"/>
      <c r="V333" s="46"/>
      <c r="W333" s="46"/>
      <c r="X333" s="196"/>
      <c r="Y333" s="46"/>
      <c r="Z333" s="46"/>
      <c r="AA333" s="46"/>
      <c r="AB333" s="46"/>
      <c r="AC333" s="46"/>
      <c r="AD333" s="46"/>
      <c r="AE333" s="46"/>
      <c r="AF333" s="196"/>
      <c r="AG333" s="46"/>
      <c r="AH333" s="46"/>
      <c r="AI333" s="46"/>
      <c r="AJ333" s="46"/>
      <c r="AK333" s="46"/>
      <c r="AL333" s="46"/>
      <c r="AM333" s="46"/>
      <c r="AN333" s="196"/>
      <c r="AO333" s="438"/>
      <c r="AP333" s="46"/>
      <c r="AQ333" s="368"/>
      <c r="AR333" s="257"/>
      <c r="AS333" s="196"/>
      <c r="AT333" s="46"/>
      <c r="AU333" s="46"/>
      <c r="AV333" s="196"/>
      <c r="AW333" s="257"/>
      <c r="AX333" s="196"/>
      <c r="AY333" s="191"/>
      <c r="AZ333" s="257"/>
      <c r="BA333" s="196"/>
      <c r="BB333" s="46"/>
      <c r="BC333" s="257"/>
      <c r="BD333" s="196"/>
      <c r="BE333" s="191"/>
      <c r="BF333" s="46"/>
      <c r="BG333" s="196"/>
      <c r="BH333" s="46"/>
      <c r="BI333" s="257"/>
      <c r="BJ333" s="196"/>
      <c r="BK333" s="191"/>
      <c r="BL333" s="257"/>
      <c r="BM333" s="196"/>
      <c r="BN333" s="46"/>
      <c r="BO333" s="257"/>
      <c r="BP333" s="196"/>
      <c r="BQ333" s="190"/>
      <c r="BR333" s="46"/>
      <c r="BS333" s="196"/>
      <c r="BT333" s="46"/>
      <c r="BU333" s="257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196"/>
      <c r="CI333" s="46"/>
      <c r="CJ333" s="46"/>
      <c r="CK333" s="46"/>
      <c r="CL333" s="46"/>
      <c r="CM333" s="46"/>
      <c r="CN333" s="196"/>
      <c r="CO333" s="191"/>
      <c r="CP333" s="257"/>
      <c r="CQ333" s="196"/>
      <c r="CR333" s="167"/>
      <c r="CS333" s="257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191"/>
      <c r="DN333" s="46"/>
      <c r="DO333" s="196"/>
      <c r="DP333" s="221" t="s">
        <v>531</v>
      </c>
      <c r="DQ333" s="257">
        <f>DW333+EC333+EJ333+ER333+EZ333+FH333+14000</f>
        <v>14000</v>
      </c>
      <c r="DR333" s="296"/>
      <c r="DS333" s="295"/>
      <c r="DT333" s="386">
        <f t="shared" si="39"/>
        <v>0</v>
      </c>
      <c r="DU333" s="41"/>
      <c r="DV333" s="41"/>
      <c r="DW333" s="256"/>
      <c r="DX333" s="41"/>
      <c r="DY333" s="41"/>
      <c r="DZ333" s="68"/>
      <c r="EA333" s="41"/>
      <c r="EB333" s="41"/>
      <c r="EC333" s="256"/>
      <c r="ED333" s="308"/>
      <c r="EE333" s="308"/>
      <c r="EF333" s="308"/>
      <c r="EG333" s="41"/>
      <c r="EH333" s="41"/>
      <c r="EI333" s="41"/>
      <c r="EJ333" s="69"/>
      <c r="EK333" s="308"/>
      <c r="EL333" s="308"/>
      <c r="EM333" s="308"/>
      <c r="EN333" s="308"/>
      <c r="EO333" s="41"/>
      <c r="EP333" s="41"/>
      <c r="EQ333" s="41"/>
      <c r="ER333" s="256"/>
      <c r="ES333" s="293"/>
      <c r="ET333" s="293"/>
      <c r="EU333" s="293"/>
      <c r="EV333" s="293"/>
      <c r="EW333" s="41"/>
      <c r="EX333" s="41"/>
      <c r="EY333" s="41"/>
      <c r="EZ333" s="256"/>
      <c r="FA333" s="308"/>
      <c r="FB333" s="308"/>
      <c r="FC333" s="308"/>
      <c r="FD333" s="308"/>
      <c r="FE333" s="41"/>
      <c r="FF333" s="41"/>
      <c r="FG333" s="41"/>
      <c r="FH333" s="256"/>
      <c r="FI333" s="41"/>
      <c r="FJ333" s="41"/>
      <c r="FK333" s="41"/>
      <c r="FL333" s="276"/>
    </row>
    <row r="334" spans="1:168">
      <c r="A334" s="45">
        <v>327</v>
      </c>
      <c r="B334" s="45" t="s">
        <v>210</v>
      </c>
      <c r="C334" s="45">
        <v>4</v>
      </c>
      <c r="D334" s="29" t="s">
        <v>515</v>
      </c>
      <c r="E334" s="175">
        <v>175</v>
      </c>
      <c r="F334" s="188">
        <v>7</v>
      </c>
      <c r="G334" s="246">
        <f>43965.432/1000</f>
        <v>43.965432</v>
      </c>
      <c r="H334" s="45">
        <v>0</v>
      </c>
      <c r="I334" s="45">
        <v>43965.432000000001</v>
      </c>
      <c r="J334" s="397">
        <v>-189.77629999999999</v>
      </c>
      <c r="K334" s="495">
        <f t="shared" si="35"/>
        <v>-145.810868</v>
      </c>
      <c r="L334" s="578"/>
      <c r="M334" s="45">
        <f t="shared" si="37"/>
        <v>0</v>
      </c>
      <c r="N334" s="46">
        <f>K334-M334</f>
        <v>-145.810868</v>
      </c>
      <c r="O334" s="46">
        <f t="shared" si="36"/>
        <v>0</v>
      </c>
      <c r="P334" s="234"/>
      <c r="Q334" s="46"/>
      <c r="R334" s="450"/>
      <c r="S334" s="257"/>
      <c r="T334" s="46"/>
      <c r="U334" s="46"/>
      <c r="V334" s="46"/>
      <c r="W334" s="46"/>
      <c r="X334" s="196"/>
      <c r="Y334" s="46"/>
      <c r="Z334" s="46"/>
      <c r="AA334" s="46"/>
      <c r="AB334" s="46"/>
      <c r="AC334" s="46"/>
      <c r="AD334" s="46"/>
      <c r="AE334" s="46"/>
      <c r="AF334" s="196"/>
      <c r="AG334" s="46"/>
      <c r="AH334" s="46"/>
      <c r="AI334" s="46"/>
      <c r="AJ334" s="46"/>
      <c r="AK334" s="46"/>
      <c r="AL334" s="46"/>
      <c r="AM334" s="46"/>
      <c r="AN334" s="237"/>
      <c r="AO334" s="438"/>
      <c r="AP334" s="46"/>
      <c r="AQ334" s="368"/>
      <c r="AR334" s="257"/>
      <c r="AS334" s="196"/>
      <c r="AT334" s="46"/>
      <c r="AU334" s="46"/>
      <c r="AV334" s="196"/>
      <c r="AW334" s="257"/>
      <c r="AX334" s="196"/>
      <c r="AY334" s="191"/>
      <c r="AZ334" s="257"/>
      <c r="BA334" s="196"/>
      <c r="BB334" s="46"/>
      <c r="BC334" s="257"/>
      <c r="BD334" s="196"/>
      <c r="BE334" s="191"/>
      <c r="BF334" s="46"/>
      <c r="BG334" s="196"/>
      <c r="BH334" s="46"/>
      <c r="BI334" s="257"/>
      <c r="BJ334" s="196"/>
      <c r="BK334" s="191"/>
      <c r="BL334" s="257"/>
      <c r="BM334" s="196"/>
      <c r="BN334" s="46"/>
      <c r="BO334" s="257"/>
      <c r="BP334" s="196"/>
      <c r="BQ334" s="190"/>
      <c r="BR334" s="46"/>
      <c r="BS334" s="196"/>
      <c r="BT334" s="46"/>
      <c r="BU334" s="257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196"/>
      <c r="CI334" s="46"/>
      <c r="CJ334" s="46"/>
      <c r="CK334" s="46"/>
      <c r="CL334" s="46"/>
      <c r="CM334" s="46"/>
      <c r="CN334" s="196"/>
      <c r="CO334" s="191"/>
      <c r="CP334" s="257"/>
      <c r="CQ334" s="196"/>
      <c r="CR334" s="167"/>
      <c r="CS334" s="257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191"/>
      <c r="DN334" s="46"/>
      <c r="DO334" s="196"/>
      <c r="DP334" s="581"/>
      <c r="DQ334" s="257">
        <f t="shared" si="38"/>
        <v>0</v>
      </c>
      <c r="DR334" s="294"/>
      <c r="DS334" s="295"/>
      <c r="DT334" s="386">
        <f t="shared" si="39"/>
        <v>0</v>
      </c>
      <c r="DU334" s="41"/>
      <c r="DV334" s="41"/>
      <c r="DW334" s="256"/>
      <c r="DX334" s="41"/>
      <c r="DY334" s="41"/>
      <c r="DZ334" s="68"/>
      <c r="EA334" s="41"/>
      <c r="EB334" s="41"/>
      <c r="EC334" s="256"/>
      <c r="ED334" s="308"/>
      <c r="EE334" s="308"/>
      <c r="EF334" s="308"/>
      <c r="EG334" s="41"/>
      <c r="EH334" s="41"/>
      <c r="EI334" s="41"/>
      <c r="EJ334" s="69"/>
      <c r="EK334" s="308"/>
      <c r="EL334" s="308"/>
      <c r="EM334" s="308"/>
      <c r="EN334" s="308"/>
      <c r="EO334" s="41"/>
      <c r="EP334" s="41"/>
      <c r="EQ334" s="41"/>
      <c r="ER334" s="256"/>
      <c r="ES334" s="293"/>
      <c r="ET334" s="293"/>
      <c r="EU334" s="293"/>
      <c r="EV334" s="293"/>
      <c r="EW334" s="41"/>
      <c r="EX334" s="41"/>
      <c r="EY334" s="41"/>
      <c r="EZ334" s="256"/>
      <c r="FA334" s="308"/>
      <c r="FB334" s="308"/>
      <c r="FC334" s="308"/>
      <c r="FD334" s="308"/>
      <c r="FE334" s="41"/>
      <c r="FF334" s="41"/>
      <c r="FG334" s="41"/>
      <c r="FH334" s="256"/>
      <c r="FI334" s="41"/>
      <c r="FJ334" s="41"/>
      <c r="FK334" s="41"/>
      <c r="FL334" s="276"/>
    </row>
    <row r="335" spans="1:168">
      <c r="A335" s="45">
        <v>328</v>
      </c>
      <c r="B335" s="45" t="s">
        <v>210</v>
      </c>
      <c r="C335" s="45">
        <v>4</v>
      </c>
      <c r="D335" s="29" t="s">
        <v>515</v>
      </c>
      <c r="E335" s="175">
        <v>179</v>
      </c>
      <c r="F335" s="188">
        <v>7</v>
      </c>
      <c r="G335" s="246">
        <f>43662.15/1000</f>
        <v>43.662150000000004</v>
      </c>
      <c r="H335" s="45">
        <v>0</v>
      </c>
      <c r="I335" s="45">
        <v>43662.149999999994</v>
      </c>
      <c r="J335" s="397">
        <v>149.91663</v>
      </c>
      <c r="K335" s="495">
        <f t="shared" si="35"/>
        <v>193.57877999999999</v>
      </c>
      <c r="L335" s="578"/>
      <c r="M335" s="45">
        <f t="shared" si="37"/>
        <v>0</v>
      </c>
      <c r="N335" s="46">
        <f>K335-M335</f>
        <v>193.57877999999999</v>
      </c>
      <c r="O335" s="46">
        <f t="shared" si="36"/>
        <v>65</v>
      </c>
      <c r="P335" s="234" t="s">
        <v>248</v>
      </c>
      <c r="Q335" s="46">
        <v>1</v>
      </c>
      <c r="R335" s="450" t="s">
        <v>975</v>
      </c>
      <c r="S335" s="257">
        <v>15000</v>
      </c>
      <c r="T335" s="46"/>
      <c r="U335" s="46"/>
      <c r="V335" s="46"/>
      <c r="W335" s="46"/>
      <c r="X335" s="196"/>
      <c r="Y335" s="46"/>
      <c r="Z335" s="46"/>
      <c r="AA335" s="46"/>
      <c r="AB335" s="46"/>
      <c r="AC335" s="46"/>
      <c r="AD335" s="46"/>
      <c r="AE335" s="46"/>
      <c r="AF335" s="196"/>
      <c r="AG335" s="46"/>
      <c r="AH335" s="46"/>
      <c r="AI335" s="46"/>
      <c r="AJ335" s="46"/>
      <c r="AK335" s="46"/>
      <c r="AL335" s="46"/>
      <c r="AM335" s="46"/>
      <c r="AN335" s="196"/>
      <c r="AO335" s="438"/>
      <c r="AP335" s="46"/>
      <c r="AQ335" s="368"/>
      <c r="AR335" s="257"/>
      <c r="AS335" s="196"/>
      <c r="AT335" s="46"/>
      <c r="AU335" s="46"/>
      <c r="AV335" s="196"/>
      <c r="AW335" s="257"/>
      <c r="AX335" s="196"/>
      <c r="AY335" s="191"/>
      <c r="AZ335" s="257"/>
      <c r="BA335" s="196"/>
      <c r="BB335" s="46"/>
      <c r="BC335" s="257"/>
      <c r="BD335" s="196"/>
      <c r="BE335" s="191"/>
      <c r="BF335" s="46"/>
      <c r="BG335" s="196"/>
      <c r="BH335" s="46"/>
      <c r="BI335" s="257"/>
      <c r="BJ335" s="196"/>
      <c r="BK335" s="191"/>
      <c r="BL335" s="257"/>
      <c r="BM335" s="196"/>
      <c r="BN335" s="46"/>
      <c r="BO335" s="257"/>
      <c r="BP335" s="196"/>
      <c r="BQ335" s="190"/>
      <c r="BR335" s="46"/>
      <c r="BS335" s="196"/>
      <c r="BT335" s="46"/>
      <c r="BU335" s="257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196"/>
      <c r="CI335" s="46"/>
      <c r="CJ335" s="46"/>
      <c r="CK335" s="46"/>
      <c r="CL335" s="46"/>
      <c r="CM335" s="46"/>
      <c r="CN335" s="196" t="s">
        <v>229</v>
      </c>
      <c r="CO335" s="191">
        <v>100</v>
      </c>
      <c r="CP335" s="257">
        <v>50000</v>
      </c>
      <c r="CQ335" s="196"/>
      <c r="CR335" s="167"/>
      <c r="CS335" s="257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191"/>
      <c r="DN335" s="46"/>
      <c r="DO335" s="196"/>
      <c r="DP335" s="581"/>
      <c r="DQ335" s="257">
        <f t="shared" si="38"/>
        <v>0</v>
      </c>
      <c r="DR335" s="294"/>
      <c r="DS335" s="295"/>
      <c r="DT335" s="386">
        <f t="shared" si="39"/>
        <v>0</v>
      </c>
      <c r="DU335" s="41"/>
      <c r="DV335" s="41"/>
      <c r="DW335" s="256"/>
      <c r="DX335" s="41"/>
      <c r="DY335" s="41"/>
      <c r="DZ335" s="68"/>
      <c r="EA335" s="41"/>
      <c r="EB335" s="41"/>
      <c r="EC335" s="256"/>
      <c r="ED335" s="308"/>
      <c r="EE335" s="308"/>
      <c r="EF335" s="308"/>
      <c r="EG335" s="41"/>
      <c r="EH335" s="41"/>
      <c r="EI335" s="41"/>
      <c r="EJ335" s="69"/>
      <c r="EK335" s="308"/>
      <c r="EL335" s="308"/>
      <c r="EM335" s="308"/>
      <c r="EN335" s="308"/>
      <c r="EO335" s="41"/>
      <c r="EP335" s="41"/>
      <c r="EQ335" s="41"/>
      <c r="ER335" s="256"/>
      <c r="ES335" s="293"/>
      <c r="ET335" s="293"/>
      <c r="EU335" s="293"/>
      <c r="EV335" s="293"/>
      <c r="EW335" s="41"/>
      <c r="EX335" s="41"/>
      <c r="EY335" s="41"/>
      <c r="EZ335" s="256"/>
      <c r="FA335" s="308"/>
      <c r="FB335" s="308"/>
      <c r="FC335" s="308"/>
      <c r="FD335" s="308"/>
      <c r="FE335" s="41"/>
      <c r="FF335" s="41"/>
      <c r="FG335" s="41"/>
      <c r="FH335" s="256"/>
      <c r="FI335" s="41"/>
      <c r="FJ335" s="41"/>
      <c r="FK335" s="41"/>
      <c r="FL335" s="276"/>
    </row>
    <row r="336" spans="1:168">
      <c r="A336" s="45">
        <v>329</v>
      </c>
      <c r="B336" s="45" t="s">
        <v>210</v>
      </c>
      <c r="C336" s="45">
        <v>4</v>
      </c>
      <c r="D336" s="29" t="s">
        <v>515</v>
      </c>
      <c r="E336" s="175" t="s">
        <v>107</v>
      </c>
      <c r="F336" s="188">
        <v>7</v>
      </c>
      <c r="G336" s="246">
        <f>43097.418/1000</f>
        <v>43.097417999999998</v>
      </c>
      <c r="H336" s="45">
        <v>0</v>
      </c>
      <c r="I336" s="45">
        <v>43097.417999999998</v>
      </c>
      <c r="J336" s="397">
        <v>127.74776999999999</v>
      </c>
      <c r="K336" s="495">
        <f t="shared" si="35"/>
        <v>170.84518799999998</v>
      </c>
      <c r="L336" s="578"/>
      <c r="M336" s="45">
        <f t="shared" si="37"/>
        <v>0</v>
      </c>
      <c r="N336" s="46">
        <f>K336-M336</f>
        <v>170.84518799999998</v>
      </c>
      <c r="O336" s="46">
        <f t="shared" si="36"/>
        <v>155</v>
      </c>
      <c r="P336" s="234" t="s">
        <v>249</v>
      </c>
      <c r="Q336" s="46">
        <v>1</v>
      </c>
      <c r="R336" s="450" t="s">
        <v>523</v>
      </c>
      <c r="S336" s="257">
        <v>90000</v>
      </c>
      <c r="T336" s="46"/>
      <c r="U336" s="46"/>
      <c r="V336" s="46"/>
      <c r="W336" s="46"/>
      <c r="X336" s="196"/>
      <c r="Y336" s="46"/>
      <c r="Z336" s="46"/>
      <c r="AA336" s="46"/>
      <c r="AB336" s="46"/>
      <c r="AC336" s="46"/>
      <c r="AD336" s="46"/>
      <c r="AE336" s="46"/>
      <c r="AF336" s="196"/>
      <c r="AG336" s="46"/>
      <c r="AH336" s="46"/>
      <c r="AI336" s="46"/>
      <c r="AJ336" s="46"/>
      <c r="AK336" s="46"/>
      <c r="AL336" s="46"/>
      <c r="AM336" s="46"/>
      <c r="AN336" s="196"/>
      <c r="AO336" s="438"/>
      <c r="AP336" s="46"/>
      <c r="AQ336" s="368"/>
      <c r="AR336" s="257"/>
      <c r="AS336" s="196"/>
      <c r="AT336" s="46"/>
      <c r="AU336" s="46"/>
      <c r="AV336" s="196"/>
      <c r="AW336" s="257"/>
      <c r="AX336" s="196" t="s">
        <v>250</v>
      </c>
      <c r="AY336" s="191">
        <v>10</v>
      </c>
      <c r="AZ336" s="257">
        <v>20000</v>
      </c>
      <c r="BA336" s="196"/>
      <c r="BB336" s="46"/>
      <c r="BC336" s="257"/>
      <c r="BD336" s="196"/>
      <c r="BE336" s="191"/>
      <c r="BF336" s="46"/>
      <c r="BG336" s="196"/>
      <c r="BH336" s="46"/>
      <c r="BI336" s="257"/>
      <c r="BJ336" s="196" t="s">
        <v>228</v>
      </c>
      <c r="BK336" s="191">
        <v>10</v>
      </c>
      <c r="BL336" s="257">
        <v>25000</v>
      </c>
      <c r="BM336" s="196"/>
      <c r="BN336" s="46"/>
      <c r="BO336" s="257"/>
      <c r="BP336" s="196"/>
      <c r="BQ336" s="190"/>
      <c r="BR336" s="46"/>
      <c r="BS336" s="196"/>
      <c r="BT336" s="46"/>
      <c r="BU336" s="257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196"/>
      <c r="CI336" s="46"/>
      <c r="CJ336" s="46"/>
      <c r="CK336" s="46"/>
      <c r="CL336" s="46"/>
      <c r="CM336" s="46"/>
      <c r="CN336" s="196"/>
      <c r="CO336" s="191"/>
      <c r="CP336" s="257"/>
      <c r="CQ336" s="196"/>
      <c r="CR336" s="167"/>
      <c r="CS336" s="257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191"/>
      <c r="DN336" s="46"/>
      <c r="DO336" s="196"/>
      <c r="DP336" s="584" t="s">
        <v>976</v>
      </c>
      <c r="DQ336" s="257">
        <f>DW336+EC336+EJ336+ER336+EZ336+FH336+20000</f>
        <v>20000</v>
      </c>
      <c r="DR336" s="294"/>
      <c r="DS336" s="295"/>
      <c r="DT336" s="386">
        <f t="shared" si="39"/>
        <v>0</v>
      </c>
      <c r="DU336" s="41"/>
      <c r="DV336" s="41"/>
      <c r="DW336" s="256"/>
      <c r="DX336" s="41"/>
      <c r="DY336" s="41"/>
      <c r="DZ336" s="68"/>
      <c r="EA336" s="41"/>
      <c r="EB336" s="41"/>
      <c r="EC336" s="256"/>
      <c r="ED336" s="308"/>
      <c r="EE336" s="308"/>
      <c r="EF336" s="308"/>
      <c r="EG336" s="41"/>
      <c r="EH336" s="41"/>
      <c r="EI336" s="41"/>
      <c r="EJ336" s="69"/>
      <c r="EK336" s="308"/>
      <c r="EL336" s="308"/>
      <c r="EM336" s="308"/>
      <c r="EN336" s="308"/>
      <c r="EO336" s="41"/>
      <c r="EP336" s="41"/>
      <c r="EQ336" s="41"/>
      <c r="ER336" s="256"/>
      <c r="ES336" s="293"/>
      <c r="ET336" s="293"/>
      <c r="EU336" s="293"/>
      <c r="EV336" s="293"/>
      <c r="EW336" s="41"/>
      <c r="EX336" s="41"/>
      <c r="EY336" s="41"/>
      <c r="EZ336" s="256"/>
      <c r="FA336" s="308"/>
      <c r="FB336" s="308"/>
      <c r="FC336" s="308"/>
      <c r="FD336" s="308"/>
      <c r="FE336" s="41"/>
      <c r="FF336" s="41"/>
      <c r="FG336" s="41"/>
      <c r="FH336" s="256"/>
      <c r="FI336" s="41"/>
      <c r="FJ336" s="41"/>
      <c r="FK336" s="41"/>
      <c r="FL336" s="276"/>
    </row>
    <row r="337" spans="1:168">
      <c r="A337" s="45">
        <v>330</v>
      </c>
      <c r="B337" s="45" t="s">
        <v>210</v>
      </c>
      <c r="C337" s="45">
        <v>4</v>
      </c>
      <c r="D337" s="29" t="s">
        <v>184</v>
      </c>
      <c r="E337" s="30">
        <v>185</v>
      </c>
      <c r="F337" s="30">
        <v>7</v>
      </c>
      <c r="G337" s="246">
        <v>0</v>
      </c>
      <c r="H337" s="45">
        <v>0</v>
      </c>
      <c r="I337" s="45">
        <v>0</v>
      </c>
      <c r="J337" s="397">
        <v>16.039280000000002</v>
      </c>
      <c r="K337" s="495">
        <f t="shared" si="35"/>
        <v>16.039280000000002</v>
      </c>
      <c r="L337" s="578"/>
      <c r="M337" s="45">
        <f t="shared" si="37"/>
        <v>0</v>
      </c>
      <c r="N337" s="46">
        <f t="shared" si="27"/>
        <v>16.039280000000002</v>
      </c>
      <c r="O337" s="46">
        <f t="shared" si="36"/>
        <v>16</v>
      </c>
      <c r="P337" s="234"/>
      <c r="Q337" s="46"/>
      <c r="R337" s="450"/>
      <c r="S337" s="257"/>
      <c r="T337" s="46"/>
      <c r="U337" s="46"/>
      <c r="V337" s="46"/>
      <c r="W337" s="46"/>
      <c r="X337" s="196"/>
      <c r="Y337" s="46"/>
      <c r="Z337" s="46"/>
      <c r="AA337" s="46"/>
      <c r="AB337" s="46"/>
      <c r="AC337" s="46"/>
      <c r="AD337" s="46"/>
      <c r="AE337" s="46"/>
      <c r="AF337" s="196"/>
      <c r="AG337" s="46"/>
      <c r="AH337" s="46"/>
      <c r="AI337" s="46"/>
      <c r="AJ337" s="46"/>
      <c r="AK337" s="46"/>
      <c r="AL337" s="46"/>
      <c r="AM337" s="46"/>
      <c r="AN337" s="196"/>
      <c r="AO337" s="438"/>
      <c r="AP337" s="46"/>
      <c r="AQ337" s="368"/>
      <c r="AR337" s="257"/>
      <c r="AS337" s="196"/>
      <c r="AT337" s="46"/>
      <c r="AU337" s="46"/>
      <c r="AV337" s="196"/>
      <c r="AW337" s="257"/>
      <c r="AX337" s="196"/>
      <c r="AY337" s="191"/>
      <c r="AZ337" s="257"/>
      <c r="BA337" s="196"/>
      <c r="BB337" s="46"/>
      <c r="BC337" s="257"/>
      <c r="BD337" s="196"/>
      <c r="BE337" s="191"/>
      <c r="BF337" s="46"/>
      <c r="BG337" s="196"/>
      <c r="BH337" s="46"/>
      <c r="BI337" s="257"/>
      <c r="BJ337" s="196"/>
      <c r="BK337" s="191"/>
      <c r="BL337" s="257"/>
      <c r="BM337" s="196"/>
      <c r="BN337" s="46"/>
      <c r="BO337" s="257"/>
      <c r="BP337" s="196"/>
      <c r="BQ337" s="190"/>
      <c r="BR337" s="46"/>
      <c r="BS337" s="196"/>
      <c r="BT337" s="46"/>
      <c r="BU337" s="257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196"/>
      <c r="CI337" s="46"/>
      <c r="CJ337" s="46"/>
      <c r="CK337" s="46"/>
      <c r="CL337" s="46"/>
      <c r="CM337" s="46"/>
      <c r="CN337" s="196"/>
      <c r="CO337" s="191"/>
      <c r="CP337" s="257"/>
      <c r="CQ337" s="196"/>
      <c r="CR337" s="167"/>
      <c r="CS337" s="257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191"/>
      <c r="DN337" s="46"/>
      <c r="DO337" s="196"/>
      <c r="DP337" s="584" t="s">
        <v>531</v>
      </c>
      <c r="DQ337" s="257">
        <f>DW337+EC337+EJ337+ER337+EZ337+FH337+16000</f>
        <v>16000</v>
      </c>
      <c r="DR337" s="294"/>
      <c r="DS337" s="295"/>
      <c r="DT337" s="386">
        <f t="shared" si="39"/>
        <v>0</v>
      </c>
      <c r="DU337" s="41"/>
      <c r="DV337" s="41"/>
      <c r="DW337" s="256"/>
      <c r="DX337" s="41"/>
      <c r="DY337" s="41"/>
      <c r="DZ337" s="68"/>
      <c r="EA337" s="41"/>
      <c r="EB337" s="41"/>
      <c r="EC337" s="256"/>
      <c r="ED337" s="308"/>
      <c r="EE337" s="308"/>
      <c r="EF337" s="308"/>
      <c r="EG337" s="41"/>
      <c r="EH337" s="41"/>
      <c r="EI337" s="41"/>
      <c r="EJ337" s="69"/>
      <c r="EK337" s="308"/>
      <c r="EL337" s="308"/>
      <c r="EM337" s="308"/>
      <c r="EN337" s="308"/>
      <c r="EO337" s="41"/>
      <c r="EP337" s="41"/>
      <c r="EQ337" s="41"/>
      <c r="ER337" s="256"/>
      <c r="ES337" s="293"/>
      <c r="ET337" s="293"/>
      <c r="EU337" s="293"/>
      <c r="EV337" s="293"/>
      <c r="EW337" s="41"/>
      <c r="EX337" s="41"/>
      <c r="EY337" s="41"/>
      <c r="EZ337" s="256"/>
      <c r="FA337" s="308"/>
      <c r="FB337" s="308"/>
      <c r="FC337" s="308"/>
      <c r="FD337" s="308"/>
      <c r="FE337" s="41"/>
      <c r="FF337" s="41"/>
      <c r="FG337" s="41"/>
      <c r="FH337" s="256"/>
      <c r="FI337" s="41"/>
      <c r="FJ337" s="41"/>
      <c r="FK337" s="41"/>
      <c r="FL337" s="276"/>
    </row>
    <row r="338" spans="1:168">
      <c r="A338" s="45">
        <v>331</v>
      </c>
      <c r="B338" s="45" t="s">
        <v>210</v>
      </c>
      <c r="C338" s="45">
        <v>4</v>
      </c>
      <c r="D338" s="29" t="s">
        <v>185</v>
      </c>
      <c r="E338" s="175" t="s">
        <v>516</v>
      </c>
      <c r="F338" s="188">
        <v>7</v>
      </c>
      <c r="G338" s="246">
        <f>41955.4044/1000</f>
        <v>41.955404399999999</v>
      </c>
      <c r="H338" s="45">
        <v>0</v>
      </c>
      <c r="I338" s="45">
        <v>41955.404399999999</v>
      </c>
      <c r="J338" s="397">
        <v>131.969426</v>
      </c>
      <c r="K338" s="495">
        <f t="shared" si="35"/>
        <v>173.92483039999999</v>
      </c>
      <c r="L338" s="578"/>
      <c r="M338" s="45">
        <f t="shared" si="37"/>
        <v>0</v>
      </c>
      <c r="N338" s="46">
        <f>K338-M338</f>
        <v>173.92483039999999</v>
      </c>
      <c r="O338" s="46">
        <f t="shared" si="36"/>
        <v>90</v>
      </c>
      <c r="P338" s="234" t="s">
        <v>248</v>
      </c>
      <c r="Q338" s="46">
        <v>1</v>
      </c>
      <c r="R338" s="450" t="s">
        <v>523</v>
      </c>
      <c r="S338" s="257">
        <v>90000</v>
      </c>
      <c r="T338" s="46"/>
      <c r="U338" s="46"/>
      <c r="V338" s="46"/>
      <c r="W338" s="46"/>
      <c r="X338" s="196"/>
      <c r="Y338" s="46"/>
      <c r="Z338" s="46"/>
      <c r="AA338" s="46"/>
      <c r="AB338" s="46"/>
      <c r="AC338" s="46"/>
      <c r="AD338" s="46"/>
      <c r="AE338" s="46"/>
      <c r="AF338" s="196"/>
      <c r="AG338" s="46"/>
      <c r="AH338" s="46"/>
      <c r="AI338" s="46"/>
      <c r="AJ338" s="46"/>
      <c r="AK338" s="46"/>
      <c r="AL338" s="46"/>
      <c r="AM338" s="46"/>
      <c r="AN338" s="196"/>
      <c r="AO338" s="438"/>
      <c r="AP338" s="46"/>
      <c r="AQ338" s="368"/>
      <c r="AR338" s="257"/>
      <c r="AS338" s="196"/>
      <c r="AT338" s="46"/>
      <c r="AU338" s="46"/>
      <c r="AV338" s="196"/>
      <c r="AW338" s="257"/>
      <c r="AX338" s="196"/>
      <c r="AY338" s="191"/>
      <c r="AZ338" s="257"/>
      <c r="BA338" s="196"/>
      <c r="BB338" s="46"/>
      <c r="BC338" s="257"/>
      <c r="BD338" s="196"/>
      <c r="BE338" s="191"/>
      <c r="BF338" s="46"/>
      <c r="BG338" s="196"/>
      <c r="BH338" s="46"/>
      <c r="BI338" s="257"/>
      <c r="BJ338" s="196"/>
      <c r="BK338" s="191"/>
      <c r="BL338" s="257"/>
      <c r="BM338" s="196"/>
      <c r="BN338" s="46"/>
      <c r="BO338" s="257"/>
      <c r="BP338" s="196"/>
      <c r="BQ338" s="190"/>
      <c r="BR338" s="46"/>
      <c r="BS338" s="196"/>
      <c r="BT338" s="46"/>
      <c r="BU338" s="257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196"/>
      <c r="CI338" s="46"/>
      <c r="CJ338" s="46"/>
      <c r="CK338" s="46"/>
      <c r="CL338" s="46"/>
      <c r="CM338" s="46"/>
      <c r="CN338" s="196"/>
      <c r="CO338" s="191"/>
      <c r="CP338" s="257"/>
      <c r="CQ338" s="196"/>
      <c r="CR338" s="167"/>
      <c r="CS338" s="257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191"/>
      <c r="DN338" s="46"/>
      <c r="DO338" s="196"/>
      <c r="DP338" s="581"/>
      <c r="DQ338" s="257">
        <f t="shared" si="38"/>
        <v>0</v>
      </c>
      <c r="DR338" s="294"/>
      <c r="DS338" s="295"/>
      <c r="DT338" s="386">
        <f t="shared" si="39"/>
        <v>0</v>
      </c>
      <c r="DU338" s="41"/>
      <c r="DV338" s="41"/>
      <c r="DW338" s="256"/>
      <c r="DX338" s="41"/>
      <c r="DY338" s="41"/>
      <c r="DZ338" s="68"/>
      <c r="EA338" s="41"/>
      <c r="EB338" s="41"/>
      <c r="EC338" s="256"/>
      <c r="ED338" s="308"/>
      <c r="EE338" s="308"/>
      <c r="EF338" s="308"/>
      <c r="EG338" s="41"/>
      <c r="EH338" s="41"/>
      <c r="EI338" s="41"/>
      <c r="EJ338" s="69"/>
      <c r="EK338" s="308"/>
      <c r="EL338" s="308"/>
      <c r="EM338" s="308"/>
      <c r="EN338" s="308"/>
      <c r="EO338" s="41"/>
      <c r="EP338" s="41"/>
      <c r="EQ338" s="41"/>
      <c r="ER338" s="256"/>
      <c r="ES338" s="293"/>
      <c r="ET338" s="293"/>
      <c r="EU338" s="293"/>
      <c r="EV338" s="293"/>
      <c r="EW338" s="41"/>
      <c r="EX338" s="41"/>
      <c r="EY338" s="41"/>
      <c r="EZ338" s="256"/>
      <c r="FA338" s="308"/>
      <c r="FB338" s="308"/>
      <c r="FC338" s="308"/>
      <c r="FD338" s="308"/>
      <c r="FE338" s="41"/>
      <c r="FF338" s="41"/>
      <c r="FG338" s="41"/>
      <c r="FH338" s="256"/>
      <c r="FI338" s="41"/>
      <c r="FJ338" s="41"/>
      <c r="FK338" s="41"/>
      <c r="FL338" s="276"/>
    </row>
    <row r="339" spans="1:168">
      <c r="A339" s="45">
        <v>332</v>
      </c>
      <c r="B339" s="45" t="s">
        <v>210</v>
      </c>
      <c r="C339" s="45">
        <v>4</v>
      </c>
      <c r="D339" s="29" t="s">
        <v>515</v>
      </c>
      <c r="E339" s="175">
        <v>204</v>
      </c>
      <c r="F339" s="188">
        <v>7</v>
      </c>
      <c r="G339" s="246">
        <f>44498.79/1000</f>
        <v>44.49879</v>
      </c>
      <c r="H339" s="45">
        <v>0</v>
      </c>
      <c r="I339" s="45">
        <v>44498.79</v>
      </c>
      <c r="J339" s="397">
        <v>32.461370000000002</v>
      </c>
      <c r="K339" s="495">
        <f t="shared" si="35"/>
        <v>76.960160000000002</v>
      </c>
      <c r="L339" s="578"/>
      <c r="M339" s="45">
        <f t="shared" si="37"/>
        <v>0</v>
      </c>
      <c r="N339" s="46">
        <f>K339-M339</f>
        <v>76.960160000000002</v>
      </c>
      <c r="O339" s="46">
        <f t="shared" si="36"/>
        <v>76</v>
      </c>
      <c r="P339" s="234"/>
      <c r="Q339" s="46"/>
      <c r="R339" s="450"/>
      <c r="S339" s="257"/>
      <c r="T339" s="46"/>
      <c r="U339" s="46"/>
      <c r="V339" s="46"/>
      <c r="W339" s="46"/>
      <c r="X339" s="196"/>
      <c r="Y339" s="46"/>
      <c r="Z339" s="46"/>
      <c r="AA339" s="46"/>
      <c r="AB339" s="46"/>
      <c r="AC339" s="46"/>
      <c r="AD339" s="46"/>
      <c r="AE339" s="46"/>
      <c r="AF339" s="196"/>
      <c r="AG339" s="46"/>
      <c r="AH339" s="46"/>
      <c r="AI339" s="46"/>
      <c r="AJ339" s="46"/>
      <c r="AK339" s="46"/>
      <c r="AL339" s="46"/>
      <c r="AM339" s="46"/>
      <c r="AN339" s="196"/>
      <c r="AO339" s="438"/>
      <c r="AP339" s="46"/>
      <c r="AQ339" s="368"/>
      <c r="AR339" s="257"/>
      <c r="AS339" s="196"/>
      <c r="AT339" s="46"/>
      <c r="AU339" s="46"/>
      <c r="AV339" s="196"/>
      <c r="AW339" s="257"/>
      <c r="AX339" s="196"/>
      <c r="AY339" s="191"/>
      <c r="AZ339" s="257"/>
      <c r="BA339" s="196"/>
      <c r="BB339" s="46"/>
      <c r="BC339" s="257"/>
      <c r="BD339" s="196"/>
      <c r="BE339" s="191"/>
      <c r="BF339" s="46"/>
      <c r="BG339" s="196"/>
      <c r="BH339" s="46"/>
      <c r="BI339" s="257"/>
      <c r="BJ339" s="196"/>
      <c r="BK339" s="191"/>
      <c r="BL339" s="257"/>
      <c r="BM339" s="196"/>
      <c r="BN339" s="46"/>
      <c r="BO339" s="257"/>
      <c r="BP339" s="196"/>
      <c r="BQ339" s="190"/>
      <c r="BR339" s="46"/>
      <c r="BS339" s="196"/>
      <c r="BT339" s="46"/>
      <c r="BU339" s="257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196"/>
      <c r="CI339" s="46"/>
      <c r="CJ339" s="46"/>
      <c r="CK339" s="46"/>
      <c r="CL339" s="46"/>
      <c r="CM339" s="46"/>
      <c r="CN339" s="196"/>
      <c r="CO339" s="191"/>
      <c r="CP339" s="257"/>
      <c r="CQ339" s="196"/>
      <c r="CR339" s="167"/>
      <c r="CS339" s="257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191"/>
      <c r="DN339" s="46"/>
      <c r="DO339" s="196"/>
      <c r="DP339" s="581" t="s">
        <v>531</v>
      </c>
      <c r="DQ339" s="257">
        <f>DW339+EC339+EJ339+ER339+EZ339+FH339+76000</f>
        <v>76000</v>
      </c>
      <c r="DR339" s="294"/>
      <c r="DS339" s="295"/>
      <c r="DT339" s="386">
        <f t="shared" si="39"/>
        <v>0</v>
      </c>
      <c r="DU339" s="41"/>
      <c r="DV339" s="41"/>
      <c r="DW339" s="256"/>
      <c r="DX339" s="41"/>
      <c r="DY339" s="41"/>
      <c r="DZ339" s="68"/>
      <c r="EA339" s="41"/>
      <c r="EB339" s="41"/>
      <c r="EC339" s="256"/>
      <c r="ED339" s="308"/>
      <c r="EE339" s="308"/>
      <c r="EF339" s="308"/>
      <c r="EG339" s="41"/>
      <c r="EH339" s="41"/>
      <c r="EI339" s="41"/>
      <c r="EJ339" s="69"/>
      <c r="EK339" s="308"/>
      <c r="EL339" s="308"/>
      <c r="EM339" s="308"/>
      <c r="EN339" s="308"/>
      <c r="EO339" s="41"/>
      <c r="EP339" s="41"/>
      <c r="EQ339" s="41"/>
      <c r="ER339" s="256"/>
      <c r="ES339" s="293"/>
      <c r="ET339" s="293"/>
      <c r="EU339" s="293"/>
      <c r="EV339" s="293"/>
      <c r="EW339" s="41"/>
      <c r="EX339" s="41"/>
      <c r="EY339" s="41"/>
      <c r="EZ339" s="256"/>
      <c r="FA339" s="308"/>
      <c r="FB339" s="308"/>
      <c r="FC339" s="308"/>
      <c r="FD339" s="308"/>
      <c r="FE339" s="41"/>
      <c r="FF339" s="41"/>
      <c r="FG339" s="41"/>
      <c r="FH339" s="256"/>
      <c r="FI339" s="41"/>
      <c r="FJ339" s="41"/>
      <c r="FK339" s="41"/>
      <c r="FL339" s="276"/>
    </row>
    <row r="340" spans="1:168">
      <c r="A340" s="45">
        <v>333</v>
      </c>
      <c r="B340" s="45" t="s">
        <v>210</v>
      </c>
      <c r="C340" s="45">
        <v>4</v>
      </c>
      <c r="D340" s="29" t="s">
        <v>184</v>
      </c>
      <c r="E340" s="30" t="s">
        <v>187</v>
      </c>
      <c r="F340" s="30">
        <v>7</v>
      </c>
      <c r="G340" s="246">
        <f>42433.335/1000</f>
        <v>42.433335</v>
      </c>
      <c r="H340" s="45">
        <v>0</v>
      </c>
      <c r="I340" s="45">
        <v>42433.334999999999</v>
      </c>
      <c r="J340" s="397">
        <v>61.413321000000003</v>
      </c>
      <c r="K340" s="495">
        <f t="shared" si="35"/>
        <v>103.846656</v>
      </c>
      <c r="L340" s="578"/>
      <c r="M340" s="45">
        <f t="shared" si="37"/>
        <v>0</v>
      </c>
      <c r="N340" s="46">
        <f t="shared" si="27"/>
        <v>103.846656</v>
      </c>
      <c r="O340" s="46">
        <f t="shared" si="36"/>
        <v>20</v>
      </c>
      <c r="P340" s="234"/>
      <c r="Q340" s="46"/>
      <c r="R340" s="450"/>
      <c r="S340" s="257"/>
      <c r="T340" s="46"/>
      <c r="U340" s="46"/>
      <c r="V340" s="46"/>
      <c r="W340" s="46"/>
      <c r="X340" s="196"/>
      <c r="Y340" s="46"/>
      <c r="Z340" s="46"/>
      <c r="AA340" s="46"/>
      <c r="AB340" s="46"/>
      <c r="AC340" s="46"/>
      <c r="AD340" s="46"/>
      <c r="AE340" s="46"/>
      <c r="AF340" s="196"/>
      <c r="AG340" s="46"/>
      <c r="AH340" s="46"/>
      <c r="AI340" s="46"/>
      <c r="AJ340" s="46"/>
      <c r="AK340" s="46"/>
      <c r="AL340" s="46"/>
      <c r="AM340" s="46"/>
      <c r="AN340" s="196"/>
      <c r="AO340" s="438"/>
      <c r="AP340" s="46"/>
      <c r="AQ340" s="368"/>
      <c r="AR340" s="257"/>
      <c r="AS340" s="196"/>
      <c r="AT340" s="46"/>
      <c r="AU340" s="46"/>
      <c r="AV340" s="196"/>
      <c r="AW340" s="257"/>
      <c r="AX340" s="196"/>
      <c r="AY340" s="191"/>
      <c r="AZ340" s="257"/>
      <c r="BA340" s="196"/>
      <c r="BB340" s="46"/>
      <c r="BC340" s="257"/>
      <c r="BD340" s="196"/>
      <c r="BE340" s="191"/>
      <c r="BF340" s="46"/>
      <c r="BG340" s="196"/>
      <c r="BH340" s="46"/>
      <c r="BI340" s="257"/>
      <c r="BJ340" s="196"/>
      <c r="BK340" s="191"/>
      <c r="BL340" s="257"/>
      <c r="BM340" s="196"/>
      <c r="BN340" s="46"/>
      <c r="BO340" s="257"/>
      <c r="BP340" s="196"/>
      <c r="BQ340" s="190"/>
      <c r="BR340" s="46"/>
      <c r="BS340" s="196"/>
      <c r="BT340" s="46"/>
      <c r="BU340" s="257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196"/>
      <c r="CI340" s="46"/>
      <c r="CJ340" s="46"/>
      <c r="CK340" s="46"/>
      <c r="CL340" s="46"/>
      <c r="CM340" s="46"/>
      <c r="CN340" s="196"/>
      <c r="CO340" s="191"/>
      <c r="CP340" s="257"/>
      <c r="CQ340" s="196"/>
      <c r="CR340" s="167"/>
      <c r="CS340" s="257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191"/>
      <c r="DN340" s="46"/>
      <c r="DO340" s="196"/>
      <c r="DP340" s="221" t="s">
        <v>977</v>
      </c>
      <c r="DQ340" s="257">
        <f>DW340+EC340+EJ340+ER340+EZ340+FH340+20000</f>
        <v>20000</v>
      </c>
      <c r="DR340" s="294"/>
      <c r="DS340" s="295"/>
      <c r="DT340" s="386">
        <f t="shared" si="39"/>
        <v>0</v>
      </c>
      <c r="DU340" s="41"/>
      <c r="DV340" s="41"/>
      <c r="DW340" s="256"/>
      <c r="DX340" s="41"/>
      <c r="DY340" s="41"/>
      <c r="DZ340" s="68"/>
      <c r="EA340" s="41"/>
      <c r="EB340" s="41"/>
      <c r="EC340" s="256"/>
      <c r="ED340" s="308"/>
      <c r="EE340" s="308"/>
      <c r="EF340" s="308"/>
      <c r="EG340" s="41"/>
      <c r="EH340" s="41"/>
      <c r="EI340" s="41"/>
      <c r="EJ340" s="69"/>
      <c r="EK340" s="308"/>
      <c r="EL340" s="308"/>
      <c r="EM340" s="308"/>
      <c r="EN340" s="308"/>
      <c r="EO340" s="41"/>
      <c r="EP340" s="41"/>
      <c r="EQ340" s="41"/>
      <c r="ER340" s="256"/>
      <c r="ES340" s="293"/>
      <c r="ET340" s="293"/>
      <c r="EU340" s="293"/>
      <c r="EV340" s="293"/>
      <c r="EW340" s="41"/>
      <c r="EX340" s="41"/>
      <c r="EY340" s="41"/>
      <c r="EZ340" s="256"/>
      <c r="FA340" s="308"/>
      <c r="FB340" s="308"/>
      <c r="FC340" s="308"/>
      <c r="FD340" s="308"/>
      <c r="FE340" s="41"/>
      <c r="FF340" s="41"/>
      <c r="FG340" s="41"/>
      <c r="FH340" s="256"/>
      <c r="FI340" s="41"/>
      <c r="FJ340" s="41"/>
      <c r="FK340" s="41"/>
      <c r="FL340" s="276"/>
    </row>
    <row r="341" spans="1:168">
      <c r="A341" s="45">
        <v>334</v>
      </c>
      <c r="B341" s="45" t="s">
        <v>210</v>
      </c>
      <c r="C341" s="45">
        <v>4</v>
      </c>
      <c r="D341" s="29" t="s">
        <v>184</v>
      </c>
      <c r="E341" s="30" t="s">
        <v>188</v>
      </c>
      <c r="F341" s="30">
        <v>7</v>
      </c>
      <c r="G341" s="246">
        <f>43545.0204/1000</f>
        <v>43.545020399999999</v>
      </c>
      <c r="H341" s="45">
        <v>0</v>
      </c>
      <c r="I341" s="45">
        <v>43545.020399999994</v>
      </c>
      <c r="J341" s="397">
        <v>156.8068202</v>
      </c>
      <c r="K341" s="495">
        <f t="shared" si="35"/>
        <v>200.3518406</v>
      </c>
      <c r="L341" s="578"/>
      <c r="M341" s="45">
        <f t="shared" si="37"/>
        <v>0</v>
      </c>
      <c r="N341" s="46">
        <f t="shared" ref="N341:N380" si="40">K341-M341</f>
        <v>200.3518406</v>
      </c>
      <c r="O341" s="46">
        <f t="shared" si="36"/>
        <v>200</v>
      </c>
      <c r="P341" s="234"/>
      <c r="Q341" s="46"/>
      <c r="R341" s="450"/>
      <c r="S341" s="257"/>
      <c r="T341" s="46"/>
      <c r="U341" s="46"/>
      <c r="V341" s="46"/>
      <c r="W341" s="46"/>
      <c r="X341" s="196"/>
      <c r="Y341" s="46"/>
      <c r="Z341" s="46"/>
      <c r="AA341" s="46"/>
      <c r="AB341" s="46"/>
      <c r="AC341" s="46"/>
      <c r="AD341" s="46"/>
      <c r="AE341" s="46"/>
      <c r="AF341" s="196"/>
      <c r="AG341" s="46"/>
      <c r="AH341" s="46"/>
      <c r="AI341" s="46"/>
      <c r="AJ341" s="46"/>
      <c r="AK341" s="46"/>
      <c r="AL341" s="46"/>
      <c r="AM341" s="46"/>
      <c r="AN341" s="196"/>
      <c r="AO341" s="438"/>
      <c r="AP341" s="46"/>
      <c r="AQ341" s="368"/>
      <c r="AR341" s="257"/>
      <c r="AS341" s="196"/>
      <c r="AT341" s="46"/>
      <c r="AU341" s="46"/>
      <c r="AV341" s="196"/>
      <c r="AW341" s="257"/>
      <c r="AX341" s="196"/>
      <c r="AY341" s="191"/>
      <c r="AZ341" s="257"/>
      <c r="BA341" s="196"/>
      <c r="BB341" s="46"/>
      <c r="BC341" s="257"/>
      <c r="BD341" s="196"/>
      <c r="BE341" s="191"/>
      <c r="BF341" s="46"/>
      <c r="BG341" s="196"/>
      <c r="BH341" s="46"/>
      <c r="BI341" s="257"/>
      <c r="BJ341" s="196"/>
      <c r="BK341" s="191"/>
      <c r="BL341" s="257"/>
      <c r="BM341" s="196"/>
      <c r="BN341" s="46"/>
      <c r="BO341" s="257"/>
      <c r="BP341" s="196"/>
      <c r="BQ341" s="190"/>
      <c r="BR341" s="46"/>
      <c r="BS341" s="196"/>
      <c r="BT341" s="46"/>
      <c r="BU341" s="257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196"/>
      <c r="CI341" s="46"/>
      <c r="CJ341" s="46"/>
      <c r="CK341" s="46"/>
      <c r="CL341" s="46"/>
      <c r="CM341" s="46"/>
      <c r="CN341" s="196"/>
      <c r="CO341" s="191"/>
      <c r="CP341" s="257"/>
      <c r="CQ341" s="196"/>
      <c r="CR341" s="167"/>
      <c r="CS341" s="257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191"/>
      <c r="DN341" s="46"/>
      <c r="DO341" s="196"/>
      <c r="DP341" s="581" t="s">
        <v>531</v>
      </c>
      <c r="DQ341" s="257">
        <f>DW341+EC341+EJ341+ER341+EZ341+FH341+200000</f>
        <v>200000</v>
      </c>
      <c r="DR341" s="294"/>
      <c r="DS341" s="295"/>
      <c r="DT341" s="386">
        <f t="shared" si="39"/>
        <v>0</v>
      </c>
      <c r="DU341" s="41"/>
      <c r="DV341" s="41"/>
      <c r="DW341" s="256"/>
      <c r="DX341" s="41"/>
      <c r="DY341" s="41"/>
      <c r="DZ341" s="68"/>
      <c r="EA341" s="41"/>
      <c r="EB341" s="41"/>
      <c r="EC341" s="256"/>
      <c r="ED341" s="308"/>
      <c r="EE341" s="308"/>
      <c r="EF341" s="308"/>
      <c r="EG341" s="41"/>
      <c r="EH341" s="41"/>
      <c r="EI341" s="41"/>
      <c r="EJ341" s="69"/>
      <c r="EK341" s="308"/>
      <c r="EL341" s="308"/>
      <c r="EM341" s="308"/>
      <c r="EN341" s="308"/>
      <c r="EO341" s="41"/>
      <c r="EP341" s="41"/>
      <c r="EQ341" s="41"/>
      <c r="ER341" s="256"/>
      <c r="ES341" s="293"/>
      <c r="ET341" s="293"/>
      <c r="EU341" s="293"/>
      <c r="EV341" s="293"/>
      <c r="EW341" s="41"/>
      <c r="EX341" s="41"/>
      <c r="EY341" s="41"/>
      <c r="EZ341" s="256"/>
      <c r="FA341" s="308"/>
      <c r="FB341" s="308"/>
      <c r="FC341" s="308"/>
      <c r="FD341" s="308"/>
      <c r="FE341" s="41"/>
      <c r="FF341" s="41"/>
      <c r="FG341" s="41"/>
      <c r="FH341" s="256"/>
      <c r="FI341" s="41"/>
      <c r="FJ341" s="41"/>
      <c r="FK341" s="41"/>
      <c r="FL341" s="276"/>
    </row>
    <row r="342" spans="1:168">
      <c r="A342" s="45">
        <v>335</v>
      </c>
      <c r="B342" s="45" t="s">
        <v>210</v>
      </c>
      <c r="C342" s="45">
        <v>4</v>
      </c>
      <c r="D342" s="31" t="s">
        <v>189</v>
      </c>
      <c r="E342" s="30">
        <v>43</v>
      </c>
      <c r="F342" s="30">
        <v>7</v>
      </c>
      <c r="G342" s="246">
        <v>0</v>
      </c>
      <c r="H342" s="45">
        <v>0</v>
      </c>
      <c r="I342" s="45">
        <v>0</v>
      </c>
      <c r="J342" s="397">
        <v>5.2496</v>
      </c>
      <c r="K342" s="495">
        <f t="shared" si="35"/>
        <v>5.2496</v>
      </c>
      <c r="L342" s="578"/>
      <c r="M342" s="45">
        <f t="shared" si="37"/>
        <v>0</v>
      </c>
      <c r="N342" s="46">
        <f t="shared" si="40"/>
        <v>5.2496</v>
      </c>
      <c r="O342" s="46">
        <f t="shared" si="36"/>
        <v>5</v>
      </c>
      <c r="P342" s="234"/>
      <c r="Q342" s="46"/>
      <c r="R342" s="450"/>
      <c r="S342" s="257"/>
      <c r="T342" s="46"/>
      <c r="U342" s="46"/>
      <c r="V342" s="46"/>
      <c r="W342" s="46"/>
      <c r="X342" s="196"/>
      <c r="Y342" s="46"/>
      <c r="Z342" s="46"/>
      <c r="AA342" s="46"/>
      <c r="AB342" s="46"/>
      <c r="AC342" s="46"/>
      <c r="AD342" s="46"/>
      <c r="AE342" s="46"/>
      <c r="AF342" s="196"/>
      <c r="AG342" s="46"/>
      <c r="AH342" s="46"/>
      <c r="AI342" s="46"/>
      <c r="AJ342" s="46"/>
      <c r="AK342" s="46"/>
      <c r="AL342" s="46"/>
      <c r="AM342" s="46"/>
      <c r="AN342" s="196"/>
      <c r="AO342" s="438"/>
      <c r="AP342" s="46"/>
      <c r="AQ342" s="368"/>
      <c r="AR342" s="257"/>
      <c r="AS342" s="196"/>
      <c r="AT342" s="46"/>
      <c r="AU342" s="46"/>
      <c r="AV342" s="196"/>
      <c r="AW342" s="257"/>
      <c r="AX342" s="196"/>
      <c r="AY342" s="191"/>
      <c r="AZ342" s="257"/>
      <c r="BA342" s="196"/>
      <c r="BB342" s="46"/>
      <c r="BC342" s="257"/>
      <c r="BD342" s="196"/>
      <c r="BE342" s="191"/>
      <c r="BF342" s="46"/>
      <c r="BG342" s="196"/>
      <c r="BH342" s="46"/>
      <c r="BI342" s="257"/>
      <c r="BJ342" s="196"/>
      <c r="BK342" s="191"/>
      <c r="BL342" s="257"/>
      <c r="BM342" s="196"/>
      <c r="BN342" s="46"/>
      <c r="BO342" s="257"/>
      <c r="BP342" s="196"/>
      <c r="BQ342" s="190"/>
      <c r="BR342" s="46"/>
      <c r="BS342" s="196"/>
      <c r="BT342" s="46"/>
      <c r="BU342" s="257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196"/>
      <c r="CI342" s="46"/>
      <c r="CJ342" s="46"/>
      <c r="CK342" s="46"/>
      <c r="CL342" s="46"/>
      <c r="CM342" s="46"/>
      <c r="CN342" s="196"/>
      <c r="CO342" s="191"/>
      <c r="CP342" s="257"/>
      <c r="CQ342" s="196"/>
      <c r="CR342" s="167"/>
      <c r="CS342" s="257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191"/>
      <c r="DN342" s="46"/>
      <c r="DO342" s="196"/>
      <c r="DP342" s="221" t="s">
        <v>531</v>
      </c>
      <c r="DQ342" s="257">
        <f>DW342+EC342+EJ342+ER342+EZ342+FH342+5000</f>
        <v>5000</v>
      </c>
      <c r="DR342" s="294"/>
      <c r="DS342" s="295"/>
      <c r="DT342" s="386">
        <f t="shared" si="39"/>
        <v>0</v>
      </c>
      <c r="DU342" s="41"/>
      <c r="DV342" s="41"/>
      <c r="DW342" s="256"/>
      <c r="DX342" s="41"/>
      <c r="DY342" s="41"/>
      <c r="DZ342" s="68"/>
      <c r="EA342" s="41"/>
      <c r="EB342" s="41"/>
      <c r="EC342" s="256"/>
      <c r="ED342" s="308"/>
      <c r="EE342" s="308"/>
      <c r="EF342" s="308"/>
      <c r="EG342" s="41"/>
      <c r="EH342" s="41"/>
      <c r="EI342" s="41"/>
      <c r="EJ342" s="69"/>
      <c r="EK342" s="308"/>
      <c r="EL342" s="308"/>
      <c r="EM342" s="308"/>
      <c r="EN342" s="308"/>
      <c r="EO342" s="41"/>
      <c r="EP342" s="41"/>
      <c r="EQ342" s="41"/>
      <c r="ER342" s="256"/>
      <c r="ES342" s="293"/>
      <c r="ET342" s="293"/>
      <c r="EU342" s="293"/>
      <c r="EV342" s="293"/>
      <c r="EW342" s="41"/>
      <c r="EX342" s="41"/>
      <c r="EY342" s="41"/>
      <c r="EZ342" s="256"/>
      <c r="FA342" s="308"/>
      <c r="FB342" s="308"/>
      <c r="FC342" s="308"/>
      <c r="FD342" s="308"/>
      <c r="FE342" s="41"/>
      <c r="FF342" s="41"/>
      <c r="FG342" s="41"/>
      <c r="FH342" s="256"/>
      <c r="FI342" s="41"/>
      <c r="FJ342" s="41"/>
      <c r="FK342" s="41"/>
      <c r="FL342" s="276"/>
    </row>
    <row r="343" spans="1:168">
      <c r="A343" s="45">
        <v>336</v>
      </c>
      <c r="B343" s="45" t="s">
        <v>210</v>
      </c>
      <c r="C343" s="45">
        <v>4</v>
      </c>
      <c r="D343" s="31" t="s">
        <v>189</v>
      </c>
      <c r="E343" s="30" t="s">
        <v>190</v>
      </c>
      <c r="F343" s="30">
        <v>7</v>
      </c>
      <c r="G343" s="246">
        <v>0</v>
      </c>
      <c r="H343" s="45">
        <v>0</v>
      </c>
      <c r="I343" s="45">
        <v>0</v>
      </c>
      <c r="J343" s="397">
        <v>10.76282</v>
      </c>
      <c r="K343" s="495">
        <f t="shared" si="35"/>
        <v>10.76282</v>
      </c>
      <c r="L343" s="578"/>
      <c r="M343" s="45">
        <f t="shared" si="37"/>
        <v>0</v>
      </c>
      <c r="N343" s="46">
        <f t="shared" si="40"/>
        <v>10.76282</v>
      </c>
      <c r="O343" s="46">
        <f t="shared" si="36"/>
        <v>10</v>
      </c>
      <c r="P343" s="234"/>
      <c r="Q343" s="46"/>
      <c r="R343" s="450"/>
      <c r="S343" s="257"/>
      <c r="T343" s="46"/>
      <c r="U343" s="46"/>
      <c r="V343" s="46"/>
      <c r="W343" s="46"/>
      <c r="X343" s="196"/>
      <c r="Y343" s="46"/>
      <c r="Z343" s="46"/>
      <c r="AA343" s="46"/>
      <c r="AB343" s="46"/>
      <c r="AC343" s="46"/>
      <c r="AD343" s="46"/>
      <c r="AE343" s="46"/>
      <c r="AF343" s="196"/>
      <c r="AG343" s="46"/>
      <c r="AH343" s="46"/>
      <c r="AI343" s="46"/>
      <c r="AJ343" s="46"/>
      <c r="AK343" s="46"/>
      <c r="AL343" s="46"/>
      <c r="AM343" s="46"/>
      <c r="AN343" s="196"/>
      <c r="AO343" s="438"/>
      <c r="AP343" s="46"/>
      <c r="AQ343" s="368"/>
      <c r="AR343" s="257"/>
      <c r="AS343" s="196"/>
      <c r="AT343" s="46"/>
      <c r="AU343" s="46"/>
      <c r="AV343" s="196"/>
      <c r="AW343" s="257"/>
      <c r="AX343" s="196"/>
      <c r="AY343" s="191"/>
      <c r="AZ343" s="257"/>
      <c r="BA343" s="196"/>
      <c r="BB343" s="46"/>
      <c r="BC343" s="257"/>
      <c r="BD343" s="196"/>
      <c r="BE343" s="191"/>
      <c r="BF343" s="46"/>
      <c r="BG343" s="196"/>
      <c r="BH343" s="46"/>
      <c r="BI343" s="257"/>
      <c r="BJ343" s="196"/>
      <c r="BK343" s="191"/>
      <c r="BL343" s="257"/>
      <c r="BM343" s="196"/>
      <c r="BN343" s="46"/>
      <c r="BO343" s="257"/>
      <c r="BP343" s="196"/>
      <c r="BQ343" s="190"/>
      <c r="BR343" s="46"/>
      <c r="BS343" s="196"/>
      <c r="BT343" s="46"/>
      <c r="BU343" s="257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196"/>
      <c r="CI343" s="46"/>
      <c r="CJ343" s="46"/>
      <c r="CK343" s="46"/>
      <c r="CL343" s="46"/>
      <c r="CM343" s="46"/>
      <c r="CN343" s="196"/>
      <c r="CO343" s="191"/>
      <c r="CP343" s="257"/>
      <c r="CQ343" s="196"/>
      <c r="CR343" s="167"/>
      <c r="CS343" s="257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191"/>
      <c r="DN343" s="46"/>
      <c r="DO343" s="196"/>
      <c r="DP343" s="221" t="s">
        <v>531</v>
      </c>
      <c r="DQ343" s="257">
        <f>DW343+EC343+EJ343+ER343+EZ343+FH343+10000</f>
        <v>10000</v>
      </c>
      <c r="DR343" s="294"/>
      <c r="DS343" s="295"/>
      <c r="DT343" s="386">
        <f t="shared" si="39"/>
        <v>0</v>
      </c>
      <c r="DU343" s="41"/>
      <c r="DV343" s="41"/>
      <c r="DW343" s="256"/>
      <c r="DX343" s="41"/>
      <c r="DY343" s="41"/>
      <c r="DZ343" s="68"/>
      <c r="EA343" s="41"/>
      <c r="EB343" s="41"/>
      <c r="EC343" s="256"/>
      <c r="ED343" s="308"/>
      <c r="EE343" s="308"/>
      <c r="EF343" s="308"/>
      <c r="EG343" s="41"/>
      <c r="EH343" s="41"/>
      <c r="EI343" s="41"/>
      <c r="EJ343" s="69"/>
      <c r="EK343" s="308"/>
      <c r="EL343" s="308"/>
      <c r="EM343" s="308"/>
      <c r="EN343" s="308"/>
      <c r="EO343" s="41"/>
      <c r="EP343" s="41"/>
      <c r="EQ343" s="41"/>
      <c r="ER343" s="256"/>
      <c r="ES343" s="293"/>
      <c r="ET343" s="293"/>
      <c r="EU343" s="293"/>
      <c r="EV343" s="293"/>
      <c r="EW343" s="41"/>
      <c r="EX343" s="41"/>
      <c r="EY343" s="41"/>
      <c r="EZ343" s="256"/>
      <c r="FA343" s="308"/>
      <c r="FB343" s="308"/>
      <c r="FC343" s="308"/>
      <c r="FD343" s="308"/>
      <c r="FE343" s="41"/>
      <c r="FF343" s="41"/>
      <c r="FG343" s="41"/>
      <c r="FH343" s="256"/>
      <c r="FI343" s="41"/>
      <c r="FJ343" s="41"/>
      <c r="FK343" s="41"/>
      <c r="FL343" s="276"/>
    </row>
    <row r="344" spans="1:168" ht="49.5">
      <c r="A344" s="45">
        <v>337</v>
      </c>
      <c r="B344" s="45" t="s">
        <v>210</v>
      </c>
      <c r="C344" s="45">
        <v>4</v>
      </c>
      <c r="D344" s="29" t="s">
        <v>191</v>
      </c>
      <c r="E344" s="30" t="s">
        <v>192</v>
      </c>
      <c r="F344" s="30">
        <v>5</v>
      </c>
      <c r="G344" s="246">
        <f>270519.48/1000</f>
        <v>270.51947999999999</v>
      </c>
      <c r="H344" s="45">
        <v>270519.48</v>
      </c>
      <c r="I344" s="45">
        <v>0</v>
      </c>
      <c r="J344" s="397">
        <v>498.88590999999997</v>
      </c>
      <c r="K344" s="495">
        <f t="shared" si="35"/>
        <v>769.4053899999999</v>
      </c>
      <c r="L344" s="578"/>
      <c r="M344" s="45">
        <f t="shared" si="37"/>
        <v>0</v>
      </c>
      <c r="N344" s="46">
        <f t="shared" si="40"/>
        <v>769.4053899999999</v>
      </c>
      <c r="O344" s="46">
        <f t="shared" si="36"/>
        <v>659</v>
      </c>
      <c r="P344" s="234" t="s">
        <v>248</v>
      </c>
      <c r="Q344" s="46">
        <v>4</v>
      </c>
      <c r="R344" s="450" t="s">
        <v>978</v>
      </c>
      <c r="S344" s="257">
        <f>4*90000+4*23000+160000</f>
        <v>612000</v>
      </c>
      <c r="T344" s="46"/>
      <c r="U344" s="46"/>
      <c r="V344" s="46"/>
      <c r="W344" s="46"/>
      <c r="X344" s="196"/>
      <c r="Y344" s="46"/>
      <c r="Z344" s="46"/>
      <c r="AA344" s="46"/>
      <c r="AB344" s="46"/>
      <c r="AC344" s="46"/>
      <c r="AD344" s="46"/>
      <c r="AE344" s="46"/>
      <c r="AF344" s="196"/>
      <c r="AG344" s="46"/>
      <c r="AH344" s="46"/>
      <c r="AI344" s="46"/>
      <c r="AJ344" s="46"/>
      <c r="AK344" s="46"/>
      <c r="AL344" s="46"/>
      <c r="AM344" s="46"/>
      <c r="AN344" s="196"/>
      <c r="AO344" s="438"/>
      <c r="AP344" s="46"/>
      <c r="AQ344" s="368"/>
      <c r="AR344" s="257"/>
      <c r="AS344" s="196"/>
      <c r="AT344" s="46"/>
      <c r="AU344" s="46"/>
      <c r="AV344" s="196"/>
      <c r="AW344" s="257"/>
      <c r="AX344" s="196"/>
      <c r="AY344" s="191"/>
      <c r="AZ344" s="257"/>
      <c r="BA344" s="196"/>
      <c r="BB344" s="46"/>
      <c r="BC344" s="257"/>
      <c r="BD344" s="196"/>
      <c r="BE344" s="191"/>
      <c r="BF344" s="46"/>
      <c r="BG344" s="196"/>
      <c r="BH344" s="46"/>
      <c r="BI344" s="257"/>
      <c r="BJ344" s="196"/>
      <c r="BK344" s="190"/>
      <c r="BL344" s="257"/>
      <c r="BM344" s="196"/>
      <c r="BN344" s="167"/>
      <c r="BO344" s="257"/>
      <c r="BP344" s="196"/>
      <c r="BQ344" s="190"/>
      <c r="BR344" s="46"/>
      <c r="BS344" s="196"/>
      <c r="BT344" s="46"/>
      <c r="BU344" s="257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196"/>
      <c r="CI344" s="46"/>
      <c r="CJ344" s="46"/>
      <c r="CK344" s="46"/>
      <c r="CL344" s="46"/>
      <c r="CM344" s="46"/>
      <c r="CN344" s="196"/>
      <c r="CO344" s="191"/>
      <c r="CP344" s="257"/>
      <c r="CQ344" s="196"/>
      <c r="CR344" s="167"/>
      <c r="CS344" s="257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191"/>
      <c r="DN344" s="46"/>
      <c r="DO344" s="218"/>
      <c r="DP344" s="221" t="s">
        <v>979</v>
      </c>
      <c r="DQ344" s="257">
        <f>DW344+EC344+EJ344+ER344+EZ344+FH344+15000+15000</f>
        <v>47000</v>
      </c>
      <c r="DR344" s="296"/>
      <c r="DS344" s="295"/>
      <c r="DT344" s="386">
        <f t="shared" si="39"/>
        <v>0</v>
      </c>
      <c r="DU344" s="41"/>
      <c r="DV344" s="41"/>
      <c r="DW344" s="256"/>
      <c r="DX344" s="41"/>
      <c r="DY344" s="41"/>
      <c r="DZ344" s="68"/>
      <c r="EA344" s="41">
        <v>5</v>
      </c>
      <c r="EB344" s="41">
        <v>15</v>
      </c>
      <c r="EC344" s="256">
        <f>EB344*800</f>
        <v>12000</v>
      </c>
      <c r="ED344" s="308"/>
      <c r="EE344" s="308"/>
      <c r="EF344" s="308"/>
      <c r="EG344" s="41"/>
      <c r="EH344" s="41"/>
      <c r="EI344" s="41"/>
      <c r="EJ344" s="69"/>
      <c r="EK344" s="308"/>
      <c r="EL344" s="308"/>
      <c r="EM344" s="308"/>
      <c r="EN344" s="308"/>
      <c r="EO344" s="41">
        <v>5</v>
      </c>
      <c r="EP344" s="41">
        <v>1</v>
      </c>
      <c r="EQ344" s="41">
        <v>4</v>
      </c>
      <c r="ER344" s="256">
        <v>5000</v>
      </c>
      <c r="ES344" s="293"/>
      <c r="ET344" s="293"/>
      <c r="EU344" s="293"/>
      <c r="EV344" s="293"/>
      <c r="EW344" s="41"/>
      <c r="EX344" s="41"/>
      <c r="EY344" s="41"/>
      <c r="EZ344" s="256"/>
      <c r="FA344" s="308"/>
      <c r="FB344" s="308"/>
      <c r="FC344" s="308"/>
      <c r="FD344" s="308"/>
      <c r="FE344" s="46"/>
      <c r="FF344" s="41"/>
      <c r="FG344" s="41"/>
      <c r="FH344" s="256"/>
      <c r="FI344" s="41"/>
      <c r="FJ344" s="41"/>
      <c r="FK344" s="41"/>
      <c r="FL344" s="276"/>
    </row>
    <row r="345" spans="1:168">
      <c r="A345" s="45">
        <v>338</v>
      </c>
      <c r="B345" s="45" t="s">
        <v>210</v>
      </c>
      <c r="C345" s="45">
        <v>5</v>
      </c>
      <c r="D345" s="29" t="s">
        <v>191</v>
      </c>
      <c r="E345" s="30">
        <v>20</v>
      </c>
      <c r="F345" s="30">
        <v>5</v>
      </c>
      <c r="G345" s="246">
        <f>83542.536/1000</f>
        <v>83.542535999999998</v>
      </c>
      <c r="H345" s="45">
        <v>83542.536000000007</v>
      </c>
      <c r="I345" s="45">
        <v>0</v>
      </c>
      <c r="J345" s="397">
        <v>35.412530000000004</v>
      </c>
      <c r="K345" s="495">
        <f t="shared" si="35"/>
        <v>118.955066</v>
      </c>
      <c r="L345" s="578"/>
      <c r="M345" s="45">
        <f t="shared" si="37"/>
        <v>0</v>
      </c>
      <c r="N345" s="46">
        <f t="shared" si="40"/>
        <v>118.955066</v>
      </c>
      <c r="O345" s="46">
        <f t="shared" si="36"/>
        <v>90</v>
      </c>
      <c r="P345" s="234"/>
      <c r="Q345" s="46">
        <v>1</v>
      </c>
      <c r="R345" s="450" t="s">
        <v>523</v>
      </c>
      <c r="S345" s="257">
        <v>90000</v>
      </c>
      <c r="T345" s="46"/>
      <c r="U345" s="46"/>
      <c r="V345" s="46"/>
      <c r="W345" s="46"/>
      <c r="X345" s="196"/>
      <c r="Y345" s="46"/>
      <c r="Z345" s="46"/>
      <c r="AA345" s="46"/>
      <c r="AB345" s="46"/>
      <c r="AC345" s="46"/>
      <c r="AD345" s="46"/>
      <c r="AE345" s="46"/>
      <c r="AF345" s="196"/>
      <c r="AG345" s="46"/>
      <c r="AH345" s="46"/>
      <c r="AI345" s="46"/>
      <c r="AJ345" s="46"/>
      <c r="AK345" s="46"/>
      <c r="AL345" s="46"/>
      <c r="AM345" s="46"/>
      <c r="AN345" s="196"/>
      <c r="AO345" s="438"/>
      <c r="AP345" s="46"/>
      <c r="AQ345" s="368"/>
      <c r="AR345" s="257"/>
      <c r="AS345" s="196"/>
      <c r="AT345" s="46"/>
      <c r="AU345" s="46"/>
      <c r="AV345" s="196"/>
      <c r="AW345" s="257"/>
      <c r="AX345" s="196"/>
      <c r="AY345" s="191"/>
      <c r="AZ345" s="257"/>
      <c r="BA345" s="196"/>
      <c r="BB345" s="46"/>
      <c r="BC345" s="257"/>
      <c r="BD345" s="196"/>
      <c r="BE345" s="191"/>
      <c r="BF345" s="46"/>
      <c r="BG345" s="196"/>
      <c r="BH345" s="46"/>
      <c r="BI345" s="257"/>
      <c r="BJ345" s="196"/>
      <c r="BK345" s="190"/>
      <c r="BL345" s="257"/>
      <c r="BM345" s="196"/>
      <c r="BN345" s="46"/>
      <c r="BO345" s="257"/>
      <c r="BP345" s="196"/>
      <c r="BQ345" s="190"/>
      <c r="BR345" s="46"/>
      <c r="BS345" s="196"/>
      <c r="BT345" s="46"/>
      <c r="BU345" s="257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196"/>
      <c r="CI345" s="46"/>
      <c r="CJ345" s="46"/>
      <c r="CK345" s="46"/>
      <c r="CL345" s="46"/>
      <c r="CM345" s="46"/>
      <c r="CN345" s="196"/>
      <c r="CO345" s="191"/>
      <c r="CP345" s="257"/>
      <c r="CQ345" s="196"/>
      <c r="CR345" s="167"/>
      <c r="CS345" s="257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191"/>
      <c r="DN345" s="46"/>
      <c r="DO345" s="196"/>
      <c r="DP345" s="221"/>
      <c r="DQ345" s="257">
        <f t="shared" si="38"/>
        <v>0</v>
      </c>
      <c r="DR345" s="294"/>
      <c r="DS345" s="295"/>
      <c r="DT345" s="386">
        <f t="shared" si="39"/>
        <v>0</v>
      </c>
      <c r="DU345" s="41"/>
      <c r="DV345" s="41"/>
      <c r="DW345" s="256"/>
      <c r="DX345" s="41"/>
      <c r="DY345" s="41"/>
      <c r="DZ345" s="68"/>
      <c r="EA345" s="41"/>
      <c r="EB345" s="41"/>
      <c r="EC345" s="256"/>
      <c r="ED345" s="308"/>
      <c r="EE345" s="308"/>
      <c r="EF345" s="308"/>
      <c r="EG345" s="41"/>
      <c r="EH345" s="41"/>
      <c r="EI345" s="41"/>
      <c r="EJ345" s="69"/>
      <c r="EK345" s="308"/>
      <c r="EL345" s="308"/>
      <c r="EM345" s="308"/>
      <c r="EN345" s="308"/>
      <c r="EO345" s="41"/>
      <c r="EP345" s="41"/>
      <c r="EQ345" s="41"/>
      <c r="ER345" s="256"/>
      <c r="ES345" s="293"/>
      <c r="ET345" s="293"/>
      <c r="EU345" s="293"/>
      <c r="EV345" s="293"/>
      <c r="EW345" s="41"/>
      <c r="EX345" s="41"/>
      <c r="EY345" s="41"/>
      <c r="EZ345" s="256"/>
      <c r="FA345" s="308"/>
      <c r="FB345" s="308"/>
      <c r="FC345" s="308"/>
      <c r="FD345" s="308"/>
      <c r="FE345" s="46"/>
      <c r="FF345" s="41"/>
      <c r="FG345" s="41"/>
      <c r="FH345" s="256"/>
      <c r="FI345" s="41"/>
      <c r="FJ345" s="41"/>
      <c r="FK345" s="41"/>
      <c r="FL345" s="276"/>
    </row>
    <row r="346" spans="1:168">
      <c r="A346" s="45">
        <v>339</v>
      </c>
      <c r="B346" s="45" t="s">
        <v>210</v>
      </c>
      <c r="C346" s="45">
        <v>5</v>
      </c>
      <c r="D346" s="29" t="s">
        <v>191</v>
      </c>
      <c r="E346" s="30">
        <v>22</v>
      </c>
      <c r="F346" s="30">
        <v>5</v>
      </c>
      <c r="G346" s="246">
        <f>78062.292/1000</f>
        <v>78.062291999999999</v>
      </c>
      <c r="H346" s="45">
        <v>78062.292000000001</v>
      </c>
      <c r="I346" s="45">
        <v>0</v>
      </c>
      <c r="J346" s="397">
        <v>190.80041000000003</v>
      </c>
      <c r="K346" s="495">
        <f t="shared" si="35"/>
        <v>268.86270200000001</v>
      </c>
      <c r="L346" s="578"/>
      <c r="M346" s="45">
        <f t="shared" si="37"/>
        <v>0</v>
      </c>
      <c r="N346" s="46">
        <f t="shared" si="40"/>
        <v>268.86270200000001</v>
      </c>
      <c r="O346" s="46">
        <f t="shared" si="36"/>
        <v>200</v>
      </c>
      <c r="P346" s="234" t="s">
        <v>249</v>
      </c>
      <c r="Q346" s="46">
        <v>2</v>
      </c>
      <c r="R346" s="450" t="s">
        <v>560</v>
      </c>
      <c r="S346" s="257">
        <v>180000</v>
      </c>
      <c r="T346" s="46"/>
      <c r="U346" s="46"/>
      <c r="V346" s="46"/>
      <c r="W346" s="46"/>
      <c r="X346" s="196"/>
      <c r="Y346" s="46"/>
      <c r="Z346" s="46"/>
      <c r="AA346" s="46"/>
      <c r="AB346" s="46"/>
      <c r="AC346" s="46"/>
      <c r="AD346" s="46"/>
      <c r="AE346" s="46"/>
      <c r="AF346" s="196"/>
      <c r="AG346" s="46"/>
      <c r="AH346" s="46"/>
      <c r="AI346" s="46"/>
      <c r="AJ346" s="46"/>
      <c r="AK346" s="46"/>
      <c r="AL346" s="46"/>
      <c r="AM346" s="46"/>
      <c r="AN346" s="196"/>
      <c r="AO346" s="438"/>
      <c r="AP346" s="46"/>
      <c r="AQ346" s="368"/>
      <c r="AR346" s="257"/>
      <c r="AS346" s="196"/>
      <c r="AT346" s="46"/>
      <c r="AU346" s="46"/>
      <c r="AV346" s="196"/>
      <c r="AW346" s="257"/>
      <c r="AX346" s="196"/>
      <c r="AY346" s="191"/>
      <c r="AZ346" s="257"/>
      <c r="BA346" s="196"/>
      <c r="BB346" s="46"/>
      <c r="BC346" s="257"/>
      <c r="BD346" s="196"/>
      <c r="BE346" s="191"/>
      <c r="BF346" s="46"/>
      <c r="BG346" s="196"/>
      <c r="BH346" s="46"/>
      <c r="BI346" s="257"/>
      <c r="BJ346" s="196"/>
      <c r="BK346" s="191"/>
      <c r="BL346" s="257"/>
      <c r="BM346" s="196"/>
      <c r="BN346" s="46"/>
      <c r="BO346" s="257"/>
      <c r="BP346" s="196"/>
      <c r="BQ346" s="190"/>
      <c r="BR346" s="46"/>
      <c r="BS346" s="196"/>
      <c r="BT346" s="46"/>
      <c r="BU346" s="257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196"/>
      <c r="CI346" s="46"/>
      <c r="CJ346" s="46"/>
      <c r="CK346" s="46"/>
      <c r="CL346" s="46"/>
      <c r="CM346" s="46"/>
      <c r="CN346" s="196"/>
      <c r="CO346" s="191"/>
      <c r="CP346" s="257"/>
      <c r="CQ346" s="196"/>
      <c r="CR346" s="167"/>
      <c r="CS346" s="257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191"/>
      <c r="DN346" s="46"/>
      <c r="DO346" s="196"/>
      <c r="DP346" s="221" t="s">
        <v>980</v>
      </c>
      <c r="DQ346" s="257">
        <f>DW346+EC346+EJ346+ER346+EZ346+FH346+20000</f>
        <v>20000</v>
      </c>
      <c r="DR346" s="294"/>
      <c r="DS346" s="295"/>
      <c r="DT346" s="386">
        <f t="shared" si="39"/>
        <v>0</v>
      </c>
      <c r="DU346" s="41"/>
      <c r="DV346" s="41"/>
      <c r="DW346" s="256"/>
      <c r="DX346" s="41"/>
      <c r="DY346" s="41"/>
      <c r="DZ346" s="68"/>
      <c r="EA346" s="41"/>
      <c r="EB346" s="41"/>
      <c r="EC346" s="256"/>
      <c r="ED346" s="308"/>
      <c r="EE346" s="308"/>
      <c r="EF346" s="308"/>
      <c r="EG346" s="41"/>
      <c r="EH346" s="41"/>
      <c r="EI346" s="41"/>
      <c r="EJ346" s="69"/>
      <c r="EK346" s="308"/>
      <c r="EL346" s="308"/>
      <c r="EM346" s="308"/>
      <c r="EN346" s="308"/>
      <c r="EO346" s="41"/>
      <c r="EP346" s="41"/>
      <c r="EQ346" s="41"/>
      <c r="ER346" s="256"/>
      <c r="ES346" s="293"/>
      <c r="ET346" s="293"/>
      <c r="EU346" s="293"/>
      <c r="EV346" s="293"/>
      <c r="EW346" s="41"/>
      <c r="EX346" s="41"/>
      <c r="EY346" s="41"/>
      <c r="EZ346" s="256"/>
      <c r="FA346" s="308"/>
      <c r="FB346" s="308"/>
      <c r="FC346" s="308"/>
      <c r="FD346" s="308"/>
      <c r="FE346" s="46"/>
      <c r="FF346" s="41"/>
      <c r="FG346" s="41"/>
      <c r="FH346" s="256"/>
      <c r="FI346" s="41"/>
      <c r="FJ346" s="41"/>
      <c r="FK346" s="41"/>
      <c r="FL346" s="276"/>
    </row>
    <row r="347" spans="1:168" ht="20.25">
      <c r="A347" s="45">
        <v>340</v>
      </c>
      <c r="B347" s="45" t="s">
        <v>210</v>
      </c>
      <c r="C347" s="45">
        <v>5</v>
      </c>
      <c r="D347" s="29" t="s">
        <v>191</v>
      </c>
      <c r="E347" s="30">
        <v>24</v>
      </c>
      <c r="F347" s="30">
        <v>5</v>
      </c>
      <c r="G347" s="246">
        <f>102828.1716/1000</f>
        <v>102.8281716</v>
      </c>
      <c r="H347" s="45">
        <v>102828.17159999999</v>
      </c>
      <c r="I347" s="45">
        <v>0</v>
      </c>
      <c r="J347" s="397">
        <v>332.8115499999999</v>
      </c>
      <c r="K347" s="495">
        <f t="shared" si="35"/>
        <v>435.63972159999992</v>
      </c>
      <c r="L347" s="578"/>
      <c r="M347" s="45">
        <f t="shared" si="37"/>
        <v>0</v>
      </c>
      <c r="N347" s="46">
        <f t="shared" si="40"/>
        <v>435.63972159999992</v>
      </c>
      <c r="O347" s="46">
        <f t="shared" si="36"/>
        <v>234.8</v>
      </c>
      <c r="P347" s="234" t="s">
        <v>248</v>
      </c>
      <c r="Q347" s="46">
        <v>1</v>
      </c>
      <c r="R347" s="450" t="s">
        <v>224</v>
      </c>
      <c r="S347" s="257">
        <v>90000</v>
      </c>
      <c r="T347" s="46"/>
      <c r="U347" s="46"/>
      <c r="V347" s="46"/>
      <c r="W347" s="46"/>
      <c r="X347" s="196"/>
      <c r="Y347" s="46"/>
      <c r="Z347" s="46"/>
      <c r="AA347" s="46"/>
      <c r="AB347" s="46"/>
      <c r="AC347" s="46"/>
      <c r="AD347" s="46"/>
      <c r="AE347" s="46"/>
      <c r="AF347" s="196"/>
      <c r="AG347" s="46"/>
      <c r="AH347" s="46"/>
      <c r="AI347" s="46"/>
      <c r="AJ347" s="46"/>
      <c r="AK347" s="46"/>
      <c r="AL347" s="46"/>
      <c r="AM347" s="46"/>
      <c r="AN347" s="196"/>
      <c r="AO347" s="438"/>
      <c r="AP347" s="46"/>
      <c r="AQ347" s="368"/>
      <c r="AR347" s="257"/>
      <c r="AS347" s="196"/>
      <c r="AT347" s="46"/>
      <c r="AU347" s="46"/>
      <c r="AV347" s="196"/>
      <c r="AW347" s="257"/>
      <c r="AX347" s="196"/>
      <c r="AY347" s="191"/>
      <c r="AZ347" s="257"/>
      <c r="BA347" s="196"/>
      <c r="BB347" s="46"/>
      <c r="BC347" s="257"/>
      <c r="BD347" s="196"/>
      <c r="BE347" s="191"/>
      <c r="BF347" s="46"/>
      <c r="BG347" s="196"/>
      <c r="BH347" s="46"/>
      <c r="BI347" s="257"/>
      <c r="BJ347" s="196"/>
      <c r="BK347" s="191"/>
      <c r="BL347" s="257"/>
      <c r="BM347" s="196"/>
      <c r="BN347" s="46"/>
      <c r="BO347" s="257"/>
      <c r="BP347" s="196"/>
      <c r="BQ347" s="190"/>
      <c r="BR347" s="46"/>
      <c r="BS347" s="196"/>
      <c r="BT347" s="46"/>
      <c r="BU347" s="257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196"/>
      <c r="CI347" s="46"/>
      <c r="CJ347" s="46"/>
      <c r="CK347" s="46"/>
      <c r="CL347" s="46"/>
      <c r="CM347" s="46"/>
      <c r="CN347" s="196"/>
      <c r="CO347" s="191"/>
      <c r="CP347" s="257"/>
      <c r="CQ347" s="196"/>
      <c r="CR347" s="167"/>
      <c r="CS347" s="257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191"/>
      <c r="DN347" s="46"/>
      <c r="DO347" s="196"/>
      <c r="DP347" s="221" t="s">
        <v>981</v>
      </c>
      <c r="DQ347" s="257">
        <f>DW347+EC347+EJ347+ER347+EZ347+FH347+40000</f>
        <v>144800</v>
      </c>
      <c r="DR347" s="294"/>
      <c r="DS347" s="295"/>
      <c r="DT347" s="386">
        <f t="shared" si="39"/>
        <v>0</v>
      </c>
      <c r="DU347" s="41"/>
      <c r="DV347" s="41"/>
      <c r="DW347" s="256"/>
      <c r="DX347" s="41"/>
      <c r="DY347" s="41"/>
      <c r="DZ347" s="68"/>
      <c r="EA347" s="41">
        <v>5</v>
      </c>
      <c r="EB347" s="41">
        <v>131</v>
      </c>
      <c r="EC347" s="256">
        <f>EB347*800</f>
        <v>104800</v>
      </c>
      <c r="ED347" s="308"/>
      <c r="EE347" s="308"/>
      <c r="EF347" s="308"/>
      <c r="EG347" s="41"/>
      <c r="EH347" s="41"/>
      <c r="EI347" s="41"/>
      <c r="EJ347" s="69"/>
      <c r="EK347" s="308"/>
      <c r="EL347" s="308"/>
      <c r="EM347" s="308"/>
      <c r="EN347" s="308"/>
      <c r="EO347" s="41"/>
      <c r="EP347" s="41"/>
      <c r="EQ347" s="41"/>
      <c r="ER347" s="256"/>
      <c r="ES347" s="293"/>
      <c r="ET347" s="293"/>
      <c r="EU347" s="293"/>
      <c r="EV347" s="293"/>
      <c r="EW347" s="41"/>
      <c r="EX347" s="41"/>
      <c r="EY347" s="41"/>
      <c r="EZ347" s="256"/>
      <c r="FA347" s="308"/>
      <c r="FB347" s="308"/>
      <c r="FC347" s="308"/>
      <c r="FD347" s="308"/>
      <c r="FE347" s="46"/>
      <c r="FF347" s="41"/>
      <c r="FG347" s="41"/>
      <c r="FH347" s="256"/>
      <c r="FI347" s="41"/>
      <c r="FJ347" s="41"/>
      <c r="FK347" s="41"/>
      <c r="FL347" s="276"/>
    </row>
    <row r="348" spans="1:168">
      <c r="A348" s="45">
        <v>341</v>
      </c>
      <c r="B348" s="45" t="s">
        <v>210</v>
      </c>
      <c r="C348" s="45">
        <v>5</v>
      </c>
      <c r="D348" s="29" t="s">
        <v>191</v>
      </c>
      <c r="E348" s="30">
        <v>26</v>
      </c>
      <c r="F348" s="30">
        <v>5</v>
      </c>
      <c r="G348" s="246">
        <f>43251.516/1000</f>
        <v>43.251516000000002</v>
      </c>
      <c r="H348" s="45">
        <v>43251.515999999996</v>
      </c>
      <c r="I348" s="45">
        <v>0</v>
      </c>
      <c r="J348" s="397">
        <v>96.474069999999998</v>
      </c>
      <c r="K348" s="495">
        <f t="shared" si="35"/>
        <v>139.72558599999999</v>
      </c>
      <c r="L348" s="578"/>
      <c r="M348" s="45">
        <f t="shared" si="37"/>
        <v>0</v>
      </c>
      <c r="N348" s="46">
        <f t="shared" si="40"/>
        <v>139.72558599999999</v>
      </c>
      <c r="O348" s="46">
        <f t="shared" si="36"/>
        <v>115.2</v>
      </c>
      <c r="P348" s="234"/>
      <c r="Q348" s="46"/>
      <c r="R348" s="450"/>
      <c r="S348" s="257"/>
      <c r="T348" s="46"/>
      <c r="U348" s="46"/>
      <c r="V348" s="46"/>
      <c r="W348" s="46"/>
      <c r="X348" s="196"/>
      <c r="Y348" s="46"/>
      <c r="Z348" s="46"/>
      <c r="AA348" s="46"/>
      <c r="AB348" s="46"/>
      <c r="AC348" s="46"/>
      <c r="AD348" s="46"/>
      <c r="AE348" s="46"/>
      <c r="AF348" s="196"/>
      <c r="AG348" s="46"/>
      <c r="AH348" s="46"/>
      <c r="AI348" s="46"/>
      <c r="AJ348" s="46"/>
      <c r="AK348" s="46"/>
      <c r="AL348" s="46"/>
      <c r="AM348" s="46"/>
      <c r="AN348" s="196"/>
      <c r="AO348" s="438"/>
      <c r="AP348" s="46"/>
      <c r="AQ348" s="368"/>
      <c r="AR348" s="257"/>
      <c r="AS348" s="196"/>
      <c r="AT348" s="46"/>
      <c r="AU348" s="46"/>
      <c r="AV348" s="196"/>
      <c r="AW348" s="257"/>
      <c r="AX348" s="196"/>
      <c r="AY348" s="191"/>
      <c r="AZ348" s="257"/>
      <c r="BA348" s="196"/>
      <c r="BB348" s="46"/>
      <c r="BC348" s="257"/>
      <c r="BD348" s="196"/>
      <c r="BE348" s="191"/>
      <c r="BF348" s="46"/>
      <c r="BG348" s="196"/>
      <c r="BH348" s="46"/>
      <c r="BI348" s="257"/>
      <c r="BJ348" s="196"/>
      <c r="BK348" s="191"/>
      <c r="BL348" s="257"/>
      <c r="BM348" s="196"/>
      <c r="BN348" s="46"/>
      <c r="BO348" s="257"/>
      <c r="BP348" s="196"/>
      <c r="BQ348" s="190"/>
      <c r="BR348" s="46"/>
      <c r="BS348" s="196"/>
      <c r="BT348" s="46"/>
      <c r="BU348" s="257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196"/>
      <c r="CI348" s="46"/>
      <c r="CJ348" s="46"/>
      <c r="CK348" s="46"/>
      <c r="CL348" s="46"/>
      <c r="CM348" s="46"/>
      <c r="CN348" s="196"/>
      <c r="CO348" s="191"/>
      <c r="CP348" s="257"/>
      <c r="CQ348" s="196"/>
      <c r="CR348" s="167"/>
      <c r="CS348" s="257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191"/>
      <c r="DN348" s="46"/>
      <c r="DO348" s="196"/>
      <c r="DP348" s="221" t="s">
        <v>982</v>
      </c>
      <c r="DQ348" s="257">
        <f t="shared" si="38"/>
        <v>115200</v>
      </c>
      <c r="DR348" s="294"/>
      <c r="DS348" s="295"/>
      <c r="DT348" s="386">
        <f t="shared" si="39"/>
        <v>0</v>
      </c>
      <c r="DU348" s="41"/>
      <c r="DV348" s="41"/>
      <c r="DW348" s="256"/>
      <c r="DX348" s="41"/>
      <c r="DY348" s="41"/>
      <c r="DZ348" s="68"/>
      <c r="EA348" s="41">
        <v>5</v>
      </c>
      <c r="EB348" s="41">
        <v>144</v>
      </c>
      <c r="EC348" s="256">
        <f>EB348*800</f>
        <v>115200</v>
      </c>
      <c r="ED348" s="308"/>
      <c r="EE348" s="308"/>
      <c r="EF348" s="308"/>
      <c r="EG348" s="41"/>
      <c r="EH348" s="41"/>
      <c r="EI348" s="41"/>
      <c r="EJ348" s="69"/>
      <c r="EK348" s="308"/>
      <c r="EL348" s="308"/>
      <c r="EM348" s="308"/>
      <c r="EN348" s="308"/>
      <c r="EO348" s="41"/>
      <c r="EP348" s="41"/>
      <c r="EQ348" s="41"/>
      <c r="ER348" s="256"/>
      <c r="ES348" s="293"/>
      <c r="ET348" s="293"/>
      <c r="EU348" s="293"/>
      <c r="EV348" s="293"/>
      <c r="EW348" s="41"/>
      <c r="EX348" s="41"/>
      <c r="EY348" s="41"/>
      <c r="EZ348" s="256"/>
      <c r="FA348" s="308"/>
      <c r="FB348" s="308"/>
      <c r="FC348" s="308"/>
      <c r="FD348" s="308"/>
      <c r="FE348" s="46"/>
      <c r="FF348" s="41"/>
      <c r="FG348" s="41"/>
      <c r="FH348" s="256"/>
      <c r="FI348" s="41"/>
      <c r="FJ348" s="41"/>
      <c r="FK348" s="41"/>
      <c r="FL348" s="276"/>
    </row>
    <row r="349" spans="1:168">
      <c r="A349" s="45">
        <v>342</v>
      </c>
      <c r="B349" s="45" t="s">
        <v>210</v>
      </c>
      <c r="C349" s="45">
        <v>5</v>
      </c>
      <c r="D349" s="29" t="s">
        <v>191</v>
      </c>
      <c r="E349" s="30">
        <v>28</v>
      </c>
      <c r="F349" s="30">
        <v>5</v>
      </c>
      <c r="G349" s="246">
        <f>43392.888/1000</f>
        <v>43.392887999999999</v>
      </c>
      <c r="H349" s="45">
        <v>43392.887999999992</v>
      </c>
      <c r="I349" s="45">
        <v>0</v>
      </c>
      <c r="J349" s="397">
        <v>37.372479999999996</v>
      </c>
      <c r="K349" s="495">
        <f t="shared" si="35"/>
        <v>80.765367999999995</v>
      </c>
      <c r="L349" s="578"/>
      <c r="M349" s="45">
        <f t="shared" si="37"/>
        <v>0</v>
      </c>
      <c r="N349" s="46">
        <f t="shared" si="40"/>
        <v>80.765367999999995</v>
      </c>
      <c r="O349" s="46">
        <f t="shared" si="36"/>
        <v>40</v>
      </c>
      <c r="P349" s="234"/>
      <c r="Q349" s="46"/>
      <c r="R349" s="450"/>
      <c r="S349" s="257"/>
      <c r="T349" s="46"/>
      <c r="U349" s="46"/>
      <c r="V349" s="46"/>
      <c r="W349" s="46"/>
      <c r="X349" s="196"/>
      <c r="Y349" s="46"/>
      <c r="Z349" s="46"/>
      <c r="AA349" s="46"/>
      <c r="AB349" s="46"/>
      <c r="AC349" s="46"/>
      <c r="AD349" s="46"/>
      <c r="AE349" s="46"/>
      <c r="AF349" s="196"/>
      <c r="AG349" s="46"/>
      <c r="AH349" s="46"/>
      <c r="AI349" s="46"/>
      <c r="AJ349" s="46"/>
      <c r="AK349" s="46"/>
      <c r="AL349" s="46"/>
      <c r="AM349" s="46"/>
      <c r="AN349" s="196"/>
      <c r="AO349" s="438"/>
      <c r="AP349" s="46"/>
      <c r="AQ349" s="368"/>
      <c r="AR349" s="257"/>
      <c r="AS349" s="196"/>
      <c r="AT349" s="46"/>
      <c r="AU349" s="46"/>
      <c r="AV349" s="196"/>
      <c r="AW349" s="257"/>
      <c r="AX349" s="196"/>
      <c r="AY349" s="191"/>
      <c r="AZ349" s="257"/>
      <c r="BA349" s="196"/>
      <c r="BB349" s="46"/>
      <c r="BC349" s="257"/>
      <c r="BD349" s="196"/>
      <c r="BE349" s="191"/>
      <c r="BF349" s="46"/>
      <c r="BG349" s="196"/>
      <c r="BH349" s="46"/>
      <c r="BI349" s="257"/>
      <c r="BJ349" s="196"/>
      <c r="BK349" s="191"/>
      <c r="BL349" s="257"/>
      <c r="BM349" s="196"/>
      <c r="BN349" s="46"/>
      <c r="BO349" s="257"/>
      <c r="BP349" s="196"/>
      <c r="BQ349" s="190"/>
      <c r="BR349" s="46"/>
      <c r="BS349" s="196"/>
      <c r="BT349" s="46"/>
      <c r="BU349" s="257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196"/>
      <c r="CI349" s="46"/>
      <c r="CJ349" s="46"/>
      <c r="CK349" s="46"/>
      <c r="CL349" s="46"/>
      <c r="CM349" s="46"/>
      <c r="CN349" s="196"/>
      <c r="CO349" s="191"/>
      <c r="CP349" s="257"/>
      <c r="CQ349" s="196"/>
      <c r="CR349" s="167"/>
      <c r="CS349" s="257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191"/>
      <c r="DN349" s="46"/>
      <c r="DO349" s="196"/>
      <c r="DP349" s="221" t="s">
        <v>571</v>
      </c>
      <c r="DQ349" s="257">
        <f>DW349+EC349+EJ349+ER349+EZ349+FH349+40000</f>
        <v>40000</v>
      </c>
      <c r="DR349" s="294"/>
      <c r="DS349" s="295"/>
      <c r="DT349" s="386">
        <f t="shared" si="39"/>
        <v>0</v>
      </c>
      <c r="DU349" s="41"/>
      <c r="DV349" s="41"/>
      <c r="DW349" s="256"/>
      <c r="DX349" s="41"/>
      <c r="DY349" s="41"/>
      <c r="DZ349" s="68"/>
      <c r="EA349" s="41"/>
      <c r="EB349" s="41"/>
      <c r="EC349" s="256"/>
      <c r="ED349" s="308"/>
      <c r="EE349" s="308"/>
      <c r="EF349" s="308"/>
      <c r="EG349" s="41"/>
      <c r="EH349" s="41"/>
      <c r="EI349" s="41"/>
      <c r="EJ349" s="69"/>
      <c r="EK349" s="308"/>
      <c r="EL349" s="308"/>
      <c r="EM349" s="308"/>
      <c r="EN349" s="308"/>
      <c r="EO349" s="41"/>
      <c r="EP349" s="41"/>
      <c r="EQ349" s="41"/>
      <c r="ER349" s="256"/>
      <c r="ES349" s="293"/>
      <c r="ET349" s="293"/>
      <c r="EU349" s="293"/>
      <c r="EV349" s="293"/>
      <c r="EW349" s="41"/>
      <c r="EX349" s="41"/>
      <c r="EY349" s="41"/>
      <c r="EZ349" s="256"/>
      <c r="FA349" s="308"/>
      <c r="FB349" s="308"/>
      <c r="FC349" s="308"/>
      <c r="FD349" s="308"/>
      <c r="FE349" s="46"/>
      <c r="FF349" s="41"/>
      <c r="FG349" s="41"/>
      <c r="FH349" s="256"/>
      <c r="FI349" s="41"/>
      <c r="FJ349" s="41"/>
      <c r="FK349" s="41"/>
      <c r="FL349" s="276"/>
    </row>
    <row r="350" spans="1:168">
      <c r="A350" s="45">
        <v>343</v>
      </c>
      <c r="B350" s="45" t="s">
        <v>210</v>
      </c>
      <c r="C350" s="45">
        <v>5</v>
      </c>
      <c r="D350" s="29" t="s">
        <v>191</v>
      </c>
      <c r="E350" s="30">
        <v>47</v>
      </c>
      <c r="F350" s="30">
        <v>6</v>
      </c>
      <c r="G350" s="246">
        <f>43510.056/1000</f>
        <v>43.510055999999999</v>
      </c>
      <c r="H350" s="45">
        <v>12305.634000000002</v>
      </c>
      <c r="I350" s="45">
        <v>31204.422000000006</v>
      </c>
      <c r="J350" s="397">
        <v>117.72533</v>
      </c>
      <c r="K350" s="495">
        <f t="shared" si="35"/>
        <v>161.23538600000001</v>
      </c>
      <c r="L350" s="578"/>
      <c r="M350" s="45">
        <f t="shared" si="37"/>
        <v>0</v>
      </c>
      <c r="N350" s="46">
        <f t="shared" si="40"/>
        <v>161.23538600000001</v>
      </c>
      <c r="O350" s="46">
        <f t="shared" si="36"/>
        <v>130</v>
      </c>
      <c r="P350" s="234" t="s">
        <v>249</v>
      </c>
      <c r="Q350" s="46">
        <v>1</v>
      </c>
      <c r="R350" s="450" t="s">
        <v>523</v>
      </c>
      <c r="S350" s="257">
        <v>90000</v>
      </c>
      <c r="T350" s="46"/>
      <c r="U350" s="46"/>
      <c r="V350" s="46"/>
      <c r="W350" s="46"/>
      <c r="X350" s="196"/>
      <c r="Y350" s="46"/>
      <c r="Z350" s="46"/>
      <c r="AA350" s="46"/>
      <c r="AB350" s="46"/>
      <c r="AC350" s="46"/>
      <c r="AD350" s="46"/>
      <c r="AE350" s="46"/>
      <c r="AF350" s="196"/>
      <c r="AG350" s="46"/>
      <c r="AH350" s="46"/>
      <c r="AI350" s="46"/>
      <c r="AJ350" s="46"/>
      <c r="AK350" s="46"/>
      <c r="AL350" s="46"/>
      <c r="AM350" s="46"/>
      <c r="AN350" s="196"/>
      <c r="AO350" s="438"/>
      <c r="AP350" s="46"/>
      <c r="AQ350" s="368"/>
      <c r="AR350" s="257"/>
      <c r="AS350" s="196"/>
      <c r="AT350" s="46"/>
      <c r="AU350" s="46"/>
      <c r="AV350" s="196"/>
      <c r="AW350" s="257"/>
      <c r="AX350" s="196"/>
      <c r="AY350" s="191"/>
      <c r="AZ350" s="257"/>
      <c r="BA350" s="196"/>
      <c r="BB350" s="46"/>
      <c r="BC350" s="257"/>
      <c r="BD350" s="196"/>
      <c r="BE350" s="191"/>
      <c r="BF350" s="46"/>
      <c r="BG350" s="196"/>
      <c r="BH350" s="46"/>
      <c r="BI350" s="257"/>
      <c r="BJ350" s="196"/>
      <c r="BK350" s="191"/>
      <c r="BL350" s="257"/>
      <c r="BM350" s="196"/>
      <c r="BN350" s="46"/>
      <c r="BO350" s="257"/>
      <c r="BP350" s="196"/>
      <c r="BQ350" s="190"/>
      <c r="BR350" s="46"/>
      <c r="BS350" s="196"/>
      <c r="BT350" s="46"/>
      <c r="BU350" s="257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196"/>
      <c r="CI350" s="46"/>
      <c r="CJ350" s="46"/>
      <c r="CK350" s="46"/>
      <c r="CL350" s="46"/>
      <c r="CM350" s="46"/>
      <c r="CN350" s="196"/>
      <c r="CO350" s="191"/>
      <c r="CP350" s="257"/>
      <c r="CQ350" s="196"/>
      <c r="CR350" s="167"/>
      <c r="CS350" s="257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191"/>
      <c r="DN350" s="46"/>
      <c r="DO350" s="196"/>
      <c r="DP350" s="585" t="s">
        <v>571</v>
      </c>
      <c r="DQ350" s="257">
        <f>DW350+EC350+EJ350+ER350+EZ350+FH350+40000</f>
        <v>40000</v>
      </c>
      <c r="DR350" s="294"/>
      <c r="DS350" s="295"/>
      <c r="DT350" s="386">
        <f t="shared" si="39"/>
        <v>0</v>
      </c>
      <c r="DU350" s="41"/>
      <c r="DV350" s="41"/>
      <c r="DW350" s="256"/>
      <c r="DX350" s="41"/>
      <c r="DY350" s="41"/>
      <c r="DZ350" s="68"/>
      <c r="EA350" s="41"/>
      <c r="EB350" s="41"/>
      <c r="EC350" s="256"/>
      <c r="ED350" s="308"/>
      <c r="EE350" s="308"/>
      <c r="EF350" s="308"/>
      <c r="EG350" s="41"/>
      <c r="EH350" s="41"/>
      <c r="EI350" s="41"/>
      <c r="EJ350" s="69"/>
      <c r="EK350" s="308"/>
      <c r="EL350" s="308"/>
      <c r="EM350" s="308"/>
      <c r="EN350" s="308"/>
      <c r="EO350" s="41"/>
      <c r="EP350" s="41"/>
      <c r="EQ350" s="41"/>
      <c r="ER350" s="256"/>
      <c r="ES350" s="293"/>
      <c r="ET350" s="293"/>
      <c r="EU350" s="293"/>
      <c r="EV350" s="293"/>
      <c r="EW350" s="41"/>
      <c r="EX350" s="41"/>
      <c r="EY350" s="41"/>
      <c r="EZ350" s="256"/>
      <c r="FA350" s="308"/>
      <c r="FB350" s="308"/>
      <c r="FC350" s="308"/>
      <c r="FD350" s="308"/>
      <c r="FE350" s="41"/>
      <c r="FF350" s="41"/>
      <c r="FG350" s="41"/>
      <c r="FH350" s="256"/>
      <c r="FI350" s="41"/>
      <c r="FJ350" s="41"/>
      <c r="FK350" s="41"/>
      <c r="FL350" s="276"/>
    </row>
    <row r="351" spans="1:168">
      <c r="A351" s="45">
        <v>344</v>
      </c>
      <c r="B351" s="45" t="s">
        <v>210</v>
      </c>
      <c r="C351" s="45">
        <v>5</v>
      </c>
      <c r="D351" s="29" t="s">
        <v>191</v>
      </c>
      <c r="E351" s="30" t="s">
        <v>193</v>
      </c>
      <c r="F351" s="30">
        <v>6</v>
      </c>
      <c r="G351" s="246">
        <f>46263.024/1000</f>
        <v>46.263023999999994</v>
      </c>
      <c r="H351" s="45">
        <v>13084.235999999997</v>
      </c>
      <c r="I351" s="45">
        <v>33178.787999999993</v>
      </c>
      <c r="J351" s="397">
        <v>165.78538000000003</v>
      </c>
      <c r="K351" s="495">
        <f t="shared" si="35"/>
        <v>212.04840400000003</v>
      </c>
      <c r="L351" s="578"/>
      <c r="M351" s="45">
        <f t="shared" si="37"/>
        <v>0</v>
      </c>
      <c r="N351" s="46">
        <f t="shared" si="40"/>
        <v>212.04840400000003</v>
      </c>
      <c r="O351" s="46">
        <f t="shared" si="36"/>
        <v>142.1</v>
      </c>
      <c r="P351" s="234" t="s">
        <v>248</v>
      </c>
      <c r="Q351" s="46">
        <v>1</v>
      </c>
      <c r="R351" s="450" t="s">
        <v>523</v>
      </c>
      <c r="S351" s="257">
        <v>90000</v>
      </c>
      <c r="T351" s="46"/>
      <c r="U351" s="46"/>
      <c r="V351" s="46"/>
      <c r="W351" s="46"/>
      <c r="X351" s="196"/>
      <c r="Y351" s="46"/>
      <c r="Z351" s="46"/>
      <c r="AA351" s="46"/>
      <c r="AB351" s="46"/>
      <c r="AC351" s="46"/>
      <c r="AD351" s="46"/>
      <c r="AE351" s="46"/>
      <c r="AF351" s="196"/>
      <c r="AG351" s="46"/>
      <c r="AH351" s="46"/>
      <c r="AI351" s="46"/>
      <c r="AJ351" s="46"/>
      <c r="AK351" s="46"/>
      <c r="AL351" s="46"/>
      <c r="AM351" s="46"/>
      <c r="AN351" s="196"/>
      <c r="AO351" s="438"/>
      <c r="AP351" s="46"/>
      <c r="AQ351" s="368"/>
      <c r="AR351" s="257"/>
      <c r="AS351" s="196"/>
      <c r="AT351" s="46"/>
      <c r="AU351" s="46"/>
      <c r="AV351" s="196"/>
      <c r="AW351" s="257"/>
      <c r="AX351" s="196"/>
      <c r="AY351" s="191"/>
      <c r="AZ351" s="257"/>
      <c r="BA351" s="196"/>
      <c r="BB351" s="46"/>
      <c r="BC351" s="257"/>
      <c r="BD351" s="196"/>
      <c r="BE351" s="191"/>
      <c r="BF351" s="46"/>
      <c r="BG351" s="196"/>
      <c r="BH351" s="46"/>
      <c r="BI351" s="257"/>
      <c r="BJ351" s="196"/>
      <c r="BK351" s="191"/>
      <c r="BL351" s="257"/>
      <c r="BM351" s="196"/>
      <c r="BN351" s="46"/>
      <c r="BO351" s="257"/>
      <c r="BP351" s="196"/>
      <c r="BQ351" s="190"/>
      <c r="BR351" s="46"/>
      <c r="BS351" s="196"/>
      <c r="BT351" s="46"/>
      <c r="BU351" s="257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196"/>
      <c r="CI351" s="46"/>
      <c r="CJ351" s="46"/>
      <c r="CK351" s="46"/>
      <c r="CL351" s="46"/>
      <c r="CM351" s="46"/>
      <c r="CN351" s="196" t="s">
        <v>229</v>
      </c>
      <c r="CO351" s="191" t="s">
        <v>983</v>
      </c>
      <c r="CP351" s="257">
        <v>2500</v>
      </c>
      <c r="CQ351" s="196"/>
      <c r="CR351" s="167"/>
      <c r="CS351" s="257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191"/>
      <c r="DN351" s="46"/>
      <c r="DO351" s="196"/>
      <c r="DP351" s="221" t="s">
        <v>833</v>
      </c>
      <c r="DQ351" s="257">
        <f t="shared" si="38"/>
        <v>49600</v>
      </c>
      <c r="DR351" s="294"/>
      <c r="DS351" s="295"/>
      <c r="DT351" s="386">
        <f t="shared" si="39"/>
        <v>0</v>
      </c>
      <c r="DU351" s="41"/>
      <c r="DV351" s="41"/>
      <c r="DW351" s="256"/>
      <c r="DX351" s="41"/>
      <c r="DY351" s="41"/>
      <c r="DZ351" s="68"/>
      <c r="EA351" s="41">
        <v>4</v>
      </c>
      <c r="EB351" s="41">
        <v>62</v>
      </c>
      <c r="EC351" s="256">
        <f>EB351*800</f>
        <v>49600</v>
      </c>
      <c r="ED351" s="308"/>
      <c r="EE351" s="308"/>
      <c r="EF351" s="308"/>
      <c r="EG351" s="41"/>
      <c r="EH351" s="41"/>
      <c r="EI351" s="41"/>
      <c r="EJ351" s="69"/>
      <c r="EK351" s="308"/>
      <c r="EL351" s="308"/>
      <c r="EM351" s="308"/>
      <c r="EN351" s="308"/>
      <c r="EO351" s="41"/>
      <c r="EP351" s="41"/>
      <c r="EQ351" s="41"/>
      <c r="ER351" s="256"/>
      <c r="ES351" s="293"/>
      <c r="ET351" s="293"/>
      <c r="EU351" s="293"/>
      <c r="EV351" s="293"/>
      <c r="EW351" s="41"/>
      <c r="EX351" s="41"/>
      <c r="EY351" s="41"/>
      <c r="EZ351" s="256"/>
      <c r="FA351" s="308"/>
      <c r="FB351" s="308"/>
      <c r="FC351" s="308"/>
      <c r="FD351" s="308"/>
      <c r="FE351" s="41"/>
      <c r="FF351" s="41"/>
      <c r="FG351" s="41"/>
      <c r="FH351" s="256"/>
      <c r="FI351" s="41"/>
      <c r="FJ351" s="41"/>
      <c r="FK351" s="41"/>
      <c r="FL351" s="276"/>
    </row>
    <row r="352" spans="1:168" ht="45.75">
      <c r="A352" s="45">
        <v>345</v>
      </c>
      <c r="B352" s="45" t="s">
        <v>210</v>
      </c>
      <c r="C352" s="45">
        <v>5</v>
      </c>
      <c r="D352" s="29" t="s">
        <v>191</v>
      </c>
      <c r="E352" s="30" t="s">
        <v>113</v>
      </c>
      <c r="F352" s="30">
        <v>6</v>
      </c>
      <c r="G352" s="246">
        <f>45199.128/1000</f>
        <v>45.199127999999995</v>
      </c>
      <c r="H352" s="45">
        <v>12783.342000000001</v>
      </c>
      <c r="I352" s="45">
        <v>32415.786</v>
      </c>
      <c r="J352" s="397">
        <v>154.76062999999999</v>
      </c>
      <c r="K352" s="495">
        <f t="shared" si="35"/>
        <v>199.95975799999999</v>
      </c>
      <c r="L352" s="578"/>
      <c r="M352" s="45">
        <f t="shared" si="37"/>
        <v>0</v>
      </c>
      <c r="N352" s="46">
        <f t="shared" si="40"/>
        <v>199.95975799999999</v>
      </c>
      <c r="O352" s="46">
        <f t="shared" si="36"/>
        <v>50</v>
      </c>
      <c r="P352" s="234" t="s">
        <v>248</v>
      </c>
      <c r="Q352" s="46">
        <v>1</v>
      </c>
      <c r="R352" s="450" t="s">
        <v>984</v>
      </c>
      <c r="S352" s="257">
        <v>50000</v>
      </c>
      <c r="T352" s="46"/>
      <c r="U352" s="46"/>
      <c r="V352" s="46"/>
      <c r="W352" s="46"/>
      <c r="X352" s="196"/>
      <c r="Y352" s="46"/>
      <c r="Z352" s="46"/>
      <c r="AA352" s="46"/>
      <c r="AB352" s="46"/>
      <c r="AC352" s="46"/>
      <c r="AD352" s="46"/>
      <c r="AE352" s="46"/>
      <c r="AF352" s="196"/>
      <c r="AG352" s="46"/>
      <c r="AH352" s="46"/>
      <c r="AI352" s="46"/>
      <c r="AJ352" s="46"/>
      <c r="AK352" s="46"/>
      <c r="AL352" s="46"/>
      <c r="AM352" s="46"/>
      <c r="AN352" s="196"/>
      <c r="AO352" s="438"/>
      <c r="AP352" s="46"/>
      <c r="AQ352" s="368"/>
      <c r="AR352" s="257"/>
      <c r="AS352" s="196"/>
      <c r="AT352" s="46"/>
      <c r="AU352" s="46"/>
      <c r="AV352" s="196"/>
      <c r="AW352" s="257"/>
      <c r="AX352" s="196"/>
      <c r="AY352" s="191"/>
      <c r="AZ352" s="257"/>
      <c r="BA352" s="196"/>
      <c r="BB352" s="46"/>
      <c r="BC352" s="257"/>
      <c r="BD352" s="196"/>
      <c r="BE352" s="191"/>
      <c r="BF352" s="46"/>
      <c r="BG352" s="196"/>
      <c r="BH352" s="46"/>
      <c r="BI352" s="257"/>
      <c r="BJ352" s="196"/>
      <c r="BK352" s="190"/>
      <c r="BL352" s="257"/>
      <c r="BM352" s="196"/>
      <c r="BN352" s="46"/>
      <c r="BO352" s="257"/>
      <c r="BP352" s="196"/>
      <c r="BQ352" s="190"/>
      <c r="BR352" s="46"/>
      <c r="BS352" s="196"/>
      <c r="BT352" s="46"/>
      <c r="BU352" s="257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196"/>
      <c r="CI352" s="46"/>
      <c r="CJ352" s="46"/>
      <c r="CK352" s="46"/>
      <c r="CL352" s="46"/>
      <c r="CM352" s="46"/>
      <c r="CN352" s="196"/>
      <c r="CO352" s="191"/>
      <c r="CP352" s="257"/>
      <c r="CQ352" s="196"/>
      <c r="CR352" s="167"/>
      <c r="CS352" s="257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191"/>
      <c r="DN352" s="46"/>
      <c r="DO352" s="196"/>
      <c r="DP352" s="221"/>
      <c r="DQ352" s="257">
        <f t="shared" si="38"/>
        <v>0</v>
      </c>
      <c r="DR352" s="294"/>
      <c r="DS352" s="295"/>
      <c r="DT352" s="386">
        <f t="shared" si="39"/>
        <v>0</v>
      </c>
      <c r="DU352" s="41"/>
      <c r="DV352" s="41"/>
      <c r="DW352" s="256"/>
      <c r="DX352" s="41"/>
      <c r="DY352" s="41"/>
      <c r="DZ352" s="68"/>
      <c r="EA352" s="41"/>
      <c r="EB352" s="41"/>
      <c r="EC352" s="256"/>
      <c r="ED352" s="308"/>
      <c r="EE352" s="308"/>
      <c r="EF352" s="308"/>
      <c r="EG352" s="41"/>
      <c r="EH352" s="41"/>
      <c r="EI352" s="41"/>
      <c r="EJ352" s="69"/>
      <c r="EK352" s="308"/>
      <c r="EL352" s="308"/>
      <c r="EM352" s="308"/>
      <c r="EN352" s="308"/>
      <c r="EO352" s="41"/>
      <c r="EP352" s="41"/>
      <c r="EQ352" s="41"/>
      <c r="ER352" s="256"/>
      <c r="ES352" s="293"/>
      <c r="ET352" s="293"/>
      <c r="EU352" s="293"/>
      <c r="EV352" s="293"/>
      <c r="EW352" s="41"/>
      <c r="EX352" s="41"/>
      <c r="EY352" s="41"/>
      <c r="EZ352" s="256"/>
      <c r="FA352" s="308"/>
      <c r="FB352" s="308"/>
      <c r="FC352" s="308"/>
      <c r="FD352" s="308"/>
      <c r="FE352" s="41"/>
      <c r="FF352" s="41"/>
      <c r="FG352" s="41"/>
      <c r="FH352" s="256"/>
      <c r="FI352" s="41"/>
      <c r="FJ352" s="41"/>
      <c r="FK352" s="41"/>
      <c r="FL352" s="276"/>
    </row>
    <row r="353" spans="1:168" ht="23.25">
      <c r="A353" s="45">
        <v>346</v>
      </c>
      <c r="B353" s="45" t="s">
        <v>210</v>
      </c>
      <c r="C353" s="45">
        <v>5</v>
      </c>
      <c r="D353" s="29" t="s">
        <v>191</v>
      </c>
      <c r="E353" s="30">
        <v>51</v>
      </c>
      <c r="F353" s="30">
        <v>6</v>
      </c>
      <c r="G353" s="246">
        <f>59534.304/1000</f>
        <v>59.534303999999999</v>
      </c>
      <c r="H353" s="45">
        <v>16837.655999999999</v>
      </c>
      <c r="I353" s="45">
        <v>42696.648000000001</v>
      </c>
      <c r="J353" s="397">
        <v>178.90792999999999</v>
      </c>
      <c r="K353" s="495">
        <f t="shared" si="35"/>
        <v>238.44223399999998</v>
      </c>
      <c r="L353" s="578"/>
      <c r="M353" s="45">
        <f t="shared" si="37"/>
        <v>0</v>
      </c>
      <c r="N353" s="46">
        <f t="shared" si="40"/>
        <v>238.44223399999998</v>
      </c>
      <c r="O353" s="46">
        <f t="shared" si="36"/>
        <v>150</v>
      </c>
      <c r="P353" s="234" t="s">
        <v>229</v>
      </c>
      <c r="Q353" s="46">
        <v>1</v>
      </c>
      <c r="R353" s="450" t="s">
        <v>985</v>
      </c>
      <c r="S353" s="257">
        <v>110000</v>
      </c>
      <c r="T353" s="46"/>
      <c r="U353" s="46"/>
      <c r="V353" s="46"/>
      <c r="W353" s="46"/>
      <c r="X353" s="196"/>
      <c r="Y353" s="46"/>
      <c r="Z353" s="46"/>
      <c r="AA353" s="46"/>
      <c r="AB353" s="46"/>
      <c r="AC353" s="46"/>
      <c r="AD353" s="46"/>
      <c r="AE353" s="46"/>
      <c r="AF353" s="196"/>
      <c r="AG353" s="46"/>
      <c r="AH353" s="46"/>
      <c r="AI353" s="46"/>
      <c r="AJ353" s="46"/>
      <c r="AK353" s="46"/>
      <c r="AL353" s="46"/>
      <c r="AM353" s="46"/>
      <c r="AN353" s="196"/>
      <c r="AO353" s="438"/>
      <c r="AP353" s="46"/>
      <c r="AQ353" s="368"/>
      <c r="AR353" s="257"/>
      <c r="AS353" s="196"/>
      <c r="AT353" s="46"/>
      <c r="AU353" s="46"/>
      <c r="AV353" s="196"/>
      <c r="AW353" s="257"/>
      <c r="AX353" s="196"/>
      <c r="AY353" s="191"/>
      <c r="AZ353" s="257"/>
      <c r="BA353" s="196"/>
      <c r="BB353" s="46"/>
      <c r="BC353" s="257"/>
      <c r="BD353" s="196"/>
      <c r="BE353" s="191"/>
      <c r="BF353" s="46"/>
      <c r="BG353" s="196"/>
      <c r="BH353" s="46"/>
      <c r="BI353" s="257"/>
      <c r="BJ353" s="196"/>
      <c r="BK353" s="190"/>
      <c r="BL353" s="257"/>
      <c r="BM353" s="196"/>
      <c r="BN353" s="46"/>
      <c r="BO353" s="257"/>
      <c r="BP353" s="196"/>
      <c r="BQ353" s="190"/>
      <c r="BR353" s="46"/>
      <c r="BS353" s="196"/>
      <c r="BT353" s="46"/>
      <c r="BU353" s="257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196"/>
      <c r="CI353" s="46"/>
      <c r="CJ353" s="46"/>
      <c r="CK353" s="46"/>
      <c r="CL353" s="46"/>
      <c r="CM353" s="46"/>
      <c r="CN353" s="196" t="s">
        <v>229</v>
      </c>
      <c r="CO353" s="191" t="s">
        <v>880</v>
      </c>
      <c r="CP353" s="257">
        <v>30000</v>
      </c>
      <c r="CQ353" s="196"/>
      <c r="CR353" s="167"/>
      <c r="CS353" s="257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191"/>
      <c r="DN353" s="46"/>
      <c r="DO353" s="218"/>
      <c r="DP353" s="221" t="s">
        <v>931</v>
      </c>
      <c r="DQ353" s="257">
        <f t="shared" si="38"/>
        <v>10000</v>
      </c>
      <c r="DR353" s="294"/>
      <c r="DS353" s="295"/>
      <c r="DT353" s="386">
        <f t="shared" si="39"/>
        <v>0</v>
      </c>
      <c r="DU353" s="41"/>
      <c r="DV353" s="41"/>
      <c r="DW353" s="256"/>
      <c r="DX353" s="41"/>
      <c r="DY353" s="41"/>
      <c r="DZ353" s="68"/>
      <c r="EA353" s="41"/>
      <c r="EB353" s="41"/>
      <c r="EC353" s="256"/>
      <c r="ED353" s="308"/>
      <c r="EE353" s="308"/>
      <c r="EF353" s="308"/>
      <c r="EG353" s="41">
        <v>10</v>
      </c>
      <c r="EH353" s="41">
        <v>1</v>
      </c>
      <c r="EI353" s="41">
        <v>1</v>
      </c>
      <c r="EJ353" s="69">
        <v>10000</v>
      </c>
      <c r="EK353" s="308"/>
      <c r="EL353" s="308"/>
      <c r="EM353" s="308"/>
      <c r="EN353" s="308"/>
      <c r="EO353" s="41"/>
      <c r="EP353" s="41"/>
      <c r="EQ353" s="41"/>
      <c r="ER353" s="256"/>
      <c r="ES353" s="293"/>
      <c r="ET353" s="293"/>
      <c r="EU353" s="293"/>
      <c r="EV353" s="293"/>
      <c r="EW353" s="41"/>
      <c r="EX353" s="41"/>
      <c r="EY353" s="41"/>
      <c r="EZ353" s="256"/>
      <c r="FA353" s="308"/>
      <c r="FB353" s="308"/>
      <c r="FC353" s="308"/>
      <c r="FD353" s="308"/>
      <c r="FE353" s="41"/>
      <c r="FF353" s="41"/>
      <c r="FG353" s="41"/>
      <c r="FH353" s="256"/>
      <c r="FI353" s="41"/>
      <c r="FJ353" s="41"/>
      <c r="FK353" s="41"/>
      <c r="FL353" s="276"/>
    </row>
    <row r="354" spans="1:168">
      <c r="A354" s="45">
        <v>347</v>
      </c>
      <c r="B354" s="45" t="s">
        <v>210</v>
      </c>
      <c r="C354" s="45">
        <v>5</v>
      </c>
      <c r="D354" s="29" t="s">
        <v>191</v>
      </c>
      <c r="E354" s="30" t="s">
        <v>194</v>
      </c>
      <c r="F354" s="30">
        <v>6</v>
      </c>
      <c r="G354" s="246">
        <f>44661.696/1000</f>
        <v>44.661696000000006</v>
      </c>
      <c r="H354" s="45">
        <v>12631.344000000001</v>
      </c>
      <c r="I354" s="45">
        <v>32030.352000000006</v>
      </c>
      <c r="J354" s="397">
        <v>117.04805999999999</v>
      </c>
      <c r="K354" s="495">
        <f t="shared" si="35"/>
        <v>161.709756</v>
      </c>
      <c r="L354" s="578"/>
      <c r="M354" s="45">
        <f t="shared" si="37"/>
        <v>0</v>
      </c>
      <c r="N354" s="46">
        <f t="shared" si="40"/>
        <v>161.709756</v>
      </c>
      <c r="O354" s="46">
        <f t="shared" si="36"/>
        <v>138</v>
      </c>
      <c r="P354" s="234"/>
      <c r="Q354" s="46"/>
      <c r="R354" s="450"/>
      <c r="S354" s="257"/>
      <c r="T354" s="46"/>
      <c r="U354" s="46"/>
      <c r="V354" s="46"/>
      <c r="W354" s="46"/>
      <c r="X354" s="196"/>
      <c r="Y354" s="46"/>
      <c r="Z354" s="46"/>
      <c r="AA354" s="46"/>
      <c r="AB354" s="46"/>
      <c r="AC354" s="46"/>
      <c r="AD354" s="46"/>
      <c r="AE354" s="46"/>
      <c r="AF354" s="196"/>
      <c r="AG354" s="46"/>
      <c r="AH354" s="46"/>
      <c r="AI354" s="46"/>
      <c r="AJ354" s="46"/>
      <c r="AK354" s="46"/>
      <c r="AL354" s="46"/>
      <c r="AM354" s="46"/>
      <c r="AN354" s="196" t="s">
        <v>227</v>
      </c>
      <c r="AO354" s="438" t="s">
        <v>324</v>
      </c>
      <c r="AP354" s="46">
        <v>40</v>
      </c>
      <c r="AQ354" s="368" t="s">
        <v>247</v>
      </c>
      <c r="AR354" s="257">
        <f>AP354*1300</f>
        <v>52000</v>
      </c>
      <c r="AS354" s="196"/>
      <c r="AT354" s="46"/>
      <c r="AU354" s="46"/>
      <c r="AV354" s="196"/>
      <c r="AW354" s="257"/>
      <c r="AX354" s="196"/>
      <c r="AY354" s="191"/>
      <c r="AZ354" s="257"/>
      <c r="BA354" s="196"/>
      <c r="BB354" s="46"/>
      <c r="BC354" s="257"/>
      <c r="BD354" s="196"/>
      <c r="BE354" s="191"/>
      <c r="BF354" s="46"/>
      <c r="BG354" s="196"/>
      <c r="BH354" s="46"/>
      <c r="BI354" s="257"/>
      <c r="BJ354" s="196"/>
      <c r="BK354" s="191"/>
      <c r="BL354" s="257"/>
      <c r="BM354" s="196"/>
      <c r="BN354" s="46"/>
      <c r="BO354" s="257"/>
      <c r="BP354" s="196"/>
      <c r="BQ354" s="190"/>
      <c r="BR354" s="46"/>
      <c r="BS354" s="196"/>
      <c r="BT354" s="46"/>
      <c r="BU354" s="257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196"/>
      <c r="CI354" s="46"/>
      <c r="CJ354" s="46"/>
      <c r="CK354" s="46"/>
      <c r="CL354" s="46"/>
      <c r="CM354" s="46"/>
      <c r="CN354" s="196"/>
      <c r="CO354" s="191"/>
      <c r="CP354" s="257"/>
      <c r="CQ354" s="196"/>
      <c r="CR354" s="167"/>
      <c r="CS354" s="257"/>
      <c r="CT354" s="46"/>
      <c r="CU354" s="46"/>
      <c r="CV354" s="46"/>
      <c r="CW354" s="46"/>
      <c r="CX354" s="46"/>
      <c r="CY354" s="46"/>
      <c r="CZ354" s="46">
        <v>10</v>
      </c>
      <c r="DA354" s="46">
        <v>45</v>
      </c>
      <c r="DB354" s="46">
        <f>DA354*1800</f>
        <v>81000</v>
      </c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191"/>
      <c r="DN354" s="46"/>
      <c r="DO354" s="196"/>
      <c r="DP354" s="221" t="s">
        <v>986</v>
      </c>
      <c r="DQ354" s="257">
        <f>DW354+EC354+EJ354+ER354+EZ354+FH354+5000</f>
        <v>5000</v>
      </c>
      <c r="DR354" s="294"/>
      <c r="DS354" s="295"/>
      <c r="DT354" s="386">
        <f t="shared" si="39"/>
        <v>0</v>
      </c>
      <c r="DU354" s="41"/>
      <c r="DV354" s="41"/>
      <c r="DW354" s="256"/>
      <c r="DX354" s="41"/>
      <c r="DY354" s="41"/>
      <c r="DZ354" s="68"/>
      <c r="EA354" s="41"/>
      <c r="EB354" s="41"/>
      <c r="EC354" s="256"/>
      <c r="ED354" s="308"/>
      <c r="EE354" s="308"/>
      <c r="EF354" s="308"/>
      <c r="EG354" s="41"/>
      <c r="EH354" s="41"/>
      <c r="EI354" s="41"/>
      <c r="EJ354" s="69"/>
      <c r="EK354" s="308"/>
      <c r="EL354" s="308"/>
      <c r="EM354" s="308"/>
      <c r="EN354" s="308"/>
      <c r="EO354" s="41"/>
      <c r="EP354" s="41"/>
      <c r="EQ354" s="41"/>
      <c r="ER354" s="256"/>
      <c r="ES354" s="293"/>
      <c r="ET354" s="293"/>
      <c r="EU354" s="293"/>
      <c r="EV354" s="293"/>
      <c r="EW354" s="41"/>
      <c r="EX354" s="41"/>
      <c r="EY354" s="41"/>
      <c r="EZ354" s="256"/>
      <c r="FA354" s="308"/>
      <c r="FB354" s="308"/>
      <c r="FC354" s="308"/>
      <c r="FD354" s="308"/>
      <c r="FE354" s="41"/>
      <c r="FF354" s="41"/>
      <c r="FG354" s="41"/>
      <c r="FH354" s="256"/>
      <c r="FI354" s="41"/>
      <c r="FJ354" s="41"/>
      <c r="FK354" s="41"/>
      <c r="FL354" s="276"/>
    </row>
    <row r="355" spans="1:168">
      <c r="A355" s="45">
        <v>348</v>
      </c>
      <c r="B355" s="45" t="s">
        <v>210</v>
      </c>
      <c r="C355" s="45">
        <v>5</v>
      </c>
      <c r="D355" s="29" t="s">
        <v>191</v>
      </c>
      <c r="E355" s="30">
        <v>52</v>
      </c>
      <c r="F355" s="30">
        <v>6</v>
      </c>
      <c r="G355" s="246">
        <f>43893.936/1000</f>
        <v>43.893936000000004</v>
      </c>
      <c r="H355" s="45">
        <v>12414.203999999998</v>
      </c>
      <c r="I355" s="45">
        <v>31479.731999999996</v>
      </c>
      <c r="J355" s="397">
        <v>159.54608999999999</v>
      </c>
      <c r="K355" s="495">
        <f t="shared" si="35"/>
        <v>203.44002599999999</v>
      </c>
      <c r="L355" s="578"/>
      <c r="M355" s="45">
        <f t="shared" si="37"/>
        <v>0</v>
      </c>
      <c r="N355" s="46">
        <f t="shared" si="40"/>
        <v>203.44002599999999</v>
      </c>
      <c r="O355" s="46">
        <f t="shared" si="36"/>
        <v>186.8</v>
      </c>
      <c r="P355" s="234"/>
      <c r="Q355" s="46"/>
      <c r="R355" s="450"/>
      <c r="S355" s="257"/>
      <c r="T355" s="46"/>
      <c r="U355" s="46"/>
      <c r="V355" s="46"/>
      <c r="W355" s="46"/>
      <c r="X355" s="196"/>
      <c r="Y355" s="46"/>
      <c r="Z355" s="46"/>
      <c r="AA355" s="46"/>
      <c r="AB355" s="46"/>
      <c r="AC355" s="46"/>
      <c r="AD355" s="46"/>
      <c r="AE355" s="46"/>
      <c r="AF355" s="196"/>
      <c r="AG355" s="46"/>
      <c r="AH355" s="46"/>
      <c r="AI355" s="46"/>
      <c r="AJ355" s="46"/>
      <c r="AK355" s="46"/>
      <c r="AL355" s="46"/>
      <c r="AM355" s="46"/>
      <c r="AN355" s="248" t="s">
        <v>228</v>
      </c>
      <c r="AO355" s="438" t="s">
        <v>324</v>
      </c>
      <c r="AP355" s="46">
        <v>20</v>
      </c>
      <c r="AQ355" s="368" t="s">
        <v>552</v>
      </c>
      <c r="AR355" s="257">
        <f>AP355*1300</f>
        <v>26000</v>
      </c>
      <c r="AS355" s="196"/>
      <c r="AT355" s="46"/>
      <c r="AU355" s="46"/>
      <c r="AV355" s="196"/>
      <c r="AW355" s="257"/>
      <c r="AX355" s="196"/>
      <c r="AY355" s="191"/>
      <c r="AZ355" s="257"/>
      <c r="BA355" s="196"/>
      <c r="BB355" s="46"/>
      <c r="BC355" s="257"/>
      <c r="BD355" s="196"/>
      <c r="BE355" s="191"/>
      <c r="BF355" s="46"/>
      <c r="BG355" s="196"/>
      <c r="BH355" s="46"/>
      <c r="BI355" s="257"/>
      <c r="BJ355" s="196"/>
      <c r="BK355" s="190"/>
      <c r="BL355" s="257"/>
      <c r="BM355" s="196"/>
      <c r="BN355" s="46"/>
      <c r="BO355" s="257"/>
      <c r="BP355" s="196"/>
      <c r="BQ355" s="190"/>
      <c r="BR355" s="46"/>
      <c r="BS355" s="196"/>
      <c r="BT355" s="46"/>
      <c r="BU355" s="257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196"/>
      <c r="CI355" s="46"/>
      <c r="CJ355" s="46"/>
      <c r="CK355" s="46"/>
      <c r="CL355" s="46"/>
      <c r="CM355" s="46"/>
      <c r="CN355" s="196"/>
      <c r="CO355" s="191"/>
      <c r="CP355" s="257"/>
      <c r="CQ355" s="196"/>
      <c r="CR355" s="167"/>
      <c r="CS355" s="257"/>
      <c r="CT355" s="46"/>
      <c r="CU355" s="46"/>
      <c r="CV355" s="46"/>
      <c r="CW355" s="46"/>
      <c r="CX355" s="46"/>
      <c r="CY355" s="46"/>
      <c r="CZ355" s="46">
        <v>10</v>
      </c>
      <c r="DA355" s="46">
        <v>20</v>
      </c>
      <c r="DB355" s="46">
        <f>DA355*1800</f>
        <v>36000</v>
      </c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191"/>
      <c r="DN355" s="46"/>
      <c r="DO355" s="196"/>
      <c r="DP355" s="221" t="s">
        <v>851</v>
      </c>
      <c r="DQ355" s="257">
        <f t="shared" si="38"/>
        <v>124800</v>
      </c>
      <c r="DR355" s="294"/>
      <c r="DS355" s="295"/>
      <c r="DT355" s="386">
        <f t="shared" si="39"/>
        <v>0</v>
      </c>
      <c r="DU355" s="41"/>
      <c r="DV355" s="41"/>
      <c r="DW355" s="256"/>
      <c r="DX355" s="41"/>
      <c r="DY355" s="41"/>
      <c r="DZ355" s="68"/>
      <c r="EA355" s="41">
        <v>4</v>
      </c>
      <c r="EB355" s="41">
        <v>96</v>
      </c>
      <c r="EC355" s="256">
        <f>EB355*1300</f>
        <v>124800</v>
      </c>
      <c r="ED355" s="308"/>
      <c r="EE355" s="308"/>
      <c r="EF355" s="308"/>
      <c r="EG355" s="41"/>
      <c r="EH355" s="41"/>
      <c r="EI355" s="41"/>
      <c r="EJ355" s="69"/>
      <c r="EK355" s="308"/>
      <c r="EL355" s="308"/>
      <c r="EM355" s="308"/>
      <c r="EN355" s="308"/>
      <c r="EO355" s="41"/>
      <c r="EP355" s="41"/>
      <c r="EQ355" s="41"/>
      <c r="ER355" s="256"/>
      <c r="ES355" s="293"/>
      <c r="ET355" s="293"/>
      <c r="EU355" s="293"/>
      <c r="EV355" s="293"/>
      <c r="EW355" s="41"/>
      <c r="EX355" s="41"/>
      <c r="EY355" s="41"/>
      <c r="EZ355" s="256"/>
      <c r="FA355" s="308"/>
      <c r="FB355" s="308"/>
      <c r="FC355" s="308"/>
      <c r="FD355" s="308"/>
      <c r="FE355" s="41"/>
      <c r="FF355" s="41"/>
      <c r="FG355" s="41"/>
      <c r="FH355" s="256"/>
      <c r="FI355" s="41"/>
      <c r="FJ355" s="41"/>
      <c r="FK355" s="41"/>
      <c r="FL355" s="276"/>
    </row>
    <row r="356" spans="1:168">
      <c r="A356" s="45">
        <v>349</v>
      </c>
      <c r="B356" s="45" t="s">
        <v>210</v>
      </c>
      <c r="C356" s="45">
        <v>5</v>
      </c>
      <c r="D356" s="29" t="s">
        <v>574</v>
      </c>
      <c r="E356" s="175" t="s">
        <v>121</v>
      </c>
      <c r="F356" s="188">
        <v>7</v>
      </c>
      <c r="G356" s="246">
        <f>42041.16/1000</f>
        <v>42.041160000000005</v>
      </c>
      <c r="H356" s="45">
        <v>0</v>
      </c>
      <c r="I356" s="45">
        <v>42041.159999999996</v>
      </c>
      <c r="J356" s="397">
        <v>122.49078999999999</v>
      </c>
      <c r="K356" s="495">
        <f t="shared" si="35"/>
        <v>164.53194999999999</v>
      </c>
      <c r="L356" s="578"/>
      <c r="M356" s="45">
        <f t="shared" si="37"/>
        <v>0</v>
      </c>
      <c r="N356" s="46">
        <f>K356-M356</f>
        <v>164.53194999999999</v>
      </c>
      <c r="O356" s="46">
        <f t="shared" si="36"/>
        <v>138</v>
      </c>
      <c r="P356" s="234"/>
      <c r="Q356" s="46"/>
      <c r="R356" s="450"/>
      <c r="S356" s="257"/>
      <c r="T356" s="46"/>
      <c r="U356" s="46"/>
      <c r="V356" s="46"/>
      <c r="W356" s="46"/>
      <c r="X356" s="196"/>
      <c r="Y356" s="46"/>
      <c r="Z356" s="46"/>
      <c r="AA356" s="46"/>
      <c r="AB356" s="46"/>
      <c r="AC356" s="46"/>
      <c r="AD356" s="46"/>
      <c r="AE356" s="46"/>
      <c r="AF356" s="196"/>
      <c r="AG356" s="46"/>
      <c r="AH356" s="46"/>
      <c r="AI356" s="46"/>
      <c r="AJ356" s="46"/>
      <c r="AK356" s="46"/>
      <c r="AL356" s="46"/>
      <c r="AM356" s="46"/>
      <c r="AN356" s="196"/>
      <c r="AO356" s="438"/>
      <c r="AP356" s="46"/>
      <c r="AQ356" s="368"/>
      <c r="AR356" s="257"/>
      <c r="AS356" s="196"/>
      <c r="AT356" s="46"/>
      <c r="AU356" s="46"/>
      <c r="AV356" s="196"/>
      <c r="AW356" s="257"/>
      <c r="AX356" s="196" t="s">
        <v>229</v>
      </c>
      <c r="AY356" s="191" t="s">
        <v>987</v>
      </c>
      <c r="AZ356" s="257">
        <f>28*2000</f>
        <v>56000</v>
      </c>
      <c r="BA356" s="196"/>
      <c r="BB356" s="46"/>
      <c r="BC356" s="257"/>
      <c r="BD356" s="196"/>
      <c r="BE356" s="191"/>
      <c r="BF356" s="46"/>
      <c r="BG356" s="196"/>
      <c r="BH356" s="46"/>
      <c r="BI356" s="257"/>
      <c r="BJ356" s="196"/>
      <c r="BK356" s="190"/>
      <c r="BL356" s="257"/>
      <c r="BM356" s="196"/>
      <c r="BN356" s="46"/>
      <c r="BO356" s="257"/>
      <c r="BP356" s="196" t="s">
        <v>229</v>
      </c>
      <c r="BQ356" s="190" t="s">
        <v>987</v>
      </c>
      <c r="BR356" s="46">
        <f>28*1500</f>
        <v>42000</v>
      </c>
      <c r="BS356" s="196"/>
      <c r="BT356" s="46"/>
      <c r="BU356" s="257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196"/>
      <c r="CI356" s="46"/>
      <c r="CJ356" s="46"/>
      <c r="CK356" s="46"/>
      <c r="CL356" s="46"/>
      <c r="CM356" s="46"/>
      <c r="CN356" s="196" t="s">
        <v>250</v>
      </c>
      <c r="CO356" s="191" t="s">
        <v>988</v>
      </c>
      <c r="CP356" s="257">
        <v>40000</v>
      </c>
      <c r="CQ356" s="196"/>
      <c r="CR356" s="167"/>
      <c r="CS356" s="257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191"/>
      <c r="DN356" s="46"/>
      <c r="DO356" s="196"/>
      <c r="DP356" s="581"/>
      <c r="DQ356" s="257">
        <f t="shared" si="38"/>
        <v>0</v>
      </c>
      <c r="DR356" s="294"/>
      <c r="DS356" s="295"/>
      <c r="DT356" s="386">
        <f t="shared" si="39"/>
        <v>0</v>
      </c>
      <c r="DU356" s="41"/>
      <c r="DV356" s="41"/>
      <c r="DW356" s="256"/>
      <c r="DX356" s="41"/>
      <c r="DY356" s="41"/>
      <c r="DZ356" s="68"/>
      <c r="EA356" s="41"/>
      <c r="EB356" s="41"/>
      <c r="EC356" s="256"/>
      <c r="ED356" s="308"/>
      <c r="EE356" s="308"/>
      <c r="EF356" s="308"/>
      <c r="EG356" s="41"/>
      <c r="EH356" s="41"/>
      <c r="EI356" s="41"/>
      <c r="EJ356" s="69"/>
      <c r="EK356" s="308"/>
      <c r="EL356" s="308"/>
      <c r="EM356" s="308"/>
      <c r="EN356" s="308"/>
      <c r="EO356" s="41"/>
      <c r="EP356" s="41"/>
      <c r="EQ356" s="41"/>
      <c r="ER356" s="256"/>
      <c r="ES356" s="293"/>
      <c r="ET356" s="293"/>
      <c r="EU356" s="293"/>
      <c r="EV356" s="293"/>
      <c r="EW356" s="41"/>
      <c r="EX356" s="41"/>
      <c r="EY356" s="41"/>
      <c r="EZ356" s="256"/>
      <c r="FA356" s="308"/>
      <c r="FB356" s="308"/>
      <c r="FC356" s="308"/>
      <c r="FD356" s="308"/>
      <c r="FE356" s="41"/>
      <c r="FF356" s="41"/>
      <c r="FG356" s="41"/>
      <c r="FH356" s="256"/>
      <c r="FI356" s="41"/>
      <c r="FJ356" s="41"/>
      <c r="FK356" s="41"/>
      <c r="FL356" s="276"/>
    </row>
    <row r="357" spans="1:168" ht="20.25">
      <c r="A357" s="45">
        <v>350</v>
      </c>
      <c r="B357" s="45" t="s">
        <v>210</v>
      </c>
      <c r="C357" s="45">
        <v>5</v>
      </c>
      <c r="D357" s="29" t="s">
        <v>191</v>
      </c>
      <c r="E357" s="30" t="s">
        <v>195</v>
      </c>
      <c r="F357" s="30">
        <v>6</v>
      </c>
      <c r="G357" s="246">
        <f>46361.736/1000</f>
        <v>46.361736000000001</v>
      </c>
      <c r="H357" s="45">
        <v>13112.153999999999</v>
      </c>
      <c r="I357" s="45">
        <v>33249.581999999995</v>
      </c>
      <c r="J357" s="397">
        <v>144.45278999999999</v>
      </c>
      <c r="K357" s="495">
        <f t="shared" si="35"/>
        <v>190.814526</v>
      </c>
      <c r="L357" s="578"/>
      <c r="M357" s="45">
        <f t="shared" si="37"/>
        <v>0</v>
      </c>
      <c r="N357" s="46">
        <f t="shared" si="40"/>
        <v>190.814526</v>
      </c>
      <c r="O357" s="46">
        <f t="shared" si="36"/>
        <v>69.599999999999994</v>
      </c>
      <c r="P357" s="234"/>
      <c r="Q357" s="46"/>
      <c r="R357" s="450"/>
      <c r="S357" s="257"/>
      <c r="T357" s="46"/>
      <c r="U357" s="46"/>
      <c r="V357" s="46"/>
      <c r="W357" s="46"/>
      <c r="X357" s="237"/>
      <c r="Y357" s="46"/>
      <c r="Z357" s="46"/>
      <c r="AA357" s="46"/>
      <c r="AB357" s="46"/>
      <c r="AC357" s="46"/>
      <c r="AD357" s="46"/>
      <c r="AE357" s="46"/>
      <c r="AF357" s="196"/>
      <c r="AG357" s="46"/>
      <c r="AH357" s="46"/>
      <c r="AI357" s="46"/>
      <c r="AJ357" s="46"/>
      <c r="AK357" s="46"/>
      <c r="AL357" s="46"/>
      <c r="AM357" s="46"/>
      <c r="AN357" s="196"/>
      <c r="AO357" s="438"/>
      <c r="AP357" s="46"/>
      <c r="AQ357" s="368"/>
      <c r="AR357" s="257"/>
      <c r="AS357" s="196"/>
      <c r="AT357" s="46"/>
      <c r="AU357" s="46"/>
      <c r="AV357" s="196"/>
      <c r="AW357" s="257"/>
      <c r="AX357" s="196"/>
      <c r="AY357" s="191"/>
      <c r="AZ357" s="257"/>
      <c r="BA357" s="196"/>
      <c r="BB357" s="46"/>
      <c r="BC357" s="257"/>
      <c r="BD357" s="196"/>
      <c r="BE357" s="191"/>
      <c r="BF357" s="46"/>
      <c r="BG357" s="196"/>
      <c r="BH357" s="46"/>
      <c r="BI357" s="257"/>
      <c r="BJ357" s="196"/>
      <c r="BK357" s="191"/>
      <c r="BL357" s="257"/>
      <c r="BM357" s="196"/>
      <c r="BN357" s="46"/>
      <c r="BO357" s="257"/>
      <c r="BP357" s="196"/>
      <c r="BQ357" s="190"/>
      <c r="BR357" s="46"/>
      <c r="BS357" s="196"/>
      <c r="BT357" s="46"/>
      <c r="BU357" s="257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196"/>
      <c r="CI357" s="46"/>
      <c r="CJ357" s="46"/>
      <c r="CK357" s="46"/>
      <c r="CL357" s="46"/>
      <c r="CM357" s="46"/>
      <c r="CN357" s="196"/>
      <c r="CO357" s="191"/>
      <c r="CP357" s="257"/>
      <c r="CQ357" s="196"/>
      <c r="CR357" s="167"/>
      <c r="CS357" s="257"/>
      <c r="CT357" s="46"/>
      <c r="CU357" s="46"/>
      <c r="CV357" s="46"/>
      <c r="CW357" s="46"/>
      <c r="CX357" s="46"/>
      <c r="CY357" s="46"/>
      <c r="CZ357" s="46"/>
      <c r="DA357" s="46"/>
      <c r="DB357" s="257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191"/>
      <c r="DN357" s="46"/>
      <c r="DO357" s="196"/>
      <c r="DP357" s="221" t="s">
        <v>989</v>
      </c>
      <c r="DQ357" s="257">
        <f>DW357+EC357+EJ357+ER357+EZ357+FH357+20000</f>
        <v>69600</v>
      </c>
      <c r="DR357" s="294"/>
      <c r="DS357" s="295"/>
      <c r="DT357" s="386">
        <f t="shared" si="39"/>
        <v>0</v>
      </c>
      <c r="DU357" s="41"/>
      <c r="DV357" s="41"/>
      <c r="DW357" s="256"/>
      <c r="DX357" s="41"/>
      <c r="DY357" s="41"/>
      <c r="DZ357" s="68"/>
      <c r="EA357" s="41">
        <v>4</v>
      </c>
      <c r="EB357" s="41">
        <v>62</v>
      </c>
      <c r="EC357" s="256">
        <f>EB357*800</f>
        <v>49600</v>
      </c>
      <c r="ED357" s="308"/>
      <c r="EE357" s="308"/>
      <c r="EF357" s="308"/>
      <c r="EG357" s="41"/>
      <c r="EH357" s="41"/>
      <c r="EI357" s="41"/>
      <c r="EJ357" s="69"/>
      <c r="EK357" s="308"/>
      <c r="EL357" s="308"/>
      <c r="EM357" s="308"/>
      <c r="EN357" s="308"/>
      <c r="EO357" s="41"/>
      <c r="EP357" s="41"/>
      <c r="EQ357" s="41"/>
      <c r="ER357" s="256"/>
      <c r="ES357" s="293"/>
      <c r="ET357" s="293"/>
      <c r="EU357" s="293"/>
      <c r="EV357" s="293"/>
      <c r="EW357" s="41"/>
      <c r="EX357" s="41"/>
      <c r="EY357" s="41"/>
      <c r="EZ357" s="256"/>
      <c r="FA357" s="308"/>
      <c r="FB357" s="308"/>
      <c r="FC357" s="308"/>
      <c r="FD357" s="308"/>
      <c r="FE357" s="41"/>
      <c r="FF357" s="41"/>
      <c r="FG357" s="41"/>
      <c r="FH357" s="256"/>
      <c r="FI357" s="41"/>
      <c r="FJ357" s="41"/>
      <c r="FK357" s="41"/>
      <c r="FL357" s="276"/>
    </row>
    <row r="358" spans="1:168">
      <c r="A358" s="45">
        <v>351</v>
      </c>
      <c r="B358" s="45" t="s">
        <v>210</v>
      </c>
      <c r="C358" s="45">
        <v>5</v>
      </c>
      <c r="D358" s="29" t="s">
        <v>191</v>
      </c>
      <c r="E358" s="30" t="s">
        <v>196</v>
      </c>
      <c r="F358" s="30">
        <v>5</v>
      </c>
      <c r="G358" s="246">
        <f>62053.992/1000</f>
        <v>62.053992000000001</v>
      </c>
      <c r="H358" s="45">
        <v>62053.991999999998</v>
      </c>
      <c r="I358" s="45">
        <v>0</v>
      </c>
      <c r="J358" s="397">
        <v>178.66588999999999</v>
      </c>
      <c r="K358" s="495">
        <f t="shared" si="35"/>
        <v>240.71988199999998</v>
      </c>
      <c r="L358" s="578"/>
      <c r="M358" s="45">
        <f t="shared" si="37"/>
        <v>0</v>
      </c>
      <c r="N358" s="46">
        <f t="shared" si="40"/>
        <v>240.71988199999998</v>
      </c>
      <c r="O358" s="46">
        <f t="shared" si="36"/>
        <v>209.6</v>
      </c>
      <c r="P358" s="234"/>
      <c r="Q358" s="46"/>
      <c r="R358" s="450"/>
      <c r="S358" s="257"/>
      <c r="T358" s="46"/>
      <c r="U358" s="46"/>
      <c r="V358" s="46"/>
      <c r="W358" s="46"/>
      <c r="X358" s="237"/>
      <c r="Y358" s="46"/>
      <c r="Z358" s="46"/>
      <c r="AA358" s="46"/>
      <c r="AB358" s="46"/>
      <c r="AC358" s="46"/>
      <c r="AD358" s="46"/>
      <c r="AE358" s="46"/>
      <c r="AF358" s="196"/>
      <c r="AG358" s="46"/>
      <c r="AH358" s="46"/>
      <c r="AI358" s="46"/>
      <c r="AJ358" s="46"/>
      <c r="AK358" s="46"/>
      <c r="AL358" s="46"/>
      <c r="AM358" s="46"/>
      <c r="AN358" s="196"/>
      <c r="AO358" s="438"/>
      <c r="AP358" s="46"/>
      <c r="AQ358" s="368"/>
      <c r="AR358" s="257"/>
      <c r="AS358" s="196"/>
      <c r="AT358" s="46"/>
      <c r="AU358" s="46"/>
      <c r="AV358" s="196"/>
      <c r="AW358" s="257"/>
      <c r="AX358" s="196"/>
      <c r="AY358" s="191"/>
      <c r="AZ358" s="257"/>
      <c r="BA358" s="196"/>
      <c r="BB358" s="46"/>
      <c r="BC358" s="257"/>
      <c r="BD358" s="196"/>
      <c r="BE358" s="191"/>
      <c r="BF358" s="46"/>
      <c r="BG358" s="196"/>
      <c r="BH358" s="46"/>
      <c r="BI358" s="257"/>
      <c r="BJ358" s="196"/>
      <c r="BK358" s="190"/>
      <c r="BL358" s="257"/>
      <c r="BM358" s="196"/>
      <c r="BN358" s="46"/>
      <c r="BO358" s="257"/>
      <c r="BP358" s="196" t="s">
        <v>229</v>
      </c>
      <c r="BQ358" s="190" t="s">
        <v>987</v>
      </c>
      <c r="BR358" s="46">
        <f>28*1500</f>
        <v>42000</v>
      </c>
      <c r="BS358" s="196"/>
      <c r="BT358" s="46"/>
      <c r="BU358" s="257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196"/>
      <c r="CI358" s="46"/>
      <c r="CJ358" s="46"/>
      <c r="CK358" s="46"/>
      <c r="CL358" s="46"/>
      <c r="CM358" s="46"/>
      <c r="CN358" s="196"/>
      <c r="CO358" s="191"/>
      <c r="CP358" s="257"/>
      <c r="CQ358" s="196"/>
      <c r="CR358" s="167"/>
      <c r="CS358" s="257"/>
      <c r="CT358" s="46"/>
      <c r="CU358" s="46"/>
      <c r="CV358" s="46"/>
      <c r="CW358" s="46"/>
      <c r="CX358" s="46"/>
      <c r="CY358" s="46"/>
      <c r="CZ358" s="46">
        <v>8</v>
      </c>
      <c r="DA358" s="46">
        <v>82</v>
      </c>
      <c r="DB358" s="46">
        <f>DA358*1800</f>
        <v>147600</v>
      </c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191"/>
      <c r="DN358" s="46"/>
      <c r="DO358" s="196"/>
      <c r="DP358" s="221" t="s">
        <v>961</v>
      </c>
      <c r="DQ358" s="257">
        <f t="shared" si="38"/>
        <v>20000</v>
      </c>
      <c r="DR358" s="294"/>
      <c r="DS358" s="295"/>
      <c r="DT358" s="386">
        <f t="shared" si="39"/>
        <v>0</v>
      </c>
      <c r="DU358" s="41"/>
      <c r="DV358" s="41"/>
      <c r="DW358" s="256"/>
      <c r="DX358" s="41"/>
      <c r="DY358" s="41"/>
      <c r="DZ358" s="68"/>
      <c r="EA358" s="41"/>
      <c r="EB358" s="41"/>
      <c r="EC358" s="256"/>
      <c r="ED358" s="308"/>
      <c r="EE358" s="308"/>
      <c r="EF358" s="308"/>
      <c r="EG358" s="41"/>
      <c r="EH358" s="41"/>
      <c r="EI358" s="41"/>
      <c r="EJ358" s="69"/>
      <c r="EK358" s="308"/>
      <c r="EL358" s="308"/>
      <c r="EM358" s="308"/>
      <c r="EN358" s="308"/>
      <c r="EO358" s="41">
        <v>8</v>
      </c>
      <c r="EP358" s="41">
        <v>1</v>
      </c>
      <c r="EQ358" s="41">
        <v>1</v>
      </c>
      <c r="ER358" s="256">
        <v>20000</v>
      </c>
      <c r="ES358" s="293"/>
      <c r="ET358" s="293"/>
      <c r="EU358" s="293"/>
      <c r="EV358" s="293"/>
      <c r="EW358" s="41"/>
      <c r="EX358" s="41"/>
      <c r="EY358" s="41"/>
      <c r="EZ358" s="256"/>
      <c r="FA358" s="308"/>
      <c r="FB358" s="308"/>
      <c r="FC358" s="308"/>
      <c r="FD358" s="308"/>
      <c r="FE358" s="46"/>
      <c r="FF358" s="41"/>
      <c r="FG358" s="41"/>
      <c r="FH358" s="256"/>
      <c r="FI358" s="41"/>
      <c r="FJ358" s="41"/>
      <c r="FK358" s="41"/>
      <c r="FL358" s="276"/>
    </row>
    <row r="359" spans="1:168">
      <c r="A359" s="45">
        <v>352</v>
      </c>
      <c r="B359" s="45" t="s">
        <v>210</v>
      </c>
      <c r="C359" s="45">
        <v>5</v>
      </c>
      <c r="D359" s="29" t="s">
        <v>191</v>
      </c>
      <c r="E359" s="30">
        <v>56</v>
      </c>
      <c r="F359" s="30">
        <v>6</v>
      </c>
      <c r="G359" s="246">
        <f>44069.424/1000</f>
        <v>44.069423999999998</v>
      </c>
      <c r="H359" s="45">
        <v>12463.835999999998</v>
      </c>
      <c r="I359" s="45">
        <v>31605.588</v>
      </c>
      <c r="J359" s="397">
        <v>-2.045619999999996</v>
      </c>
      <c r="K359" s="495">
        <f t="shared" si="35"/>
        <v>42.023803999999998</v>
      </c>
      <c r="L359" s="578"/>
      <c r="M359" s="45">
        <f t="shared" si="37"/>
        <v>0</v>
      </c>
      <c r="N359" s="46">
        <f t="shared" si="40"/>
        <v>42.023803999999998</v>
      </c>
      <c r="O359" s="46">
        <f t="shared" si="36"/>
        <v>33.799999999999997</v>
      </c>
      <c r="P359" s="234"/>
      <c r="Q359" s="46"/>
      <c r="R359" s="450"/>
      <c r="S359" s="257"/>
      <c r="T359" s="46"/>
      <c r="U359" s="46"/>
      <c r="V359" s="46"/>
      <c r="W359" s="46"/>
      <c r="X359" s="196"/>
      <c r="Y359" s="46"/>
      <c r="Z359" s="46"/>
      <c r="AA359" s="46"/>
      <c r="AB359" s="46"/>
      <c r="AC359" s="46"/>
      <c r="AD359" s="46"/>
      <c r="AE359" s="46"/>
      <c r="AF359" s="196"/>
      <c r="AG359" s="46"/>
      <c r="AH359" s="46"/>
      <c r="AI359" s="46"/>
      <c r="AJ359" s="46"/>
      <c r="AK359" s="46"/>
      <c r="AL359" s="46"/>
      <c r="AM359" s="46"/>
      <c r="AN359" s="196" t="s">
        <v>248</v>
      </c>
      <c r="AO359" s="438" t="s">
        <v>324</v>
      </c>
      <c r="AP359" s="46">
        <v>26</v>
      </c>
      <c r="AQ359" s="368" t="s">
        <v>522</v>
      </c>
      <c r="AR359" s="257">
        <f>AP359*1300</f>
        <v>33800</v>
      </c>
      <c r="AS359" s="196"/>
      <c r="AT359" s="46"/>
      <c r="AU359" s="46"/>
      <c r="AV359" s="196"/>
      <c r="AW359" s="257"/>
      <c r="AX359" s="196"/>
      <c r="AY359" s="191"/>
      <c r="AZ359" s="257"/>
      <c r="BA359" s="196"/>
      <c r="BB359" s="46"/>
      <c r="BC359" s="257"/>
      <c r="BD359" s="196"/>
      <c r="BE359" s="191"/>
      <c r="BF359" s="46"/>
      <c r="BG359" s="196"/>
      <c r="BH359" s="46"/>
      <c r="BI359" s="257"/>
      <c r="BJ359" s="196"/>
      <c r="BK359" s="191"/>
      <c r="BL359" s="257"/>
      <c r="BM359" s="196"/>
      <c r="BN359" s="46"/>
      <c r="BO359" s="257"/>
      <c r="BP359" s="196"/>
      <c r="BQ359" s="190"/>
      <c r="BR359" s="46"/>
      <c r="BS359" s="196"/>
      <c r="BT359" s="46"/>
      <c r="BU359" s="257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196"/>
      <c r="CI359" s="46"/>
      <c r="CJ359" s="46"/>
      <c r="CK359" s="46"/>
      <c r="CL359" s="46"/>
      <c r="CM359" s="46"/>
      <c r="CN359" s="196"/>
      <c r="CO359" s="191"/>
      <c r="CP359" s="257"/>
      <c r="CQ359" s="196"/>
      <c r="CR359" s="167"/>
      <c r="CS359" s="257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191"/>
      <c r="DN359" s="46"/>
      <c r="DO359" s="196"/>
      <c r="DP359" s="221"/>
      <c r="DQ359" s="257">
        <f t="shared" si="38"/>
        <v>0</v>
      </c>
      <c r="DR359" s="294"/>
      <c r="DS359" s="295"/>
      <c r="DT359" s="386">
        <f t="shared" si="39"/>
        <v>0</v>
      </c>
      <c r="DU359" s="41"/>
      <c r="DV359" s="41"/>
      <c r="DW359" s="256"/>
      <c r="DX359" s="41"/>
      <c r="DY359" s="41"/>
      <c r="DZ359" s="68"/>
      <c r="EA359" s="41"/>
      <c r="EB359" s="41"/>
      <c r="EC359" s="256"/>
      <c r="ED359" s="308"/>
      <c r="EE359" s="308"/>
      <c r="EF359" s="308"/>
      <c r="EG359" s="41"/>
      <c r="EH359" s="41"/>
      <c r="EI359" s="41"/>
      <c r="EJ359" s="69"/>
      <c r="EK359" s="308"/>
      <c r="EL359" s="308"/>
      <c r="EM359" s="308"/>
      <c r="EN359" s="308"/>
      <c r="EO359" s="41"/>
      <c r="EP359" s="41"/>
      <c r="EQ359" s="41"/>
      <c r="ER359" s="256"/>
      <c r="ES359" s="293"/>
      <c r="ET359" s="293"/>
      <c r="EU359" s="293"/>
      <c r="EV359" s="293"/>
      <c r="EW359" s="41"/>
      <c r="EX359" s="41"/>
      <c r="EY359" s="41"/>
      <c r="EZ359" s="256"/>
      <c r="FA359" s="308"/>
      <c r="FB359" s="308"/>
      <c r="FC359" s="308"/>
      <c r="FD359" s="308"/>
      <c r="FE359" s="41"/>
      <c r="FF359" s="41"/>
      <c r="FG359" s="41"/>
      <c r="FH359" s="256"/>
      <c r="FI359" s="41"/>
      <c r="FJ359" s="41"/>
      <c r="FK359" s="41"/>
      <c r="FL359" s="276"/>
    </row>
    <row r="360" spans="1:168">
      <c r="A360" s="45">
        <v>353</v>
      </c>
      <c r="B360" s="45" t="s">
        <v>210</v>
      </c>
      <c r="C360" s="45">
        <v>5</v>
      </c>
      <c r="D360" s="29" t="s">
        <v>191</v>
      </c>
      <c r="E360" s="30" t="s">
        <v>197</v>
      </c>
      <c r="F360" s="30">
        <v>5</v>
      </c>
      <c r="G360" s="246">
        <f>52598.7/1000</f>
        <v>52.598699999999994</v>
      </c>
      <c r="H360" s="45">
        <v>52598.700000000004</v>
      </c>
      <c r="I360" s="45">
        <v>0</v>
      </c>
      <c r="J360" s="397">
        <v>-9.0372099999999946</v>
      </c>
      <c r="K360" s="495">
        <f t="shared" si="35"/>
        <v>43.561489999999999</v>
      </c>
      <c r="L360" s="578"/>
      <c r="M360" s="45">
        <f t="shared" si="37"/>
        <v>0</v>
      </c>
      <c r="N360" s="46">
        <f t="shared" si="40"/>
        <v>43.561489999999999</v>
      </c>
      <c r="O360" s="46">
        <f t="shared" si="36"/>
        <v>22.5</v>
      </c>
      <c r="P360" s="234"/>
      <c r="Q360" s="46"/>
      <c r="R360" s="450"/>
      <c r="S360" s="257"/>
      <c r="T360" s="46"/>
      <c r="U360" s="46"/>
      <c r="V360" s="46"/>
      <c r="W360" s="46"/>
      <c r="X360" s="196"/>
      <c r="Y360" s="46"/>
      <c r="Z360" s="46"/>
      <c r="AA360" s="46"/>
      <c r="AB360" s="46"/>
      <c r="AC360" s="46"/>
      <c r="AD360" s="46"/>
      <c r="AE360" s="46"/>
      <c r="AF360" s="196"/>
      <c r="AG360" s="46"/>
      <c r="AH360" s="46"/>
      <c r="AI360" s="46"/>
      <c r="AJ360" s="46"/>
      <c r="AK360" s="46"/>
      <c r="AL360" s="46"/>
      <c r="AM360" s="46"/>
      <c r="AN360" s="196"/>
      <c r="AO360" s="438"/>
      <c r="AP360" s="46"/>
      <c r="AQ360" s="368"/>
      <c r="AR360" s="257"/>
      <c r="AS360" s="196"/>
      <c r="AT360" s="46"/>
      <c r="AU360" s="46"/>
      <c r="AV360" s="196"/>
      <c r="AW360" s="257"/>
      <c r="AX360" s="196"/>
      <c r="AY360" s="191"/>
      <c r="AZ360" s="257"/>
      <c r="BA360" s="196"/>
      <c r="BB360" s="46"/>
      <c r="BC360" s="257"/>
      <c r="BD360" s="196"/>
      <c r="BE360" s="191"/>
      <c r="BF360" s="46"/>
      <c r="BG360" s="196"/>
      <c r="BH360" s="46"/>
      <c r="BI360" s="257"/>
      <c r="BJ360" s="196"/>
      <c r="BK360" s="191"/>
      <c r="BL360" s="257"/>
      <c r="BM360" s="196"/>
      <c r="BN360" s="46"/>
      <c r="BO360" s="257"/>
      <c r="BP360" s="196" t="s">
        <v>249</v>
      </c>
      <c r="BQ360" s="190">
        <v>15</v>
      </c>
      <c r="BR360" s="46">
        <f>BQ360*1500</f>
        <v>22500</v>
      </c>
      <c r="BS360" s="196"/>
      <c r="BT360" s="46"/>
      <c r="BU360" s="257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196"/>
      <c r="CI360" s="46"/>
      <c r="CJ360" s="46"/>
      <c r="CK360" s="46"/>
      <c r="CL360" s="46"/>
      <c r="CM360" s="46"/>
      <c r="CN360" s="196"/>
      <c r="CO360" s="191"/>
      <c r="CP360" s="257"/>
      <c r="CQ360" s="196"/>
      <c r="CR360" s="167"/>
      <c r="CS360" s="257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191"/>
      <c r="DN360" s="46"/>
      <c r="DO360" s="218"/>
      <c r="DP360" s="221"/>
      <c r="DQ360" s="257">
        <f t="shared" si="38"/>
        <v>0</v>
      </c>
      <c r="DR360" s="296"/>
      <c r="DS360" s="295"/>
      <c r="DT360" s="386">
        <f t="shared" si="39"/>
        <v>0</v>
      </c>
      <c r="DU360" s="41"/>
      <c r="DV360" s="41"/>
      <c r="DW360" s="256"/>
      <c r="DX360" s="41"/>
      <c r="DY360" s="41"/>
      <c r="DZ360" s="68"/>
      <c r="EA360" s="41"/>
      <c r="EB360" s="41"/>
      <c r="EC360" s="256"/>
      <c r="ED360" s="308"/>
      <c r="EE360" s="308"/>
      <c r="EF360" s="308"/>
      <c r="EG360" s="41"/>
      <c r="EH360" s="41"/>
      <c r="EI360" s="41"/>
      <c r="EJ360" s="69"/>
      <c r="EK360" s="308"/>
      <c r="EL360" s="308"/>
      <c r="EM360" s="308"/>
      <c r="EN360" s="308"/>
      <c r="EO360" s="41"/>
      <c r="EP360" s="41"/>
      <c r="EQ360" s="41"/>
      <c r="ER360" s="256"/>
      <c r="ES360" s="293"/>
      <c r="ET360" s="293"/>
      <c r="EU360" s="293"/>
      <c r="EV360" s="293"/>
      <c r="EW360" s="41"/>
      <c r="EX360" s="41"/>
      <c r="EY360" s="41"/>
      <c r="EZ360" s="256"/>
      <c r="FA360" s="308"/>
      <c r="FB360" s="308"/>
      <c r="FC360" s="308"/>
      <c r="FD360" s="308"/>
      <c r="FE360" s="46"/>
      <c r="FF360" s="41"/>
      <c r="FG360" s="41"/>
      <c r="FH360" s="256"/>
      <c r="FI360" s="41"/>
      <c r="FJ360" s="41"/>
      <c r="FK360" s="41"/>
      <c r="FL360" s="276"/>
    </row>
    <row r="361" spans="1:168" ht="30">
      <c r="A361" s="45">
        <v>354</v>
      </c>
      <c r="B361" s="45" t="s">
        <v>210</v>
      </c>
      <c r="C361" s="45">
        <v>5</v>
      </c>
      <c r="D361" s="29" t="s">
        <v>191</v>
      </c>
      <c r="E361" s="30">
        <v>60</v>
      </c>
      <c r="F361" s="30">
        <v>5</v>
      </c>
      <c r="G361" s="246">
        <f>61131.7476/1000</f>
        <v>61.131747600000004</v>
      </c>
      <c r="H361" s="45">
        <v>61131.747599999995</v>
      </c>
      <c r="I361" s="45">
        <v>0</v>
      </c>
      <c r="J361" s="397">
        <v>166.68177999999997</v>
      </c>
      <c r="K361" s="495">
        <f t="shared" si="35"/>
        <v>227.81352759999999</v>
      </c>
      <c r="L361" s="578"/>
      <c r="M361" s="45">
        <f t="shared" si="37"/>
        <v>0</v>
      </c>
      <c r="N361" s="46">
        <f t="shared" si="40"/>
        <v>227.81352759999999</v>
      </c>
      <c r="O361" s="46">
        <f t="shared" si="36"/>
        <v>201.8</v>
      </c>
      <c r="P361" s="234"/>
      <c r="Q361" s="46"/>
      <c r="R361" s="450"/>
      <c r="S361" s="257"/>
      <c r="T361" s="46"/>
      <c r="U361" s="46"/>
      <c r="V361" s="46"/>
      <c r="W361" s="46"/>
      <c r="X361" s="196"/>
      <c r="Y361" s="46"/>
      <c r="Z361" s="46"/>
      <c r="AA361" s="46"/>
      <c r="AB361" s="46"/>
      <c r="AC361" s="46"/>
      <c r="AD361" s="46"/>
      <c r="AE361" s="46"/>
      <c r="AF361" s="196"/>
      <c r="AG361" s="46"/>
      <c r="AH361" s="46"/>
      <c r="AI361" s="46"/>
      <c r="AJ361" s="46"/>
      <c r="AK361" s="46"/>
      <c r="AL361" s="46"/>
      <c r="AM361" s="46"/>
      <c r="AN361" s="196"/>
      <c r="AO361" s="438"/>
      <c r="AP361" s="46"/>
      <c r="AQ361" s="368"/>
      <c r="AR361" s="257"/>
      <c r="AS361" s="196"/>
      <c r="AT361" s="46"/>
      <c r="AU361" s="46"/>
      <c r="AV361" s="196"/>
      <c r="AW361" s="257"/>
      <c r="AX361" s="196"/>
      <c r="AY361" s="191"/>
      <c r="AZ361" s="257"/>
      <c r="BA361" s="196"/>
      <c r="BB361" s="46"/>
      <c r="BC361" s="257"/>
      <c r="BD361" s="196"/>
      <c r="BE361" s="191"/>
      <c r="BF361" s="46"/>
      <c r="BG361" s="196"/>
      <c r="BH361" s="46"/>
      <c r="BI361" s="257"/>
      <c r="BJ361" s="196"/>
      <c r="BK361" s="190"/>
      <c r="BL361" s="257"/>
      <c r="BM361" s="196"/>
      <c r="BN361" s="46"/>
      <c r="BO361" s="257"/>
      <c r="BP361" s="196" t="s">
        <v>250</v>
      </c>
      <c r="BQ361" s="190">
        <v>30</v>
      </c>
      <c r="BR361" s="46">
        <f>BQ361*1500</f>
        <v>45000</v>
      </c>
      <c r="BS361" s="196"/>
      <c r="BT361" s="46"/>
      <c r="BU361" s="257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196"/>
      <c r="CI361" s="46"/>
      <c r="CJ361" s="46"/>
      <c r="CK361" s="46"/>
      <c r="CL361" s="46"/>
      <c r="CM361" s="46"/>
      <c r="CN361" s="196" t="s">
        <v>229</v>
      </c>
      <c r="CO361" s="191" t="s">
        <v>830</v>
      </c>
      <c r="CP361" s="257">
        <v>40000</v>
      </c>
      <c r="CQ361" s="196"/>
      <c r="CR361" s="167"/>
      <c r="CS361" s="257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191"/>
      <c r="DN361" s="46"/>
      <c r="DO361" s="196"/>
      <c r="DP361" s="221" t="s">
        <v>990</v>
      </c>
      <c r="DQ361" s="257">
        <f t="shared" si="38"/>
        <v>116800</v>
      </c>
      <c r="DR361" s="294"/>
      <c r="DS361" s="295"/>
      <c r="DT361" s="386">
        <f t="shared" si="39"/>
        <v>0</v>
      </c>
      <c r="DU361" s="41"/>
      <c r="DV361" s="41"/>
      <c r="DW361" s="256"/>
      <c r="DX361" s="41"/>
      <c r="DY361" s="41"/>
      <c r="DZ361" s="68"/>
      <c r="EA361" s="41">
        <v>5</v>
      </c>
      <c r="EB361" s="41">
        <v>96</v>
      </c>
      <c r="EC361" s="256">
        <f>EB361*800</f>
        <v>76800</v>
      </c>
      <c r="ED361" s="308"/>
      <c r="EE361" s="308"/>
      <c r="EF361" s="308"/>
      <c r="EG361" s="41"/>
      <c r="EH361" s="41"/>
      <c r="EI361" s="41"/>
      <c r="EJ361" s="69"/>
      <c r="EK361" s="308"/>
      <c r="EL361" s="308"/>
      <c r="EM361" s="308"/>
      <c r="EN361" s="308"/>
      <c r="EO361" s="41">
        <v>5</v>
      </c>
      <c r="EP361" s="41">
        <v>2</v>
      </c>
      <c r="EQ361" s="41">
        <v>1.2</v>
      </c>
      <c r="ER361" s="256">
        <v>40000</v>
      </c>
      <c r="ES361" s="293"/>
      <c r="ET361" s="293"/>
      <c r="EU361" s="293"/>
      <c r="EV361" s="293"/>
      <c r="EW361" s="41"/>
      <c r="EX361" s="41"/>
      <c r="EY361" s="41"/>
      <c r="EZ361" s="256"/>
      <c r="FA361" s="308"/>
      <c r="FB361" s="308"/>
      <c r="FC361" s="308"/>
      <c r="FD361" s="308"/>
      <c r="FE361" s="46"/>
      <c r="FF361" s="41"/>
      <c r="FG361" s="41"/>
      <c r="FH361" s="256"/>
      <c r="FI361" s="41"/>
      <c r="FJ361" s="41"/>
      <c r="FK361" s="41"/>
      <c r="FL361" s="276"/>
    </row>
    <row r="362" spans="1:168">
      <c r="A362" s="45">
        <v>355</v>
      </c>
      <c r="B362" s="45" t="s">
        <v>210</v>
      </c>
      <c r="C362" s="45">
        <v>5</v>
      </c>
      <c r="D362" s="29" t="s">
        <v>191</v>
      </c>
      <c r="E362" s="30">
        <v>62</v>
      </c>
      <c r="F362" s="30">
        <v>5</v>
      </c>
      <c r="G362" s="246">
        <f>51542.568/1000</f>
        <v>51.542568000000003</v>
      </c>
      <c r="H362" s="45">
        <v>51542.567999999999</v>
      </c>
      <c r="I362" s="45">
        <v>0</v>
      </c>
      <c r="J362" s="397">
        <v>17.539860000000004</v>
      </c>
      <c r="K362" s="495">
        <f t="shared" si="35"/>
        <v>69.082428000000007</v>
      </c>
      <c r="L362" s="578"/>
      <c r="M362" s="45">
        <f t="shared" si="37"/>
        <v>0</v>
      </c>
      <c r="N362" s="46">
        <f t="shared" si="40"/>
        <v>69.082428000000007</v>
      </c>
      <c r="O362" s="46">
        <f t="shared" si="36"/>
        <v>52</v>
      </c>
      <c r="P362" s="234"/>
      <c r="Q362" s="46"/>
      <c r="R362" s="450"/>
      <c r="S362" s="257"/>
      <c r="T362" s="46"/>
      <c r="U362" s="46"/>
      <c r="V362" s="46"/>
      <c r="W362" s="46"/>
      <c r="X362" s="196"/>
      <c r="Y362" s="46"/>
      <c r="Z362" s="46"/>
      <c r="AA362" s="46"/>
      <c r="AB362" s="46"/>
      <c r="AC362" s="46"/>
      <c r="AD362" s="46"/>
      <c r="AE362" s="46"/>
      <c r="AF362" s="196"/>
      <c r="AG362" s="46"/>
      <c r="AH362" s="46"/>
      <c r="AI362" s="46"/>
      <c r="AJ362" s="46"/>
      <c r="AK362" s="46"/>
      <c r="AL362" s="46"/>
      <c r="AM362" s="46"/>
      <c r="AN362" s="196" t="s">
        <v>249</v>
      </c>
      <c r="AO362" s="438" t="s">
        <v>335</v>
      </c>
      <c r="AP362" s="46">
        <v>40</v>
      </c>
      <c r="AQ362" s="368" t="s">
        <v>552</v>
      </c>
      <c r="AR362" s="257">
        <f>AP362*1300</f>
        <v>52000</v>
      </c>
      <c r="AS362" s="196"/>
      <c r="AT362" s="46"/>
      <c r="AU362" s="46"/>
      <c r="AV362" s="196"/>
      <c r="AW362" s="257"/>
      <c r="AX362" s="196"/>
      <c r="AY362" s="191"/>
      <c r="AZ362" s="257"/>
      <c r="BA362" s="196"/>
      <c r="BB362" s="46"/>
      <c r="BC362" s="257"/>
      <c r="BD362" s="196"/>
      <c r="BE362" s="191"/>
      <c r="BF362" s="46"/>
      <c r="BG362" s="196"/>
      <c r="BH362" s="46"/>
      <c r="BI362" s="257"/>
      <c r="BJ362" s="196"/>
      <c r="BK362" s="191"/>
      <c r="BL362" s="257"/>
      <c r="BM362" s="196"/>
      <c r="BN362" s="46"/>
      <c r="BO362" s="257"/>
      <c r="BP362" s="196"/>
      <c r="BQ362" s="190"/>
      <c r="BR362" s="46"/>
      <c r="BS362" s="196"/>
      <c r="BT362" s="46"/>
      <c r="BU362" s="257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196"/>
      <c r="CI362" s="46"/>
      <c r="CJ362" s="46"/>
      <c r="CK362" s="46"/>
      <c r="CL362" s="46"/>
      <c r="CM362" s="46"/>
      <c r="CN362" s="196"/>
      <c r="CO362" s="191"/>
      <c r="CP362" s="257"/>
      <c r="CQ362" s="196"/>
      <c r="CR362" s="167"/>
      <c r="CS362" s="257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191"/>
      <c r="DN362" s="46"/>
      <c r="DO362" s="196"/>
      <c r="DP362" s="581"/>
      <c r="DQ362" s="257">
        <f t="shared" si="38"/>
        <v>0</v>
      </c>
      <c r="DR362" s="294"/>
      <c r="DS362" s="295"/>
      <c r="DT362" s="386">
        <f t="shared" si="39"/>
        <v>0</v>
      </c>
      <c r="DU362" s="41"/>
      <c r="DV362" s="41"/>
      <c r="DW362" s="256"/>
      <c r="DX362" s="41"/>
      <c r="DY362" s="41"/>
      <c r="DZ362" s="68"/>
      <c r="EA362" s="41"/>
      <c r="EB362" s="41"/>
      <c r="EC362" s="256"/>
      <c r="ED362" s="308"/>
      <c r="EE362" s="308"/>
      <c r="EF362" s="308"/>
      <c r="EG362" s="41"/>
      <c r="EH362" s="41"/>
      <c r="EI362" s="41"/>
      <c r="EJ362" s="69"/>
      <c r="EK362" s="308"/>
      <c r="EL362" s="308"/>
      <c r="EM362" s="308"/>
      <c r="EN362" s="308"/>
      <c r="EO362" s="41"/>
      <c r="EP362" s="41"/>
      <c r="EQ362" s="41"/>
      <c r="ER362" s="256"/>
      <c r="ES362" s="293"/>
      <c r="ET362" s="293"/>
      <c r="EU362" s="293"/>
      <c r="EV362" s="293"/>
      <c r="EW362" s="41"/>
      <c r="EX362" s="41"/>
      <c r="EY362" s="41"/>
      <c r="EZ362" s="256"/>
      <c r="FA362" s="308"/>
      <c r="FB362" s="308"/>
      <c r="FC362" s="308"/>
      <c r="FD362" s="308"/>
      <c r="FE362" s="46"/>
      <c r="FF362" s="41"/>
      <c r="FG362" s="41"/>
      <c r="FH362" s="256"/>
      <c r="FI362" s="41"/>
      <c r="FJ362" s="41"/>
      <c r="FK362" s="41"/>
      <c r="FL362" s="276"/>
    </row>
    <row r="363" spans="1:168" ht="39.75">
      <c r="A363" s="45">
        <v>356</v>
      </c>
      <c r="B363" s="45" t="s">
        <v>210</v>
      </c>
      <c r="C363" s="45">
        <v>5</v>
      </c>
      <c r="D363" s="29" t="s">
        <v>191</v>
      </c>
      <c r="E363" s="30" t="s">
        <v>563</v>
      </c>
      <c r="F363" s="30">
        <v>5</v>
      </c>
      <c r="G363" s="246">
        <f>60947.964/1000</f>
        <v>60.947963999999999</v>
      </c>
      <c r="H363" s="45">
        <v>60947.963999999993</v>
      </c>
      <c r="I363" s="45">
        <v>0</v>
      </c>
      <c r="J363" s="397">
        <v>101.23515999999999</v>
      </c>
      <c r="K363" s="495">
        <f t="shared" si="35"/>
        <v>162.18312399999999</v>
      </c>
      <c r="L363" s="578"/>
      <c r="M363" s="45">
        <f t="shared" si="37"/>
        <v>0</v>
      </c>
      <c r="N363" s="46">
        <f t="shared" si="40"/>
        <v>162.18312399999999</v>
      </c>
      <c r="O363" s="46">
        <f t="shared" si="36"/>
        <v>145</v>
      </c>
      <c r="P363" s="234" t="s">
        <v>229</v>
      </c>
      <c r="Q363" s="46">
        <v>1</v>
      </c>
      <c r="R363" s="450" t="s">
        <v>224</v>
      </c>
      <c r="S363" s="257">
        <v>90000</v>
      </c>
      <c r="T363" s="46"/>
      <c r="U363" s="46"/>
      <c r="V363" s="46"/>
      <c r="W363" s="46"/>
      <c r="X363" s="196"/>
      <c r="Y363" s="46"/>
      <c r="Z363" s="46"/>
      <c r="AA363" s="46"/>
      <c r="AB363" s="46"/>
      <c r="AC363" s="46"/>
      <c r="AD363" s="46"/>
      <c r="AE363" s="46"/>
      <c r="AF363" s="196"/>
      <c r="AG363" s="46"/>
      <c r="AH363" s="46"/>
      <c r="AI363" s="46"/>
      <c r="AJ363" s="46"/>
      <c r="AK363" s="46"/>
      <c r="AL363" s="46"/>
      <c r="AM363" s="46"/>
      <c r="AN363" s="196"/>
      <c r="AO363" s="438"/>
      <c r="AP363" s="46"/>
      <c r="AQ363" s="368"/>
      <c r="AR363" s="257"/>
      <c r="AS363" s="196"/>
      <c r="AT363" s="46"/>
      <c r="AU363" s="46"/>
      <c r="AV363" s="196"/>
      <c r="AW363" s="257"/>
      <c r="AX363" s="196"/>
      <c r="AY363" s="191"/>
      <c r="AZ363" s="257"/>
      <c r="BA363" s="196"/>
      <c r="BB363" s="46"/>
      <c r="BC363" s="257"/>
      <c r="BD363" s="196"/>
      <c r="BE363" s="191"/>
      <c r="BF363" s="46"/>
      <c r="BG363" s="196"/>
      <c r="BH363" s="46"/>
      <c r="BI363" s="257"/>
      <c r="BJ363" s="196"/>
      <c r="BK363" s="191"/>
      <c r="BL363" s="257"/>
      <c r="BM363" s="196"/>
      <c r="BN363" s="46"/>
      <c r="BO363" s="257"/>
      <c r="BP363" s="196"/>
      <c r="BQ363" s="190"/>
      <c r="BR363" s="46"/>
      <c r="BS363" s="196"/>
      <c r="BT363" s="46"/>
      <c r="BU363" s="257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196"/>
      <c r="CI363" s="46"/>
      <c r="CJ363" s="46"/>
      <c r="CK363" s="46"/>
      <c r="CL363" s="46"/>
      <c r="CM363" s="46"/>
      <c r="CN363" s="196"/>
      <c r="CO363" s="191"/>
      <c r="CP363" s="257"/>
      <c r="CQ363" s="196"/>
      <c r="CR363" s="167"/>
      <c r="CS363" s="257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191"/>
      <c r="DN363" s="46"/>
      <c r="DO363" s="196"/>
      <c r="DP363" s="221" t="s">
        <v>991</v>
      </c>
      <c r="DQ363" s="257">
        <f>DW363+EC363+EJ363+ER363+EZ363+FH363+5000+10000</f>
        <v>55000</v>
      </c>
      <c r="DR363" s="294"/>
      <c r="DS363" s="295"/>
      <c r="DT363" s="386">
        <f t="shared" si="39"/>
        <v>0</v>
      </c>
      <c r="DU363" s="41"/>
      <c r="DV363" s="41"/>
      <c r="DW363" s="256"/>
      <c r="DX363" s="41"/>
      <c r="DY363" s="41"/>
      <c r="DZ363" s="68"/>
      <c r="EA363" s="41"/>
      <c r="EB363" s="41"/>
      <c r="EC363" s="256"/>
      <c r="ED363" s="308"/>
      <c r="EE363" s="308"/>
      <c r="EF363" s="308"/>
      <c r="EG363" s="41"/>
      <c r="EH363" s="41"/>
      <c r="EI363" s="41"/>
      <c r="EJ363" s="69"/>
      <c r="EK363" s="308"/>
      <c r="EL363" s="308"/>
      <c r="EM363" s="308"/>
      <c r="EN363" s="308"/>
      <c r="EO363" s="41">
        <v>8</v>
      </c>
      <c r="EP363" s="41">
        <v>2</v>
      </c>
      <c r="EQ363" s="41">
        <v>1.2</v>
      </c>
      <c r="ER363" s="256">
        <v>40000</v>
      </c>
      <c r="ES363" s="293"/>
      <c r="ET363" s="293"/>
      <c r="EU363" s="293"/>
      <c r="EV363" s="293"/>
      <c r="EW363" s="41"/>
      <c r="EX363" s="41"/>
      <c r="EY363" s="41"/>
      <c r="EZ363" s="256"/>
      <c r="FA363" s="308"/>
      <c r="FB363" s="308"/>
      <c r="FC363" s="308"/>
      <c r="FD363" s="308"/>
      <c r="FE363" s="46"/>
      <c r="FF363" s="41"/>
      <c r="FG363" s="41"/>
      <c r="FH363" s="256"/>
      <c r="FI363" s="41"/>
      <c r="FJ363" s="41"/>
      <c r="FK363" s="41"/>
      <c r="FL363" s="276"/>
    </row>
    <row r="364" spans="1:168">
      <c r="A364" s="45">
        <v>357</v>
      </c>
      <c r="B364" s="45" t="s">
        <v>210</v>
      </c>
      <c r="C364" s="45">
        <v>5</v>
      </c>
      <c r="D364" s="29" t="s">
        <v>191</v>
      </c>
      <c r="E364" s="30">
        <v>66</v>
      </c>
      <c r="F364" s="30">
        <v>6</v>
      </c>
      <c r="G364" s="246">
        <f>68637.744/1000</f>
        <v>68.637744000000012</v>
      </c>
      <c r="H364" s="45">
        <v>19412.315999999999</v>
      </c>
      <c r="I364" s="45">
        <v>49225.428</v>
      </c>
      <c r="J364" s="397">
        <v>164.91141999999999</v>
      </c>
      <c r="K364" s="495">
        <f t="shared" si="35"/>
        <v>233.54916400000002</v>
      </c>
      <c r="L364" s="578"/>
      <c r="M364" s="45">
        <f t="shared" si="37"/>
        <v>0</v>
      </c>
      <c r="N364" s="46">
        <f t="shared" si="40"/>
        <v>233.54916400000002</v>
      </c>
      <c r="O364" s="46">
        <f t="shared" si="36"/>
        <v>219</v>
      </c>
      <c r="P364" s="234" t="s">
        <v>250</v>
      </c>
      <c r="Q364" s="46">
        <v>1</v>
      </c>
      <c r="R364" s="450" t="s">
        <v>560</v>
      </c>
      <c r="S364" s="257">
        <v>180000</v>
      </c>
      <c r="T364" s="46"/>
      <c r="U364" s="46"/>
      <c r="V364" s="46"/>
      <c r="W364" s="46"/>
      <c r="X364" s="196"/>
      <c r="Y364" s="46"/>
      <c r="Z364" s="46"/>
      <c r="AA364" s="46"/>
      <c r="AB364" s="46"/>
      <c r="AC364" s="46"/>
      <c r="AD364" s="46"/>
      <c r="AE364" s="46"/>
      <c r="AF364" s="196"/>
      <c r="AG364" s="46"/>
      <c r="AH364" s="46"/>
      <c r="AI364" s="46"/>
      <c r="AJ364" s="46"/>
      <c r="AK364" s="46"/>
      <c r="AL364" s="46"/>
      <c r="AM364" s="46"/>
      <c r="AN364" s="196" t="s">
        <v>254</v>
      </c>
      <c r="AO364" s="438" t="s">
        <v>335</v>
      </c>
      <c r="AP364" s="46">
        <v>30</v>
      </c>
      <c r="AQ364" s="368" t="s">
        <v>854</v>
      </c>
      <c r="AR364" s="257">
        <f>AP364*1300</f>
        <v>39000</v>
      </c>
      <c r="AS364" s="196"/>
      <c r="AT364" s="46"/>
      <c r="AU364" s="46"/>
      <c r="AV364" s="196"/>
      <c r="AW364" s="257"/>
      <c r="AX364" s="196"/>
      <c r="AY364" s="191"/>
      <c r="AZ364" s="257"/>
      <c r="BA364" s="196"/>
      <c r="BB364" s="46"/>
      <c r="BC364" s="257"/>
      <c r="BD364" s="196"/>
      <c r="BE364" s="191"/>
      <c r="BF364" s="46"/>
      <c r="BG364" s="196"/>
      <c r="BH364" s="46"/>
      <c r="BI364" s="257"/>
      <c r="BJ364" s="196"/>
      <c r="BK364" s="191"/>
      <c r="BL364" s="257"/>
      <c r="BM364" s="196"/>
      <c r="BN364" s="46"/>
      <c r="BO364" s="257"/>
      <c r="BP364" s="196"/>
      <c r="BQ364" s="190"/>
      <c r="BR364" s="46"/>
      <c r="BS364" s="196"/>
      <c r="BT364" s="46"/>
      <c r="BU364" s="257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196"/>
      <c r="CI364" s="46"/>
      <c r="CJ364" s="46"/>
      <c r="CK364" s="46"/>
      <c r="CL364" s="46"/>
      <c r="CM364" s="46"/>
      <c r="CN364" s="196"/>
      <c r="CO364" s="191"/>
      <c r="CP364" s="257"/>
      <c r="CQ364" s="196"/>
      <c r="CR364" s="167"/>
      <c r="CS364" s="257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191"/>
      <c r="DN364" s="46"/>
      <c r="DO364" s="196"/>
      <c r="DP364" s="581"/>
      <c r="DQ364" s="257">
        <f t="shared" si="38"/>
        <v>0</v>
      </c>
      <c r="DR364" s="294"/>
      <c r="DS364" s="295"/>
      <c r="DT364" s="386">
        <f t="shared" si="39"/>
        <v>0</v>
      </c>
      <c r="DU364" s="41"/>
      <c r="DV364" s="41"/>
      <c r="DW364" s="256"/>
      <c r="DX364" s="41"/>
      <c r="DY364" s="41"/>
      <c r="DZ364" s="68"/>
      <c r="EA364" s="41"/>
      <c r="EB364" s="41"/>
      <c r="EC364" s="256"/>
      <c r="ED364" s="308"/>
      <c r="EE364" s="308"/>
      <c r="EF364" s="308"/>
      <c r="EG364" s="41"/>
      <c r="EH364" s="41"/>
      <c r="EI364" s="41"/>
      <c r="EJ364" s="69"/>
      <c r="EK364" s="308"/>
      <c r="EL364" s="308"/>
      <c r="EM364" s="308"/>
      <c r="EN364" s="308"/>
      <c r="EO364" s="41"/>
      <c r="EP364" s="41"/>
      <c r="EQ364" s="41"/>
      <c r="ER364" s="256"/>
      <c r="ES364" s="293"/>
      <c r="ET364" s="293"/>
      <c r="EU364" s="293"/>
      <c r="EV364" s="293"/>
      <c r="EW364" s="41"/>
      <c r="EX364" s="41"/>
      <c r="EY364" s="41"/>
      <c r="EZ364" s="256"/>
      <c r="FA364" s="308"/>
      <c r="FB364" s="308"/>
      <c r="FC364" s="308"/>
      <c r="FD364" s="308"/>
      <c r="FE364" s="41"/>
      <c r="FF364" s="41"/>
      <c r="FG364" s="41"/>
      <c r="FH364" s="256"/>
      <c r="FI364" s="41"/>
      <c r="FJ364" s="41"/>
      <c r="FK364" s="41"/>
      <c r="FL364" s="276"/>
    </row>
    <row r="365" spans="1:168">
      <c r="A365" s="45">
        <v>358</v>
      </c>
      <c r="B365" s="45" t="s">
        <v>210</v>
      </c>
      <c r="C365" s="45">
        <v>5</v>
      </c>
      <c r="D365" s="29" t="s">
        <v>198</v>
      </c>
      <c r="E365" s="30" t="s">
        <v>199</v>
      </c>
      <c r="F365" s="30">
        <v>5</v>
      </c>
      <c r="G365" s="246">
        <f>59950.044/1000</f>
        <v>59.950043999999998</v>
      </c>
      <c r="H365" s="45">
        <v>59950.044000000009</v>
      </c>
      <c r="I365" s="45">
        <v>0</v>
      </c>
      <c r="J365" s="397">
        <v>65.206229999999991</v>
      </c>
      <c r="K365" s="495">
        <f t="shared" si="35"/>
        <v>125.156274</v>
      </c>
      <c r="L365" s="578"/>
      <c r="M365" s="45">
        <f t="shared" si="37"/>
        <v>0</v>
      </c>
      <c r="N365" s="46">
        <f t="shared" si="40"/>
        <v>125.156274</v>
      </c>
      <c r="O365" s="46">
        <f t="shared" si="36"/>
        <v>78</v>
      </c>
      <c r="P365" s="234"/>
      <c r="Q365" s="46"/>
      <c r="R365" s="450"/>
      <c r="S365" s="257"/>
      <c r="T365" s="46"/>
      <c r="U365" s="46"/>
      <c r="V365" s="46"/>
      <c r="W365" s="46"/>
      <c r="X365" s="196"/>
      <c r="Y365" s="46"/>
      <c r="Z365" s="46"/>
      <c r="AA365" s="46"/>
      <c r="AB365" s="46"/>
      <c r="AC365" s="46"/>
      <c r="AD365" s="46"/>
      <c r="AE365" s="46"/>
      <c r="AF365" s="196"/>
      <c r="AG365" s="46"/>
      <c r="AH365" s="46"/>
      <c r="AI365" s="46"/>
      <c r="AJ365" s="46"/>
      <c r="AK365" s="46"/>
      <c r="AL365" s="46"/>
      <c r="AM365" s="46"/>
      <c r="AN365" s="237" t="s">
        <v>227</v>
      </c>
      <c r="AO365" s="440" t="s">
        <v>324</v>
      </c>
      <c r="AP365" s="162">
        <v>60</v>
      </c>
      <c r="AQ365" s="442" t="s">
        <v>854</v>
      </c>
      <c r="AR365" s="534">
        <f>AP365*1300</f>
        <v>78000</v>
      </c>
      <c r="AS365" s="196"/>
      <c r="AT365" s="46"/>
      <c r="AU365" s="46"/>
      <c r="AV365" s="196"/>
      <c r="AW365" s="257"/>
      <c r="AX365" s="196"/>
      <c r="AY365" s="191"/>
      <c r="AZ365" s="257"/>
      <c r="BA365" s="196"/>
      <c r="BB365" s="46"/>
      <c r="BC365" s="257"/>
      <c r="BD365" s="196"/>
      <c r="BE365" s="191"/>
      <c r="BF365" s="46"/>
      <c r="BG365" s="196"/>
      <c r="BH365" s="46"/>
      <c r="BI365" s="257"/>
      <c r="BJ365" s="196"/>
      <c r="BK365" s="191"/>
      <c r="BL365" s="257"/>
      <c r="BM365" s="196"/>
      <c r="BN365" s="46"/>
      <c r="BO365" s="257"/>
      <c r="BP365" s="196"/>
      <c r="BQ365" s="190"/>
      <c r="BR365" s="46"/>
      <c r="BS365" s="196"/>
      <c r="BT365" s="46"/>
      <c r="BU365" s="257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196"/>
      <c r="CI365" s="46"/>
      <c r="CJ365" s="46"/>
      <c r="CK365" s="46"/>
      <c r="CL365" s="46"/>
      <c r="CM365" s="46"/>
      <c r="CN365" s="196"/>
      <c r="CO365" s="191"/>
      <c r="CP365" s="257"/>
      <c r="CQ365" s="196"/>
      <c r="CR365" s="167"/>
      <c r="CS365" s="257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191"/>
      <c r="DN365" s="46"/>
      <c r="DO365" s="196"/>
      <c r="DP365" s="221"/>
      <c r="DQ365" s="257">
        <f t="shared" si="38"/>
        <v>0</v>
      </c>
      <c r="DR365" s="294"/>
      <c r="DS365" s="295"/>
      <c r="DT365" s="386">
        <f t="shared" si="39"/>
        <v>0</v>
      </c>
      <c r="DU365" s="41"/>
      <c r="DV365" s="41"/>
      <c r="DW365" s="256"/>
      <c r="DX365" s="41"/>
      <c r="DY365" s="41"/>
      <c r="DZ365" s="68"/>
      <c r="EA365" s="41"/>
      <c r="EB365" s="41"/>
      <c r="EC365" s="256"/>
      <c r="ED365" s="308"/>
      <c r="EE365" s="308"/>
      <c r="EF365" s="308"/>
      <c r="EG365" s="41"/>
      <c r="EH365" s="41"/>
      <c r="EI365" s="41"/>
      <c r="EJ365" s="69"/>
      <c r="EK365" s="308"/>
      <c r="EL365" s="308"/>
      <c r="EM365" s="308"/>
      <c r="EN365" s="308"/>
      <c r="EO365" s="41"/>
      <c r="EP365" s="41"/>
      <c r="EQ365" s="41"/>
      <c r="ER365" s="256"/>
      <c r="ES365" s="293"/>
      <c r="ET365" s="293"/>
      <c r="EU365" s="293"/>
      <c r="EV365" s="293"/>
      <c r="EW365" s="41"/>
      <c r="EX365" s="41"/>
      <c r="EY365" s="41"/>
      <c r="EZ365" s="256"/>
      <c r="FA365" s="308"/>
      <c r="FB365" s="308"/>
      <c r="FC365" s="308"/>
      <c r="FD365" s="308"/>
      <c r="FE365" s="46"/>
      <c r="FF365" s="41"/>
      <c r="FG365" s="41"/>
      <c r="FH365" s="256"/>
      <c r="FI365" s="41"/>
      <c r="FJ365" s="41"/>
      <c r="FK365" s="41"/>
      <c r="FL365" s="276"/>
    </row>
    <row r="366" spans="1:168" ht="45.75">
      <c r="A366" s="45">
        <v>359</v>
      </c>
      <c r="B366" s="45" t="s">
        <v>210</v>
      </c>
      <c r="C366" s="45">
        <v>5</v>
      </c>
      <c r="D366" s="29" t="s">
        <v>200</v>
      </c>
      <c r="E366" s="30">
        <v>137</v>
      </c>
      <c r="F366" s="30">
        <v>5</v>
      </c>
      <c r="G366" s="246">
        <f>71027.7876/1000</f>
        <v>71.027787599999996</v>
      </c>
      <c r="H366" s="45">
        <v>71027.787599999996</v>
      </c>
      <c r="I366" s="45">
        <v>0</v>
      </c>
      <c r="J366" s="397">
        <v>126.87593999999997</v>
      </c>
      <c r="K366" s="495">
        <f t="shared" si="35"/>
        <v>197.90372759999997</v>
      </c>
      <c r="L366" s="578"/>
      <c r="M366" s="45">
        <f t="shared" si="37"/>
        <v>0</v>
      </c>
      <c r="N366" s="46">
        <f t="shared" si="40"/>
        <v>197.90372759999997</v>
      </c>
      <c r="O366" s="46">
        <f t="shared" si="36"/>
        <v>140</v>
      </c>
      <c r="P366" s="234" t="s">
        <v>229</v>
      </c>
      <c r="Q366" s="46">
        <v>2</v>
      </c>
      <c r="R366" s="450" t="s">
        <v>992</v>
      </c>
      <c r="S366" s="257">
        <f>90000+50000</f>
        <v>140000</v>
      </c>
      <c r="T366" s="46"/>
      <c r="U366" s="46"/>
      <c r="V366" s="46"/>
      <c r="W366" s="46"/>
      <c r="X366" s="196"/>
      <c r="Y366" s="46"/>
      <c r="Z366" s="46"/>
      <c r="AA366" s="46"/>
      <c r="AB366" s="46"/>
      <c r="AC366" s="46"/>
      <c r="AD366" s="46"/>
      <c r="AE366" s="46"/>
      <c r="AF366" s="196"/>
      <c r="AG366" s="46"/>
      <c r="AH366" s="46"/>
      <c r="AI366" s="46"/>
      <c r="AJ366" s="46"/>
      <c r="AK366" s="46"/>
      <c r="AL366" s="46"/>
      <c r="AM366" s="46"/>
      <c r="AN366" s="196"/>
      <c r="AO366" s="438"/>
      <c r="AP366" s="46"/>
      <c r="AQ366" s="368"/>
      <c r="AR366" s="257"/>
      <c r="AS366" s="196"/>
      <c r="AT366" s="46"/>
      <c r="AU366" s="46"/>
      <c r="AV366" s="196"/>
      <c r="AW366" s="257"/>
      <c r="AX366" s="196"/>
      <c r="AY366" s="191"/>
      <c r="AZ366" s="257"/>
      <c r="BA366" s="196"/>
      <c r="BB366" s="46"/>
      <c r="BC366" s="257"/>
      <c r="BD366" s="196"/>
      <c r="BE366" s="191"/>
      <c r="BF366" s="46"/>
      <c r="BG366" s="196"/>
      <c r="BH366" s="46"/>
      <c r="BI366" s="257"/>
      <c r="BJ366" s="196"/>
      <c r="BK366" s="191"/>
      <c r="BL366" s="257"/>
      <c r="BM366" s="196"/>
      <c r="BN366" s="46"/>
      <c r="BO366" s="257"/>
      <c r="BP366" s="196"/>
      <c r="BQ366" s="190"/>
      <c r="BR366" s="46"/>
      <c r="BS366" s="196"/>
      <c r="BT366" s="46"/>
      <c r="BU366" s="257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196"/>
      <c r="CI366" s="46"/>
      <c r="CJ366" s="46"/>
      <c r="CK366" s="46"/>
      <c r="CL366" s="46"/>
      <c r="CM366" s="46"/>
      <c r="CN366" s="196"/>
      <c r="CO366" s="191"/>
      <c r="CP366" s="257"/>
      <c r="CQ366" s="196"/>
      <c r="CR366" s="167"/>
      <c r="CS366" s="257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191"/>
      <c r="DN366" s="46"/>
      <c r="DO366" s="218"/>
      <c r="DP366" s="221"/>
      <c r="DQ366" s="257">
        <f t="shared" si="38"/>
        <v>0</v>
      </c>
      <c r="DR366" s="296"/>
      <c r="DS366" s="295"/>
      <c r="DT366" s="386">
        <f t="shared" si="39"/>
        <v>0</v>
      </c>
      <c r="DU366" s="41"/>
      <c r="DV366" s="41"/>
      <c r="DW366" s="256"/>
      <c r="DX366" s="41"/>
      <c r="DY366" s="41"/>
      <c r="DZ366" s="68"/>
      <c r="EA366" s="41"/>
      <c r="EB366" s="41"/>
      <c r="EC366" s="256"/>
      <c r="ED366" s="308"/>
      <c r="EE366" s="308"/>
      <c r="EF366" s="308"/>
      <c r="EG366" s="41"/>
      <c r="EH366" s="41"/>
      <c r="EI366" s="41"/>
      <c r="EJ366" s="69"/>
      <c r="EK366" s="308"/>
      <c r="EL366" s="308"/>
      <c r="EM366" s="308"/>
      <c r="EN366" s="308"/>
      <c r="EO366" s="41"/>
      <c r="EP366" s="41"/>
      <c r="EQ366" s="41"/>
      <c r="ER366" s="256"/>
      <c r="ES366" s="293"/>
      <c r="ET366" s="293"/>
      <c r="EU366" s="293"/>
      <c r="EV366" s="293"/>
      <c r="EW366" s="41"/>
      <c r="EX366" s="41"/>
      <c r="EY366" s="41"/>
      <c r="EZ366" s="256"/>
      <c r="FA366" s="308"/>
      <c r="FB366" s="308"/>
      <c r="FC366" s="308"/>
      <c r="FD366" s="308"/>
      <c r="FE366" s="46"/>
      <c r="FF366" s="41"/>
      <c r="FG366" s="41"/>
      <c r="FH366" s="256"/>
      <c r="FI366" s="41"/>
      <c r="FJ366" s="41"/>
      <c r="FK366" s="41"/>
      <c r="FL366" s="276"/>
    </row>
    <row r="367" spans="1:168" ht="20.25">
      <c r="A367" s="45">
        <v>360</v>
      </c>
      <c r="B367" s="45" t="s">
        <v>210</v>
      </c>
      <c r="C367" s="45">
        <v>5</v>
      </c>
      <c r="D367" s="29" t="s">
        <v>200</v>
      </c>
      <c r="E367" s="30">
        <v>138</v>
      </c>
      <c r="F367" s="30">
        <v>7</v>
      </c>
      <c r="G367" s="246">
        <f>55071.828/1000</f>
        <v>55.071828000000004</v>
      </c>
      <c r="H367" s="45">
        <v>0</v>
      </c>
      <c r="I367" s="45">
        <v>55071.827999999994</v>
      </c>
      <c r="J367" s="397">
        <v>106.45099000000002</v>
      </c>
      <c r="K367" s="495">
        <f t="shared" si="35"/>
        <v>161.52281800000003</v>
      </c>
      <c r="L367" s="578"/>
      <c r="M367" s="45">
        <f t="shared" si="37"/>
        <v>0</v>
      </c>
      <c r="N367" s="46">
        <f t="shared" si="40"/>
        <v>161.52281800000003</v>
      </c>
      <c r="O367" s="46">
        <f t="shared" si="36"/>
        <v>101.4</v>
      </c>
      <c r="P367" s="234"/>
      <c r="Q367" s="46"/>
      <c r="R367" s="450"/>
      <c r="S367" s="257"/>
      <c r="T367" s="46"/>
      <c r="U367" s="46"/>
      <c r="V367" s="46"/>
      <c r="W367" s="46"/>
      <c r="X367" s="196"/>
      <c r="Y367" s="46"/>
      <c r="Z367" s="46"/>
      <c r="AA367" s="46"/>
      <c r="AB367" s="46"/>
      <c r="AC367" s="46"/>
      <c r="AD367" s="46"/>
      <c r="AE367" s="46"/>
      <c r="AF367" s="196"/>
      <c r="AG367" s="46"/>
      <c r="AH367" s="46"/>
      <c r="AI367" s="46"/>
      <c r="AJ367" s="46"/>
      <c r="AK367" s="46"/>
      <c r="AL367" s="46"/>
      <c r="AM367" s="46"/>
      <c r="AN367" s="196"/>
      <c r="AO367" s="438"/>
      <c r="AP367" s="249"/>
      <c r="AQ367" s="368"/>
      <c r="AR367" s="257"/>
      <c r="AS367" s="196"/>
      <c r="AT367" s="46"/>
      <c r="AU367" s="46"/>
      <c r="AV367" s="196"/>
      <c r="AW367" s="257"/>
      <c r="AX367" s="196"/>
      <c r="AY367" s="191"/>
      <c r="AZ367" s="257"/>
      <c r="BA367" s="196"/>
      <c r="BB367" s="46"/>
      <c r="BC367" s="257"/>
      <c r="BD367" s="196"/>
      <c r="BE367" s="191"/>
      <c r="BF367" s="46"/>
      <c r="BG367" s="196"/>
      <c r="BH367" s="46"/>
      <c r="BI367" s="257"/>
      <c r="BJ367" s="196"/>
      <c r="BK367" s="191"/>
      <c r="BL367" s="257"/>
      <c r="BM367" s="196"/>
      <c r="BN367" s="46"/>
      <c r="BO367" s="257"/>
      <c r="BP367" s="196"/>
      <c r="BQ367" s="190"/>
      <c r="BR367" s="46"/>
      <c r="BS367" s="196"/>
      <c r="BT367" s="46"/>
      <c r="BU367" s="257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196"/>
      <c r="CI367" s="46"/>
      <c r="CJ367" s="46"/>
      <c r="CK367" s="46"/>
      <c r="CL367" s="46"/>
      <c r="CM367" s="46"/>
      <c r="CN367" s="196"/>
      <c r="CO367" s="191"/>
      <c r="CP367" s="257"/>
      <c r="CQ367" s="196"/>
      <c r="CR367" s="167"/>
      <c r="CS367" s="257"/>
      <c r="CT367" s="46"/>
      <c r="CU367" s="46"/>
      <c r="CV367" s="46"/>
      <c r="CW367" s="46"/>
      <c r="CX367" s="46"/>
      <c r="CY367" s="46"/>
      <c r="CZ367" s="46">
        <v>10</v>
      </c>
      <c r="DA367" s="46">
        <v>48</v>
      </c>
      <c r="DB367" s="257">
        <f>DA367*1800</f>
        <v>86400</v>
      </c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191"/>
      <c r="DN367" s="46"/>
      <c r="DO367" s="196"/>
      <c r="DP367" s="221" t="s">
        <v>993</v>
      </c>
      <c r="DQ367" s="257">
        <f>DW367+EC367+EJ367+ER367+EZ367+FH367+15000</f>
        <v>15000</v>
      </c>
      <c r="DR367" s="296"/>
      <c r="DS367" s="295"/>
      <c r="DT367" s="386">
        <f t="shared" si="39"/>
        <v>0</v>
      </c>
      <c r="DU367" s="41"/>
      <c r="DV367" s="41"/>
      <c r="DW367" s="256"/>
      <c r="DX367" s="41"/>
      <c r="DY367" s="41"/>
      <c r="DZ367" s="68"/>
      <c r="EA367" s="41"/>
      <c r="EB367" s="41"/>
      <c r="EC367" s="256"/>
      <c r="ED367" s="308"/>
      <c r="EE367" s="308"/>
      <c r="EF367" s="308"/>
      <c r="EG367" s="41"/>
      <c r="EH367" s="41"/>
      <c r="EI367" s="41"/>
      <c r="EJ367" s="69"/>
      <c r="EK367" s="308"/>
      <c r="EL367" s="308"/>
      <c r="EM367" s="308"/>
      <c r="EN367" s="308"/>
      <c r="EO367" s="41"/>
      <c r="EP367" s="41"/>
      <c r="EQ367" s="41"/>
      <c r="ER367" s="256"/>
      <c r="ES367" s="293"/>
      <c r="ET367" s="293"/>
      <c r="EU367" s="293"/>
      <c r="EV367" s="293"/>
      <c r="EW367" s="41"/>
      <c r="EX367" s="41"/>
      <c r="EY367" s="41"/>
      <c r="EZ367" s="256"/>
      <c r="FA367" s="308"/>
      <c r="FB367" s="308"/>
      <c r="FC367" s="308"/>
      <c r="FD367" s="308"/>
      <c r="FE367" s="41"/>
      <c r="FF367" s="41"/>
      <c r="FG367" s="41"/>
      <c r="FH367" s="256"/>
      <c r="FI367" s="41"/>
      <c r="FJ367" s="41"/>
      <c r="FK367" s="41"/>
      <c r="FL367" s="276"/>
    </row>
    <row r="368" spans="1:168">
      <c r="A368" s="45">
        <v>361</v>
      </c>
      <c r="B368" s="45" t="s">
        <v>210</v>
      </c>
      <c r="C368" s="45">
        <v>5</v>
      </c>
      <c r="D368" s="29" t="s">
        <v>200</v>
      </c>
      <c r="E368" s="30" t="s">
        <v>201</v>
      </c>
      <c r="F368" s="30">
        <v>5</v>
      </c>
      <c r="G368" s="246">
        <f>86494.716/1000</f>
        <v>86.494715999999997</v>
      </c>
      <c r="H368" s="45">
        <v>86494.716</v>
      </c>
      <c r="I368" s="45">
        <v>0</v>
      </c>
      <c r="J368" s="397">
        <v>101.19458</v>
      </c>
      <c r="K368" s="495">
        <f t="shared" si="35"/>
        <v>187.68929600000001</v>
      </c>
      <c r="L368" s="578"/>
      <c r="M368" s="45">
        <f t="shared" si="37"/>
        <v>0</v>
      </c>
      <c r="N368" s="46">
        <f t="shared" si="40"/>
        <v>187.68929600000001</v>
      </c>
      <c r="O368" s="46">
        <f t="shared" si="36"/>
        <v>168</v>
      </c>
      <c r="P368" s="234" t="s">
        <v>250</v>
      </c>
      <c r="Q368" s="46">
        <v>1</v>
      </c>
      <c r="R368" s="450" t="s">
        <v>523</v>
      </c>
      <c r="S368" s="257">
        <v>90000</v>
      </c>
      <c r="T368" s="46"/>
      <c r="U368" s="46"/>
      <c r="V368" s="46"/>
      <c r="W368" s="46"/>
      <c r="X368" s="196"/>
      <c r="Y368" s="46"/>
      <c r="Z368" s="46"/>
      <c r="AA368" s="46"/>
      <c r="AB368" s="46"/>
      <c r="AC368" s="46"/>
      <c r="AD368" s="46"/>
      <c r="AE368" s="46"/>
      <c r="AF368" s="196"/>
      <c r="AG368" s="46"/>
      <c r="AH368" s="46"/>
      <c r="AI368" s="46"/>
      <c r="AJ368" s="46"/>
      <c r="AK368" s="46"/>
      <c r="AL368" s="46"/>
      <c r="AM368" s="46"/>
      <c r="AN368" s="196" t="s">
        <v>249</v>
      </c>
      <c r="AO368" s="438" t="s">
        <v>335</v>
      </c>
      <c r="AP368" s="46">
        <v>60</v>
      </c>
      <c r="AQ368" s="368" t="s">
        <v>552</v>
      </c>
      <c r="AR368" s="257">
        <f>AP368*1300</f>
        <v>78000</v>
      </c>
      <c r="AS368" s="196"/>
      <c r="AT368" s="46"/>
      <c r="AU368" s="46"/>
      <c r="AV368" s="196"/>
      <c r="AW368" s="257"/>
      <c r="AX368" s="196"/>
      <c r="AY368" s="191"/>
      <c r="AZ368" s="257"/>
      <c r="BA368" s="196"/>
      <c r="BB368" s="46"/>
      <c r="BC368" s="257"/>
      <c r="BD368" s="196"/>
      <c r="BE368" s="191"/>
      <c r="BF368" s="46"/>
      <c r="BG368" s="196"/>
      <c r="BH368" s="46"/>
      <c r="BI368" s="257"/>
      <c r="BJ368" s="196"/>
      <c r="BK368" s="191"/>
      <c r="BL368" s="257"/>
      <c r="BM368" s="196"/>
      <c r="BN368" s="46"/>
      <c r="BO368" s="257"/>
      <c r="BP368" s="196"/>
      <c r="BQ368" s="190"/>
      <c r="BR368" s="46"/>
      <c r="BS368" s="196"/>
      <c r="BT368" s="46"/>
      <c r="BU368" s="257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196"/>
      <c r="CI368" s="46"/>
      <c r="CJ368" s="46"/>
      <c r="CK368" s="46"/>
      <c r="CL368" s="46"/>
      <c r="CM368" s="46"/>
      <c r="CN368" s="196"/>
      <c r="CO368" s="191"/>
      <c r="CP368" s="257"/>
      <c r="CQ368" s="196"/>
      <c r="CR368" s="167"/>
      <c r="CS368" s="257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191"/>
      <c r="DN368" s="46"/>
      <c r="DO368" s="196"/>
      <c r="DP368" s="581"/>
      <c r="DQ368" s="257">
        <f t="shared" si="38"/>
        <v>0</v>
      </c>
      <c r="DR368" s="294"/>
      <c r="DS368" s="295"/>
      <c r="DT368" s="386">
        <f t="shared" si="39"/>
        <v>0</v>
      </c>
      <c r="DU368" s="41"/>
      <c r="DV368" s="41"/>
      <c r="DW368" s="256"/>
      <c r="DX368" s="41"/>
      <c r="DY368" s="41"/>
      <c r="DZ368" s="68"/>
      <c r="EA368" s="41"/>
      <c r="EB368" s="41"/>
      <c r="EC368" s="256"/>
      <c r="ED368" s="308"/>
      <c r="EE368" s="308"/>
      <c r="EF368" s="308"/>
      <c r="EG368" s="41"/>
      <c r="EH368" s="41"/>
      <c r="EI368" s="41"/>
      <c r="EJ368" s="69"/>
      <c r="EK368" s="308"/>
      <c r="EL368" s="308"/>
      <c r="EM368" s="308"/>
      <c r="EN368" s="308"/>
      <c r="EO368" s="41"/>
      <c r="EP368" s="41"/>
      <c r="EQ368" s="41"/>
      <c r="ER368" s="256"/>
      <c r="ES368" s="293"/>
      <c r="ET368" s="293"/>
      <c r="EU368" s="293"/>
      <c r="EV368" s="293"/>
      <c r="EW368" s="41"/>
      <c r="EX368" s="41"/>
      <c r="EY368" s="41"/>
      <c r="EZ368" s="256"/>
      <c r="FA368" s="308"/>
      <c r="FB368" s="308"/>
      <c r="FC368" s="308"/>
      <c r="FD368" s="308"/>
      <c r="FE368" s="46"/>
      <c r="FF368" s="41"/>
      <c r="FG368" s="41"/>
      <c r="FH368" s="256"/>
      <c r="FI368" s="41"/>
      <c r="FJ368" s="41"/>
      <c r="FK368" s="41"/>
      <c r="FL368" s="276"/>
    </row>
    <row r="369" spans="1:168" ht="30">
      <c r="A369" s="45">
        <v>362</v>
      </c>
      <c r="B369" s="45" t="s">
        <v>210</v>
      </c>
      <c r="C369" s="45">
        <v>5</v>
      </c>
      <c r="D369" s="29" t="s">
        <v>200</v>
      </c>
      <c r="E369" s="30" t="s">
        <v>202</v>
      </c>
      <c r="F369" s="30">
        <v>5</v>
      </c>
      <c r="G369" s="246">
        <f>80536.302/1000</f>
        <v>80.536301999999992</v>
      </c>
      <c r="H369" s="45">
        <v>80536.301999999996</v>
      </c>
      <c r="I369" s="45">
        <v>0</v>
      </c>
      <c r="J369" s="397">
        <v>95.00958</v>
      </c>
      <c r="K369" s="495">
        <f t="shared" si="35"/>
        <v>175.54588200000001</v>
      </c>
      <c r="L369" s="578"/>
      <c r="M369" s="45">
        <f t="shared" si="37"/>
        <v>0</v>
      </c>
      <c r="N369" s="46">
        <f t="shared" si="40"/>
        <v>175.54588200000001</v>
      </c>
      <c r="O369" s="46">
        <f t="shared" si="36"/>
        <v>156.80000000000001</v>
      </c>
      <c r="P369" s="234"/>
      <c r="Q369" s="46"/>
      <c r="R369" s="450"/>
      <c r="S369" s="257"/>
      <c r="T369" s="46"/>
      <c r="U369" s="46"/>
      <c r="V369" s="46"/>
      <c r="W369" s="46"/>
      <c r="X369" s="196"/>
      <c r="Y369" s="46"/>
      <c r="Z369" s="46"/>
      <c r="AA369" s="46"/>
      <c r="AB369" s="46"/>
      <c r="AC369" s="46"/>
      <c r="AD369" s="46"/>
      <c r="AE369" s="46"/>
      <c r="AF369" s="196"/>
      <c r="AG369" s="46"/>
      <c r="AH369" s="46"/>
      <c r="AI369" s="46"/>
      <c r="AJ369" s="46"/>
      <c r="AK369" s="46"/>
      <c r="AL369" s="46"/>
      <c r="AM369" s="46"/>
      <c r="AN369" s="196" t="s">
        <v>249</v>
      </c>
      <c r="AO369" s="438" t="s">
        <v>335</v>
      </c>
      <c r="AP369" s="46">
        <v>26</v>
      </c>
      <c r="AQ369" s="368" t="s">
        <v>552</v>
      </c>
      <c r="AR369" s="257">
        <f>AP369*1300</f>
        <v>33800</v>
      </c>
      <c r="AS369" s="196"/>
      <c r="AT369" s="46"/>
      <c r="AU369" s="46"/>
      <c r="AV369" s="218"/>
      <c r="AW369" s="257"/>
      <c r="AX369" s="196"/>
      <c r="AY369" s="191"/>
      <c r="AZ369" s="257"/>
      <c r="BA369" s="196"/>
      <c r="BB369" s="46"/>
      <c r="BC369" s="257"/>
      <c r="BD369" s="196"/>
      <c r="BE369" s="191"/>
      <c r="BF369" s="46"/>
      <c r="BG369" s="196"/>
      <c r="BH369" s="46"/>
      <c r="BI369" s="257"/>
      <c r="BJ369" s="196"/>
      <c r="BK369" s="191"/>
      <c r="BL369" s="257"/>
      <c r="BM369" s="196"/>
      <c r="BN369" s="167"/>
      <c r="BO369" s="257"/>
      <c r="BP369" s="196"/>
      <c r="BQ369" s="190"/>
      <c r="BR369" s="46"/>
      <c r="BS369" s="196"/>
      <c r="BT369" s="46"/>
      <c r="BU369" s="257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196"/>
      <c r="CI369" s="46"/>
      <c r="CJ369" s="46"/>
      <c r="CK369" s="46"/>
      <c r="CL369" s="46"/>
      <c r="CM369" s="46"/>
      <c r="CN369" s="196" t="s">
        <v>250</v>
      </c>
      <c r="CO369" s="190" t="s">
        <v>994</v>
      </c>
      <c r="CP369" s="257">
        <f>40000+8*1000</f>
        <v>48000</v>
      </c>
      <c r="CQ369" s="196"/>
      <c r="CR369" s="167"/>
      <c r="CS369" s="257"/>
      <c r="CT369" s="46"/>
      <c r="CU369" s="46"/>
      <c r="CV369" s="46"/>
      <c r="CW369" s="46"/>
      <c r="CX369" s="46"/>
      <c r="CY369" s="46"/>
      <c r="CZ369" s="46">
        <v>10</v>
      </c>
      <c r="DA369" s="46">
        <v>25</v>
      </c>
      <c r="DB369" s="46">
        <f>DA369*1800</f>
        <v>45000</v>
      </c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191"/>
      <c r="DN369" s="46"/>
      <c r="DO369" s="196"/>
      <c r="DP369" s="221" t="s">
        <v>995</v>
      </c>
      <c r="DQ369" s="257">
        <f>DW369+EC369+EJ369+ER369+EZ369+FH369+20000</f>
        <v>30000</v>
      </c>
      <c r="DR369" s="296"/>
      <c r="DS369" s="295"/>
      <c r="DT369" s="386">
        <f t="shared" si="39"/>
        <v>0</v>
      </c>
      <c r="DU369" s="41"/>
      <c r="DV369" s="41"/>
      <c r="DW369" s="256"/>
      <c r="DX369" s="41"/>
      <c r="DY369" s="41"/>
      <c r="DZ369" s="68"/>
      <c r="EA369" s="41">
        <v>5</v>
      </c>
      <c r="EB369" s="41">
        <v>10</v>
      </c>
      <c r="EC369" s="256">
        <v>10000</v>
      </c>
      <c r="ED369" s="308"/>
      <c r="EE369" s="308"/>
      <c r="EF369" s="308"/>
      <c r="EG369" s="41"/>
      <c r="EH369" s="41"/>
      <c r="EI369" s="41"/>
      <c r="EJ369" s="69"/>
      <c r="EK369" s="308"/>
      <c r="EL369" s="308"/>
      <c r="EM369" s="308"/>
      <c r="EN369" s="308"/>
      <c r="EO369" s="41"/>
      <c r="EP369" s="41"/>
      <c r="EQ369" s="41"/>
      <c r="ER369" s="256"/>
      <c r="ES369" s="293"/>
      <c r="ET369" s="293"/>
      <c r="EU369" s="293"/>
      <c r="EV369" s="293"/>
      <c r="EW369" s="41"/>
      <c r="EX369" s="41"/>
      <c r="EY369" s="41"/>
      <c r="EZ369" s="256"/>
      <c r="FA369" s="308"/>
      <c r="FB369" s="308"/>
      <c r="FC369" s="308"/>
      <c r="FD369" s="308"/>
      <c r="FE369" s="46"/>
      <c r="FF369" s="41"/>
      <c r="FG369" s="41"/>
      <c r="FH369" s="256"/>
      <c r="FI369" s="41"/>
      <c r="FJ369" s="41"/>
      <c r="FK369" s="41"/>
      <c r="FL369" s="276"/>
    </row>
    <row r="370" spans="1:168">
      <c r="A370" s="45">
        <v>363</v>
      </c>
      <c r="B370" s="45" t="s">
        <v>210</v>
      </c>
      <c r="C370" s="45">
        <v>5</v>
      </c>
      <c r="D370" s="29" t="s">
        <v>200</v>
      </c>
      <c r="E370" s="30">
        <v>143</v>
      </c>
      <c r="F370" s="30">
        <v>6</v>
      </c>
      <c r="G370" s="246">
        <f>45933.984/1000</f>
        <v>45.933983999999995</v>
      </c>
      <c r="H370" s="45">
        <v>12991.175999999999</v>
      </c>
      <c r="I370" s="45">
        <v>32942.807999999997</v>
      </c>
      <c r="J370" s="397">
        <v>53.970600000000005</v>
      </c>
      <c r="K370" s="495">
        <f t="shared" si="35"/>
        <v>99.904584</v>
      </c>
      <c r="L370" s="578"/>
      <c r="M370" s="45">
        <f t="shared" si="37"/>
        <v>0</v>
      </c>
      <c r="N370" s="46">
        <f t="shared" si="40"/>
        <v>99.904584</v>
      </c>
      <c r="O370" s="46">
        <f t="shared" si="36"/>
        <v>90</v>
      </c>
      <c r="P370" s="234"/>
      <c r="Q370" s="46">
        <v>1</v>
      </c>
      <c r="R370" s="450" t="s">
        <v>523</v>
      </c>
      <c r="S370" s="257">
        <v>90000</v>
      </c>
      <c r="T370" s="46"/>
      <c r="U370" s="46"/>
      <c r="V370" s="46"/>
      <c r="W370" s="46"/>
      <c r="X370" s="196"/>
      <c r="Y370" s="46"/>
      <c r="Z370" s="46"/>
      <c r="AA370" s="46"/>
      <c r="AB370" s="46"/>
      <c r="AC370" s="46"/>
      <c r="AD370" s="46"/>
      <c r="AE370" s="46"/>
      <c r="AF370" s="196"/>
      <c r="AG370" s="46"/>
      <c r="AH370" s="46"/>
      <c r="AI370" s="46"/>
      <c r="AJ370" s="46"/>
      <c r="AK370" s="46"/>
      <c r="AL370" s="46"/>
      <c r="AM370" s="46"/>
      <c r="AN370" s="196"/>
      <c r="AO370" s="438"/>
      <c r="AP370" s="46"/>
      <c r="AQ370" s="368"/>
      <c r="AR370" s="257"/>
      <c r="AS370" s="196"/>
      <c r="AT370" s="46"/>
      <c r="AU370" s="46"/>
      <c r="AV370" s="196"/>
      <c r="AW370" s="257"/>
      <c r="AX370" s="196"/>
      <c r="AY370" s="191"/>
      <c r="AZ370" s="257"/>
      <c r="BA370" s="196"/>
      <c r="BB370" s="46"/>
      <c r="BC370" s="257"/>
      <c r="BD370" s="196"/>
      <c r="BE370" s="191"/>
      <c r="BF370" s="46"/>
      <c r="BG370" s="196"/>
      <c r="BH370" s="46"/>
      <c r="BI370" s="257"/>
      <c r="BJ370" s="196"/>
      <c r="BK370" s="191"/>
      <c r="BL370" s="257"/>
      <c r="BM370" s="196"/>
      <c r="BN370" s="46"/>
      <c r="BO370" s="257"/>
      <c r="BP370" s="196"/>
      <c r="BQ370" s="190"/>
      <c r="BR370" s="46"/>
      <c r="BS370" s="196"/>
      <c r="BT370" s="46"/>
      <c r="BU370" s="257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196"/>
      <c r="CI370" s="46"/>
      <c r="CJ370" s="46"/>
      <c r="CK370" s="46"/>
      <c r="CL370" s="46"/>
      <c r="CM370" s="46"/>
      <c r="CN370" s="196"/>
      <c r="CO370" s="191"/>
      <c r="CP370" s="257"/>
      <c r="CQ370" s="196"/>
      <c r="CR370" s="167"/>
      <c r="CS370" s="257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191"/>
      <c r="DN370" s="46"/>
      <c r="DO370" s="196"/>
      <c r="DP370" s="221"/>
      <c r="DQ370" s="257">
        <f t="shared" si="38"/>
        <v>0</v>
      </c>
      <c r="DR370" s="294"/>
      <c r="DS370" s="295"/>
      <c r="DT370" s="386">
        <f t="shared" si="39"/>
        <v>0</v>
      </c>
      <c r="DU370" s="41"/>
      <c r="DV370" s="41"/>
      <c r="DW370" s="256"/>
      <c r="DX370" s="41"/>
      <c r="DY370" s="41"/>
      <c r="DZ370" s="68"/>
      <c r="EA370" s="41"/>
      <c r="EB370" s="41"/>
      <c r="EC370" s="256"/>
      <c r="ED370" s="308"/>
      <c r="EE370" s="308"/>
      <c r="EF370" s="308"/>
      <c r="EG370" s="41"/>
      <c r="EH370" s="41"/>
      <c r="EI370" s="41"/>
      <c r="EJ370" s="69"/>
      <c r="EK370" s="308"/>
      <c r="EL370" s="308"/>
      <c r="EM370" s="308"/>
      <c r="EN370" s="308"/>
      <c r="EO370" s="41"/>
      <c r="EP370" s="41"/>
      <c r="EQ370" s="41"/>
      <c r="ER370" s="256"/>
      <c r="ES370" s="293"/>
      <c r="ET370" s="293"/>
      <c r="EU370" s="293"/>
      <c r="EV370" s="293"/>
      <c r="EW370" s="41"/>
      <c r="EX370" s="41"/>
      <c r="EY370" s="41"/>
      <c r="EZ370" s="256"/>
      <c r="FA370" s="308"/>
      <c r="FB370" s="308"/>
      <c r="FC370" s="308"/>
      <c r="FD370" s="308"/>
      <c r="FE370" s="41"/>
      <c r="FF370" s="41"/>
      <c r="FG370" s="41"/>
      <c r="FH370" s="256"/>
      <c r="FI370" s="41"/>
      <c r="FJ370" s="41"/>
      <c r="FK370" s="41"/>
      <c r="FL370" s="276"/>
    </row>
    <row r="371" spans="1:168">
      <c r="A371" s="45">
        <v>364</v>
      </c>
      <c r="B371" s="45" t="s">
        <v>210</v>
      </c>
      <c r="C371" s="45">
        <v>5</v>
      </c>
      <c r="D371" s="29" t="s">
        <v>200</v>
      </c>
      <c r="E371" s="30">
        <v>147</v>
      </c>
      <c r="F371" s="30">
        <v>6</v>
      </c>
      <c r="G371" s="246">
        <f>45988.824/1000</f>
        <v>45.988824000000001</v>
      </c>
      <c r="H371" s="45">
        <v>13006.686</v>
      </c>
      <c r="I371" s="45">
        <v>32982.137999999992</v>
      </c>
      <c r="J371" s="397">
        <v>172.6345</v>
      </c>
      <c r="K371" s="495">
        <f t="shared" si="35"/>
        <v>218.623324</v>
      </c>
      <c r="L371" s="578"/>
      <c r="M371" s="45">
        <f t="shared" si="37"/>
        <v>0</v>
      </c>
      <c r="N371" s="46">
        <f t="shared" si="40"/>
        <v>218.623324</v>
      </c>
      <c r="O371" s="46">
        <f t="shared" si="36"/>
        <v>212.6</v>
      </c>
      <c r="P371" s="234" t="s">
        <v>250</v>
      </c>
      <c r="Q371" s="46">
        <v>1</v>
      </c>
      <c r="R371" s="450" t="s">
        <v>523</v>
      </c>
      <c r="S371" s="257">
        <v>90000</v>
      </c>
      <c r="T371" s="46"/>
      <c r="U371" s="46"/>
      <c r="V371" s="46"/>
      <c r="W371" s="46"/>
      <c r="X371" s="196"/>
      <c r="Y371" s="46"/>
      <c r="Z371" s="46"/>
      <c r="AA371" s="46"/>
      <c r="AB371" s="46"/>
      <c r="AC371" s="46"/>
      <c r="AD371" s="46"/>
      <c r="AE371" s="46"/>
      <c r="AF371" s="196"/>
      <c r="AG371" s="46"/>
      <c r="AH371" s="46"/>
      <c r="AI371" s="46"/>
      <c r="AJ371" s="46"/>
      <c r="AK371" s="46"/>
      <c r="AL371" s="46"/>
      <c r="AM371" s="46"/>
      <c r="AN371" s="196"/>
      <c r="AO371" s="438"/>
      <c r="AP371" s="46"/>
      <c r="AQ371" s="368"/>
      <c r="AR371" s="257"/>
      <c r="AS371" s="196"/>
      <c r="AT371" s="46"/>
      <c r="AU371" s="46"/>
      <c r="AV371" s="196"/>
      <c r="AW371" s="257"/>
      <c r="AX371" s="196" t="s">
        <v>250</v>
      </c>
      <c r="AY371" s="191">
        <v>22</v>
      </c>
      <c r="AZ371" s="257">
        <f>AY371*2000</f>
        <v>44000</v>
      </c>
      <c r="BA371" s="196"/>
      <c r="BB371" s="46"/>
      <c r="BC371" s="257"/>
      <c r="BD371" s="196"/>
      <c r="BE371" s="191"/>
      <c r="BF371" s="46"/>
      <c r="BG371" s="196"/>
      <c r="BH371" s="46"/>
      <c r="BI371" s="257"/>
      <c r="BJ371" s="196" t="s">
        <v>248</v>
      </c>
      <c r="BK371" s="191">
        <v>20</v>
      </c>
      <c r="BL371" s="257">
        <f>BK371*2500</f>
        <v>50000</v>
      </c>
      <c r="BM371" s="196"/>
      <c r="BN371" s="46"/>
      <c r="BO371" s="257"/>
      <c r="BP371" s="196" t="s">
        <v>250</v>
      </c>
      <c r="BQ371" s="190">
        <v>22</v>
      </c>
      <c r="BR371" s="46">
        <f>BQ371*1300</f>
        <v>28600</v>
      </c>
      <c r="BS371" s="196"/>
      <c r="BT371" s="46"/>
      <c r="BU371" s="257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196"/>
      <c r="CI371" s="46"/>
      <c r="CJ371" s="46"/>
      <c r="CK371" s="46"/>
      <c r="CL371" s="46"/>
      <c r="CM371" s="46"/>
      <c r="CN371" s="196"/>
      <c r="CO371" s="191"/>
      <c r="CP371" s="257"/>
      <c r="CQ371" s="196"/>
      <c r="CR371" s="167"/>
      <c r="CS371" s="257"/>
      <c r="CT371" s="46"/>
      <c r="CU371" s="46"/>
      <c r="CV371" s="46"/>
      <c r="CW371" s="46"/>
      <c r="CX371" s="46"/>
      <c r="CY371" s="46"/>
      <c r="CZ371" s="46"/>
      <c r="DA371" s="46"/>
      <c r="DB371" s="257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191"/>
      <c r="DN371" s="46"/>
      <c r="DO371" s="196"/>
      <c r="DP371" s="581"/>
      <c r="DQ371" s="257">
        <f t="shared" si="38"/>
        <v>0</v>
      </c>
      <c r="DR371" s="294"/>
      <c r="DS371" s="295"/>
      <c r="DT371" s="386">
        <f t="shared" si="39"/>
        <v>0</v>
      </c>
      <c r="DU371" s="41"/>
      <c r="DV371" s="41"/>
      <c r="DW371" s="256"/>
      <c r="DX371" s="41"/>
      <c r="DY371" s="41"/>
      <c r="DZ371" s="68"/>
      <c r="EA371" s="41"/>
      <c r="EB371" s="41"/>
      <c r="EC371" s="256"/>
      <c r="ED371" s="308"/>
      <c r="EE371" s="308"/>
      <c r="EF371" s="308"/>
      <c r="EG371" s="41"/>
      <c r="EH371" s="41"/>
      <c r="EI371" s="41"/>
      <c r="EJ371" s="69"/>
      <c r="EK371" s="308"/>
      <c r="EL371" s="308"/>
      <c r="EM371" s="308"/>
      <c r="EN371" s="308"/>
      <c r="EO371" s="41"/>
      <c r="EP371" s="41"/>
      <c r="EQ371" s="41"/>
      <c r="ER371" s="256"/>
      <c r="ES371" s="293"/>
      <c r="ET371" s="293"/>
      <c r="EU371" s="293"/>
      <c r="EV371" s="293"/>
      <c r="EW371" s="41"/>
      <c r="EX371" s="41"/>
      <c r="EY371" s="41"/>
      <c r="EZ371" s="256"/>
      <c r="FA371" s="308"/>
      <c r="FB371" s="308"/>
      <c r="FC371" s="308"/>
      <c r="FD371" s="308"/>
      <c r="FE371" s="41"/>
      <c r="FF371" s="41"/>
      <c r="FG371" s="41"/>
      <c r="FH371" s="256"/>
      <c r="FI371" s="41"/>
      <c r="FJ371" s="41"/>
      <c r="FK371" s="41"/>
      <c r="FL371" s="276"/>
    </row>
    <row r="372" spans="1:168">
      <c r="A372" s="45">
        <v>365</v>
      </c>
      <c r="B372" s="45" t="s">
        <v>210</v>
      </c>
      <c r="C372" s="45">
        <v>5</v>
      </c>
      <c r="D372" s="29" t="s">
        <v>200</v>
      </c>
      <c r="E372" s="30">
        <v>155</v>
      </c>
      <c r="F372" s="30">
        <v>5</v>
      </c>
      <c r="G372" s="246">
        <f>71318.016/1000</f>
        <v>71.318016</v>
      </c>
      <c r="H372" s="45">
        <v>71318.016000000003</v>
      </c>
      <c r="I372" s="45">
        <v>0</v>
      </c>
      <c r="J372" s="397">
        <v>218.39893000000004</v>
      </c>
      <c r="K372" s="495">
        <f t="shared" si="35"/>
        <v>289.71694600000001</v>
      </c>
      <c r="L372" s="578"/>
      <c r="M372" s="45">
        <f t="shared" si="37"/>
        <v>0</v>
      </c>
      <c r="N372" s="46">
        <f t="shared" si="40"/>
        <v>289.71694600000001</v>
      </c>
      <c r="O372" s="46">
        <f t="shared" si="36"/>
        <v>230</v>
      </c>
      <c r="P372" s="234" t="s">
        <v>250</v>
      </c>
      <c r="Q372" s="46">
        <v>1</v>
      </c>
      <c r="R372" s="450" t="s">
        <v>224</v>
      </c>
      <c r="S372" s="257">
        <v>90000</v>
      </c>
      <c r="T372" s="46"/>
      <c r="U372" s="46"/>
      <c r="V372" s="46"/>
      <c r="W372" s="46"/>
      <c r="X372" s="196"/>
      <c r="Y372" s="46"/>
      <c r="Z372" s="46"/>
      <c r="AA372" s="46"/>
      <c r="AB372" s="46"/>
      <c r="AC372" s="46"/>
      <c r="AD372" s="46"/>
      <c r="AE372" s="46"/>
      <c r="AF372" s="196"/>
      <c r="AG372" s="46"/>
      <c r="AH372" s="46"/>
      <c r="AI372" s="46"/>
      <c r="AJ372" s="46"/>
      <c r="AK372" s="46"/>
      <c r="AL372" s="46"/>
      <c r="AM372" s="46"/>
      <c r="AN372" s="196"/>
      <c r="AO372" s="438"/>
      <c r="AP372" s="46"/>
      <c r="AQ372" s="368"/>
      <c r="AR372" s="257"/>
      <c r="AS372" s="196"/>
      <c r="AT372" s="46"/>
      <c r="AU372" s="46"/>
      <c r="AV372" s="196"/>
      <c r="AW372" s="257"/>
      <c r="AX372" s="196"/>
      <c r="AY372" s="191"/>
      <c r="AZ372" s="257"/>
      <c r="BA372" s="196"/>
      <c r="BB372" s="46"/>
      <c r="BC372" s="257"/>
      <c r="BD372" s="196"/>
      <c r="BE372" s="191"/>
      <c r="BF372" s="46"/>
      <c r="BG372" s="196"/>
      <c r="BH372" s="46"/>
      <c r="BI372" s="257"/>
      <c r="BJ372" s="196" t="s">
        <v>247</v>
      </c>
      <c r="BK372" s="191">
        <v>40</v>
      </c>
      <c r="BL372" s="257">
        <f>BK372*2500</f>
        <v>100000</v>
      </c>
      <c r="BM372" s="196"/>
      <c r="BN372" s="46"/>
      <c r="BO372" s="257"/>
      <c r="BP372" s="196"/>
      <c r="BQ372" s="190"/>
      <c r="BR372" s="46"/>
      <c r="BS372" s="196"/>
      <c r="BT372" s="46"/>
      <c r="BU372" s="257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196"/>
      <c r="CI372" s="46"/>
      <c r="CJ372" s="46"/>
      <c r="CK372" s="46"/>
      <c r="CL372" s="46"/>
      <c r="CM372" s="46"/>
      <c r="CN372" s="196"/>
      <c r="CO372" s="191"/>
      <c r="CP372" s="257"/>
      <c r="CQ372" s="196"/>
      <c r="CR372" s="167"/>
      <c r="CS372" s="257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191"/>
      <c r="DN372" s="46"/>
      <c r="DO372" s="196"/>
      <c r="DP372" s="221" t="s">
        <v>571</v>
      </c>
      <c r="DQ372" s="257">
        <f>DW372+EC372+EJ372+ER372+EZ372+FH372+40000</f>
        <v>40000</v>
      </c>
      <c r="DR372" s="294"/>
      <c r="DS372" s="295"/>
      <c r="DT372" s="386">
        <f t="shared" si="39"/>
        <v>0</v>
      </c>
      <c r="DU372" s="41"/>
      <c r="DV372" s="41"/>
      <c r="DW372" s="256"/>
      <c r="DX372" s="41"/>
      <c r="DY372" s="41"/>
      <c r="DZ372" s="68"/>
      <c r="EA372" s="41"/>
      <c r="EB372" s="41"/>
      <c r="EC372" s="256"/>
      <c r="ED372" s="308"/>
      <c r="EE372" s="308"/>
      <c r="EF372" s="308"/>
      <c r="EG372" s="41"/>
      <c r="EH372" s="41"/>
      <c r="EI372" s="41"/>
      <c r="EJ372" s="69"/>
      <c r="EK372" s="308"/>
      <c r="EL372" s="308"/>
      <c r="EM372" s="308"/>
      <c r="EN372" s="308"/>
      <c r="EO372" s="41"/>
      <c r="EP372" s="41"/>
      <c r="EQ372" s="41"/>
      <c r="ER372" s="256"/>
      <c r="ES372" s="293"/>
      <c r="ET372" s="293"/>
      <c r="EU372" s="293"/>
      <c r="EV372" s="293"/>
      <c r="EW372" s="41"/>
      <c r="EX372" s="41"/>
      <c r="EY372" s="41"/>
      <c r="EZ372" s="256"/>
      <c r="FA372" s="308"/>
      <c r="FB372" s="308"/>
      <c r="FC372" s="308"/>
      <c r="FD372" s="308"/>
      <c r="FE372" s="46"/>
      <c r="FF372" s="41"/>
      <c r="FG372" s="41"/>
      <c r="FH372" s="256"/>
      <c r="FI372" s="41"/>
      <c r="FJ372" s="41"/>
      <c r="FK372" s="41"/>
      <c r="FL372" s="276"/>
    </row>
    <row r="373" spans="1:168">
      <c r="A373" s="45">
        <v>366</v>
      </c>
      <c r="B373" s="45" t="s">
        <v>210</v>
      </c>
      <c r="C373" s="45">
        <v>5</v>
      </c>
      <c r="D373" s="29" t="s">
        <v>517</v>
      </c>
      <c r="E373" s="175" t="s">
        <v>518</v>
      </c>
      <c r="F373" s="188">
        <v>7</v>
      </c>
      <c r="G373" s="246">
        <f>43986.3479999999/1000</f>
        <v>43.9863479999999</v>
      </c>
      <c r="H373" s="45">
        <v>0</v>
      </c>
      <c r="I373" s="45">
        <v>43986.347999999998</v>
      </c>
      <c r="J373" s="397">
        <v>114.90131999999998</v>
      </c>
      <c r="K373" s="495">
        <f t="shared" si="35"/>
        <v>158.88766799999988</v>
      </c>
      <c r="L373" s="578"/>
      <c r="M373" s="45">
        <f t="shared" si="37"/>
        <v>0</v>
      </c>
      <c r="N373" s="46">
        <f>K373-M373</f>
        <v>158.88766799999988</v>
      </c>
      <c r="O373" s="46">
        <f t="shared" si="36"/>
        <v>139.6</v>
      </c>
      <c r="P373" s="234" t="s">
        <v>250</v>
      </c>
      <c r="Q373" s="46">
        <v>1</v>
      </c>
      <c r="R373" s="450" t="s">
        <v>523</v>
      </c>
      <c r="S373" s="257">
        <v>90000</v>
      </c>
      <c r="T373" s="46"/>
      <c r="U373" s="46"/>
      <c r="V373" s="46"/>
      <c r="W373" s="46"/>
      <c r="X373" s="196"/>
      <c r="Y373" s="46"/>
      <c r="Z373" s="46"/>
      <c r="AA373" s="46"/>
      <c r="AB373" s="46"/>
      <c r="AC373" s="46"/>
      <c r="AD373" s="46"/>
      <c r="AE373" s="46"/>
      <c r="AF373" s="196"/>
      <c r="AG373" s="46"/>
      <c r="AH373" s="46"/>
      <c r="AI373" s="46"/>
      <c r="AJ373" s="46"/>
      <c r="AK373" s="46"/>
      <c r="AL373" s="46"/>
      <c r="AM373" s="46"/>
      <c r="AN373" s="196"/>
      <c r="AO373" s="438"/>
      <c r="AP373" s="46"/>
      <c r="AQ373" s="368"/>
      <c r="AR373" s="257"/>
      <c r="AS373" s="196"/>
      <c r="AT373" s="46"/>
      <c r="AU373" s="46"/>
      <c r="AV373" s="196"/>
      <c r="AW373" s="257"/>
      <c r="AX373" s="196"/>
      <c r="AY373" s="191"/>
      <c r="AZ373" s="257"/>
      <c r="BA373" s="196"/>
      <c r="BB373" s="46"/>
      <c r="BC373" s="257"/>
      <c r="BD373" s="196"/>
      <c r="BE373" s="191"/>
      <c r="BF373" s="46"/>
      <c r="BG373" s="196"/>
      <c r="BH373" s="46"/>
      <c r="BI373" s="257"/>
      <c r="BJ373" s="196"/>
      <c r="BK373" s="191"/>
      <c r="BL373" s="257"/>
      <c r="BM373" s="196"/>
      <c r="BN373" s="46"/>
      <c r="BO373" s="257"/>
      <c r="BP373" s="196"/>
      <c r="BQ373" s="190"/>
      <c r="BR373" s="46"/>
      <c r="BS373" s="196"/>
      <c r="BT373" s="46"/>
      <c r="BU373" s="257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196"/>
      <c r="CI373" s="46"/>
      <c r="CJ373" s="46"/>
      <c r="CK373" s="46"/>
      <c r="CL373" s="46"/>
      <c r="CM373" s="46"/>
      <c r="CN373" s="196"/>
      <c r="CO373" s="191"/>
      <c r="CP373" s="257"/>
      <c r="CQ373" s="196"/>
      <c r="CR373" s="167"/>
      <c r="CS373" s="257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191"/>
      <c r="DN373" s="46"/>
      <c r="DO373" s="196"/>
      <c r="DP373" s="221" t="s">
        <v>833</v>
      </c>
      <c r="DQ373" s="257">
        <f t="shared" si="38"/>
        <v>49600</v>
      </c>
      <c r="DR373" s="294"/>
      <c r="DS373" s="295"/>
      <c r="DT373" s="386">
        <f t="shared" si="39"/>
        <v>0</v>
      </c>
      <c r="DU373" s="41"/>
      <c r="DV373" s="41"/>
      <c r="DW373" s="256"/>
      <c r="DX373" s="41"/>
      <c r="DY373" s="41"/>
      <c r="DZ373" s="68"/>
      <c r="EA373" s="41">
        <v>5</v>
      </c>
      <c r="EB373" s="41">
        <v>62</v>
      </c>
      <c r="EC373" s="256">
        <f>EB373*800</f>
        <v>49600</v>
      </c>
      <c r="ED373" s="308"/>
      <c r="EE373" s="308"/>
      <c r="EF373" s="308"/>
      <c r="EG373" s="41"/>
      <c r="EH373" s="41"/>
      <c r="EI373" s="41"/>
      <c r="EJ373" s="69"/>
      <c r="EK373" s="308"/>
      <c r="EL373" s="308"/>
      <c r="EM373" s="308"/>
      <c r="EN373" s="308"/>
      <c r="EO373" s="41"/>
      <c r="EP373" s="41"/>
      <c r="EQ373" s="41"/>
      <c r="ER373" s="256"/>
      <c r="ES373" s="293"/>
      <c r="ET373" s="293"/>
      <c r="EU373" s="293"/>
      <c r="EV373" s="293"/>
      <c r="EW373" s="41"/>
      <c r="EX373" s="41"/>
      <c r="EY373" s="41"/>
      <c r="EZ373" s="256"/>
      <c r="FA373" s="308"/>
      <c r="FB373" s="308"/>
      <c r="FC373" s="308"/>
      <c r="FD373" s="308"/>
      <c r="FE373" s="41"/>
      <c r="FF373" s="41"/>
      <c r="FG373" s="41"/>
      <c r="FH373" s="256"/>
      <c r="FI373" s="41"/>
      <c r="FJ373" s="41"/>
      <c r="FK373" s="41"/>
      <c r="FL373" s="276"/>
    </row>
    <row r="374" spans="1:168" ht="20.25">
      <c r="A374" s="45">
        <v>367</v>
      </c>
      <c r="B374" s="45"/>
      <c r="C374" s="45"/>
      <c r="D374" s="29" t="s">
        <v>200</v>
      </c>
      <c r="E374" s="175">
        <v>163</v>
      </c>
      <c r="F374" s="188">
        <v>5</v>
      </c>
      <c r="G374" s="246">
        <f>51692.256/1000</f>
        <v>51.692256</v>
      </c>
      <c r="H374" s="45">
        <v>51692.256000000001</v>
      </c>
      <c r="I374" s="45">
        <v>0</v>
      </c>
      <c r="J374" s="397">
        <v>76.559719999999999</v>
      </c>
      <c r="K374" s="495">
        <f t="shared" si="35"/>
        <v>128.25197600000001</v>
      </c>
      <c r="L374" s="578"/>
      <c r="M374" s="45">
        <f t="shared" si="37"/>
        <v>0</v>
      </c>
      <c r="N374" s="46">
        <f>K374-M374</f>
        <v>128.25197600000001</v>
      </c>
      <c r="O374" s="46">
        <f t="shared" si="36"/>
        <v>55</v>
      </c>
      <c r="P374" s="234"/>
      <c r="Q374" s="46"/>
      <c r="R374" s="450"/>
      <c r="S374" s="257"/>
      <c r="T374" s="46"/>
      <c r="U374" s="46"/>
      <c r="V374" s="46"/>
      <c r="W374" s="46"/>
      <c r="X374" s="196"/>
      <c r="Y374" s="46"/>
      <c r="Z374" s="46"/>
      <c r="AA374" s="46"/>
      <c r="AB374" s="46"/>
      <c r="AC374" s="46"/>
      <c r="AD374" s="46"/>
      <c r="AE374" s="46"/>
      <c r="AF374" s="196"/>
      <c r="AG374" s="46"/>
      <c r="AH374" s="46"/>
      <c r="AI374" s="46"/>
      <c r="AJ374" s="46"/>
      <c r="AK374" s="46"/>
      <c r="AL374" s="46"/>
      <c r="AM374" s="46"/>
      <c r="AN374" s="196"/>
      <c r="AO374" s="438"/>
      <c r="AP374" s="46"/>
      <c r="AQ374" s="368"/>
      <c r="AR374" s="257"/>
      <c r="AS374" s="196"/>
      <c r="AT374" s="46"/>
      <c r="AU374" s="46"/>
      <c r="AV374" s="196"/>
      <c r="AW374" s="257"/>
      <c r="AX374" s="196"/>
      <c r="AY374" s="191"/>
      <c r="AZ374" s="257"/>
      <c r="BA374" s="196"/>
      <c r="BB374" s="46"/>
      <c r="BC374" s="257"/>
      <c r="BD374" s="196"/>
      <c r="BE374" s="191"/>
      <c r="BF374" s="46"/>
      <c r="BG374" s="196"/>
      <c r="BH374" s="46"/>
      <c r="BI374" s="257"/>
      <c r="BJ374" s="196"/>
      <c r="BK374" s="191"/>
      <c r="BL374" s="257"/>
      <c r="BM374" s="196"/>
      <c r="BN374" s="46"/>
      <c r="BO374" s="257"/>
      <c r="BP374" s="196"/>
      <c r="BQ374" s="190"/>
      <c r="BR374" s="46"/>
      <c r="BS374" s="196"/>
      <c r="BT374" s="46"/>
      <c r="BU374" s="257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196"/>
      <c r="CI374" s="46"/>
      <c r="CJ374" s="46"/>
      <c r="CK374" s="46"/>
      <c r="CL374" s="46"/>
      <c r="CM374" s="46"/>
      <c r="CN374" s="196"/>
      <c r="CO374" s="191"/>
      <c r="CP374" s="257"/>
      <c r="CQ374" s="196"/>
      <c r="CR374" s="167"/>
      <c r="CS374" s="257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191"/>
      <c r="DN374" s="46"/>
      <c r="DO374" s="196"/>
      <c r="DP374" s="221" t="s">
        <v>996</v>
      </c>
      <c r="DQ374" s="257">
        <f t="shared" si="38"/>
        <v>55000</v>
      </c>
      <c r="DR374" s="294"/>
      <c r="DS374" s="295"/>
      <c r="DT374" s="386">
        <f t="shared" si="39"/>
        <v>0</v>
      </c>
      <c r="DU374" s="41"/>
      <c r="DV374" s="41"/>
      <c r="DW374" s="256"/>
      <c r="DX374" s="41"/>
      <c r="DY374" s="41"/>
      <c r="DZ374" s="68"/>
      <c r="EA374" s="41"/>
      <c r="EB374" s="41"/>
      <c r="EC374" s="256"/>
      <c r="ED374" s="308"/>
      <c r="EE374" s="308"/>
      <c r="EF374" s="308"/>
      <c r="EG374" s="41"/>
      <c r="EH374" s="41"/>
      <c r="EI374" s="41"/>
      <c r="EJ374" s="69"/>
      <c r="EK374" s="308"/>
      <c r="EL374" s="308"/>
      <c r="EM374" s="308"/>
      <c r="EN374" s="308"/>
      <c r="EO374" s="41">
        <v>11</v>
      </c>
      <c r="EP374" s="41">
        <v>2</v>
      </c>
      <c r="EQ374" s="41">
        <v>1.2</v>
      </c>
      <c r="ER374" s="256">
        <v>40000</v>
      </c>
      <c r="ES374" s="293"/>
      <c r="ET374" s="293"/>
      <c r="EU374" s="293"/>
      <c r="EV374" s="293"/>
      <c r="EW374" s="41">
        <v>9</v>
      </c>
      <c r="EX374" s="41">
        <v>1</v>
      </c>
      <c r="EY374" s="41">
        <v>12</v>
      </c>
      <c r="EZ374" s="256">
        <f>15000</f>
        <v>15000</v>
      </c>
      <c r="FA374" s="308"/>
      <c r="FB374" s="308"/>
      <c r="FC374" s="308"/>
      <c r="FD374" s="308"/>
      <c r="FE374" s="41"/>
      <c r="FF374" s="41"/>
      <c r="FG374" s="41"/>
      <c r="FH374" s="256"/>
      <c r="FI374" s="41"/>
      <c r="FJ374" s="41"/>
      <c r="FK374" s="41"/>
      <c r="FL374" s="276"/>
    </row>
    <row r="375" spans="1:168">
      <c r="A375" s="45">
        <v>368</v>
      </c>
      <c r="B375" s="45" t="s">
        <v>210</v>
      </c>
      <c r="C375" s="45">
        <v>5</v>
      </c>
      <c r="D375" s="29" t="s">
        <v>519</v>
      </c>
      <c r="E375" s="175">
        <v>164</v>
      </c>
      <c r="F375" s="188">
        <v>7</v>
      </c>
      <c r="G375" s="246">
        <f>44802.072/1000</f>
        <v>44.802072000000003</v>
      </c>
      <c r="H375" s="45">
        <v>0</v>
      </c>
      <c r="I375" s="45">
        <v>44802.071999999993</v>
      </c>
      <c r="J375" s="397">
        <v>8.0048200000000094</v>
      </c>
      <c r="K375" s="495">
        <f t="shared" si="35"/>
        <v>52.806892000000012</v>
      </c>
      <c r="L375" s="578"/>
      <c r="M375" s="45">
        <f t="shared" si="37"/>
        <v>0</v>
      </c>
      <c r="N375" s="46">
        <f>K375-M375</f>
        <v>52.806892000000012</v>
      </c>
      <c r="O375" s="46">
        <f t="shared" si="36"/>
        <v>49.6</v>
      </c>
      <c r="P375" s="234"/>
      <c r="Q375" s="46"/>
      <c r="R375" s="450"/>
      <c r="S375" s="257"/>
      <c r="T375" s="46"/>
      <c r="U375" s="46"/>
      <c r="V375" s="46"/>
      <c r="W375" s="46"/>
      <c r="X375" s="196"/>
      <c r="Y375" s="46"/>
      <c r="Z375" s="46"/>
      <c r="AA375" s="46"/>
      <c r="AB375" s="46"/>
      <c r="AC375" s="46"/>
      <c r="AD375" s="46"/>
      <c r="AE375" s="46"/>
      <c r="AF375" s="196"/>
      <c r="AG375" s="46"/>
      <c r="AH375" s="46"/>
      <c r="AI375" s="46"/>
      <c r="AJ375" s="46"/>
      <c r="AK375" s="46"/>
      <c r="AL375" s="46"/>
      <c r="AM375" s="46"/>
      <c r="AN375" s="196"/>
      <c r="AO375" s="438"/>
      <c r="AP375" s="46"/>
      <c r="AQ375" s="368"/>
      <c r="AR375" s="257"/>
      <c r="AS375" s="196"/>
      <c r="AT375" s="46"/>
      <c r="AU375" s="46"/>
      <c r="AV375" s="196"/>
      <c r="AW375" s="257"/>
      <c r="AX375" s="196"/>
      <c r="AY375" s="191"/>
      <c r="AZ375" s="257"/>
      <c r="BA375" s="196"/>
      <c r="BB375" s="46"/>
      <c r="BC375" s="257"/>
      <c r="BD375" s="196"/>
      <c r="BE375" s="191"/>
      <c r="BF375" s="46"/>
      <c r="BG375" s="196"/>
      <c r="BH375" s="46"/>
      <c r="BI375" s="257"/>
      <c r="BJ375" s="196"/>
      <c r="BK375" s="191"/>
      <c r="BL375" s="257"/>
      <c r="BM375" s="196"/>
      <c r="BN375" s="46"/>
      <c r="BO375" s="257"/>
      <c r="BP375" s="196"/>
      <c r="BQ375" s="190"/>
      <c r="BR375" s="46"/>
      <c r="BS375" s="196"/>
      <c r="BT375" s="46"/>
      <c r="BU375" s="257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196"/>
      <c r="CI375" s="46"/>
      <c r="CJ375" s="46"/>
      <c r="CK375" s="46"/>
      <c r="CL375" s="46"/>
      <c r="CM375" s="46"/>
      <c r="CN375" s="196"/>
      <c r="CO375" s="191"/>
      <c r="CP375" s="257"/>
      <c r="CQ375" s="196"/>
      <c r="CR375" s="167"/>
      <c r="CS375" s="257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191"/>
      <c r="DN375" s="46"/>
      <c r="DO375" s="196"/>
      <c r="DP375" s="581" t="s">
        <v>833</v>
      </c>
      <c r="DQ375" s="257">
        <f t="shared" si="38"/>
        <v>49600</v>
      </c>
      <c r="DR375" s="294"/>
      <c r="DS375" s="295"/>
      <c r="DT375" s="386">
        <f t="shared" si="39"/>
        <v>0</v>
      </c>
      <c r="DU375" s="41"/>
      <c r="DV375" s="41"/>
      <c r="DW375" s="256"/>
      <c r="DX375" s="41"/>
      <c r="DY375" s="41"/>
      <c r="DZ375" s="68"/>
      <c r="EA375" s="41">
        <v>4</v>
      </c>
      <c r="EB375" s="41">
        <v>62</v>
      </c>
      <c r="EC375" s="256">
        <f>EB375*800</f>
        <v>49600</v>
      </c>
      <c r="ED375" s="308"/>
      <c r="EE375" s="308"/>
      <c r="EF375" s="308"/>
      <c r="EG375" s="41"/>
      <c r="EH375" s="41"/>
      <c r="EI375" s="41"/>
      <c r="EJ375" s="69"/>
      <c r="EK375" s="308"/>
      <c r="EL375" s="308"/>
      <c r="EM375" s="308"/>
      <c r="EN375" s="308"/>
      <c r="EO375" s="41"/>
      <c r="EP375" s="41"/>
      <c r="EQ375" s="41"/>
      <c r="ER375" s="256"/>
      <c r="ES375" s="293"/>
      <c r="ET375" s="293"/>
      <c r="EU375" s="293"/>
      <c r="EV375" s="293"/>
      <c r="EW375" s="41"/>
      <c r="EX375" s="41"/>
      <c r="EY375" s="41"/>
      <c r="EZ375" s="256"/>
      <c r="FA375" s="308"/>
      <c r="FB375" s="308"/>
      <c r="FC375" s="308"/>
      <c r="FD375" s="308"/>
      <c r="FE375" s="41"/>
      <c r="FF375" s="41"/>
      <c r="FG375" s="41"/>
      <c r="FH375" s="256"/>
      <c r="FI375" s="41"/>
      <c r="FJ375" s="41"/>
      <c r="FK375" s="41"/>
      <c r="FL375" s="276"/>
    </row>
    <row r="376" spans="1:168">
      <c r="A376" s="45">
        <v>369</v>
      </c>
      <c r="B376" s="45" t="s">
        <v>210</v>
      </c>
      <c r="C376" s="45">
        <v>5</v>
      </c>
      <c r="D376" s="29" t="s">
        <v>200</v>
      </c>
      <c r="E376" s="30">
        <v>165</v>
      </c>
      <c r="F376" s="30">
        <v>5</v>
      </c>
      <c r="G376" s="246">
        <f>34353.396/1000</f>
        <v>34.353396000000004</v>
      </c>
      <c r="H376" s="45">
        <v>34353.396000000001</v>
      </c>
      <c r="I376" s="45">
        <v>0</v>
      </c>
      <c r="J376" s="397">
        <v>-6.2081299999999899</v>
      </c>
      <c r="K376" s="495">
        <f t="shared" si="35"/>
        <v>28.145266000000014</v>
      </c>
      <c r="L376" s="578"/>
      <c r="M376" s="45">
        <f t="shared" si="37"/>
        <v>0</v>
      </c>
      <c r="N376" s="46">
        <f t="shared" si="40"/>
        <v>28.145266000000014</v>
      </c>
      <c r="O376" s="46">
        <f t="shared" si="36"/>
        <v>28</v>
      </c>
      <c r="P376" s="234"/>
      <c r="Q376" s="46"/>
      <c r="R376" s="450"/>
      <c r="S376" s="257"/>
      <c r="T376" s="46"/>
      <c r="U376" s="46"/>
      <c r="V376" s="46"/>
      <c r="W376" s="46"/>
      <c r="X376" s="196"/>
      <c r="Y376" s="46"/>
      <c r="Z376" s="46"/>
      <c r="AA376" s="46"/>
      <c r="AB376" s="46"/>
      <c r="AC376" s="46"/>
      <c r="AD376" s="46"/>
      <c r="AE376" s="46"/>
      <c r="AF376" s="196"/>
      <c r="AG376" s="46"/>
      <c r="AH376" s="46"/>
      <c r="AI376" s="46"/>
      <c r="AJ376" s="46"/>
      <c r="AK376" s="46"/>
      <c r="AL376" s="46"/>
      <c r="AM376" s="46"/>
      <c r="AN376" s="196"/>
      <c r="AO376" s="438"/>
      <c r="AP376" s="46"/>
      <c r="AQ376" s="368"/>
      <c r="AR376" s="257"/>
      <c r="AS376" s="196"/>
      <c r="AT376" s="46"/>
      <c r="AU376" s="46"/>
      <c r="AV376" s="196"/>
      <c r="AW376" s="257"/>
      <c r="AX376" s="196"/>
      <c r="AY376" s="191"/>
      <c r="AZ376" s="257"/>
      <c r="BA376" s="196"/>
      <c r="BB376" s="46"/>
      <c r="BC376" s="257"/>
      <c r="BD376" s="196"/>
      <c r="BE376" s="191"/>
      <c r="BF376" s="46"/>
      <c r="BG376" s="196"/>
      <c r="BH376" s="46"/>
      <c r="BI376" s="257"/>
      <c r="BJ376" s="196"/>
      <c r="BK376" s="191"/>
      <c r="BL376" s="257"/>
      <c r="BM376" s="196"/>
      <c r="BN376" s="46"/>
      <c r="BO376" s="257"/>
      <c r="BP376" s="196"/>
      <c r="BQ376" s="190"/>
      <c r="BR376" s="46"/>
      <c r="BS376" s="196"/>
      <c r="BT376" s="46"/>
      <c r="BU376" s="257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196"/>
      <c r="CI376" s="46"/>
      <c r="CJ376" s="46"/>
      <c r="CK376" s="46"/>
      <c r="CL376" s="46"/>
      <c r="CM376" s="46"/>
      <c r="CN376" s="196"/>
      <c r="CO376" s="191"/>
      <c r="CP376" s="257"/>
      <c r="CQ376" s="196"/>
      <c r="CR376" s="167"/>
      <c r="CS376" s="257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191"/>
      <c r="DN376" s="46"/>
      <c r="DO376" s="196"/>
      <c r="DP376" s="221" t="s">
        <v>531</v>
      </c>
      <c r="DQ376" s="257">
        <f>DW376+EC376+EJ376+ER376+EZ376+FH376+28000</f>
        <v>28000</v>
      </c>
      <c r="DR376" s="294"/>
      <c r="DS376" s="295"/>
      <c r="DT376" s="386">
        <f t="shared" si="39"/>
        <v>0</v>
      </c>
      <c r="DU376" s="41"/>
      <c r="DV376" s="41"/>
      <c r="DW376" s="256"/>
      <c r="DX376" s="41"/>
      <c r="DY376" s="41"/>
      <c r="DZ376" s="68"/>
      <c r="EA376" s="41"/>
      <c r="EB376" s="41"/>
      <c r="EC376" s="256"/>
      <c r="ED376" s="308"/>
      <c r="EE376" s="308"/>
      <c r="EF376" s="308"/>
      <c r="EG376" s="41"/>
      <c r="EH376" s="41"/>
      <c r="EI376" s="41"/>
      <c r="EJ376" s="69"/>
      <c r="EK376" s="308"/>
      <c r="EL376" s="308"/>
      <c r="EM376" s="308"/>
      <c r="EN376" s="308"/>
      <c r="EO376" s="41"/>
      <c r="EP376" s="41"/>
      <c r="EQ376" s="41"/>
      <c r="ER376" s="256"/>
      <c r="ES376" s="293"/>
      <c r="ET376" s="293"/>
      <c r="EU376" s="293"/>
      <c r="EV376" s="293"/>
      <c r="EW376" s="41"/>
      <c r="EX376" s="41"/>
      <c r="EY376" s="41"/>
      <c r="EZ376" s="256"/>
      <c r="FA376" s="308"/>
      <c r="FB376" s="308"/>
      <c r="FC376" s="308"/>
      <c r="FD376" s="308"/>
      <c r="FE376" s="46"/>
      <c r="FF376" s="41"/>
      <c r="FG376" s="41"/>
      <c r="FH376" s="256"/>
      <c r="FI376" s="41"/>
      <c r="FJ376" s="41"/>
      <c r="FK376" s="41"/>
      <c r="FL376" s="276"/>
    </row>
    <row r="377" spans="1:168" ht="20.25">
      <c r="A377" s="45">
        <v>370</v>
      </c>
      <c r="B377" s="45" t="s">
        <v>210</v>
      </c>
      <c r="C377" s="45">
        <v>5</v>
      </c>
      <c r="D377" s="29" t="s">
        <v>200</v>
      </c>
      <c r="E377" s="30">
        <v>166</v>
      </c>
      <c r="F377" s="30">
        <v>7</v>
      </c>
      <c r="G377" s="246">
        <f>44906.652/1000</f>
        <v>44.906652000000001</v>
      </c>
      <c r="H377" s="45">
        <v>0</v>
      </c>
      <c r="I377" s="45">
        <v>44906.651999999995</v>
      </c>
      <c r="J377" s="397">
        <v>183.49932999999999</v>
      </c>
      <c r="K377" s="495">
        <f t="shared" si="35"/>
        <v>228.40598199999999</v>
      </c>
      <c r="L377" s="578"/>
      <c r="M377" s="45">
        <f t="shared" si="37"/>
        <v>0</v>
      </c>
      <c r="N377" s="46">
        <f t="shared" si="40"/>
        <v>228.40598199999999</v>
      </c>
      <c r="O377" s="46">
        <f t="shared" si="36"/>
        <v>155.6</v>
      </c>
      <c r="P377" s="234"/>
      <c r="Q377" s="46"/>
      <c r="R377" s="450"/>
      <c r="S377" s="257"/>
      <c r="T377" s="46"/>
      <c r="U377" s="46"/>
      <c r="V377" s="46"/>
      <c r="W377" s="46"/>
      <c r="X377" s="196"/>
      <c r="Y377" s="46"/>
      <c r="Z377" s="46"/>
      <c r="AA377" s="46"/>
      <c r="AB377" s="46"/>
      <c r="AC377" s="46"/>
      <c r="AD377" s="46"/>
      <c r="AE377" s="46"/>
      <c r="AF377" s="196"/>
      <c r="AG377" s="46"/>
      <c r="AH377" s="46"/>
      <c r="AI377" s="46"/>
      <c r="AJ377" s="46"/>
      <c r="AK377" s="46"/>
      <c r="AL377" s="46"/>
      <c r="AM377" s="46"/>
      <c r="AN377" s="196"/>
      <c r="AO377" s="438"/>
      <c r="AP377" s="162"/>
      <c r="AQ377" s="368"/>
      <c r="AR377" s="257"/>
      <c r="AS377" s="196"/>
      <c r="AT377" s="46"/>
      <c r="AU377" s="46"/>
      <c r="AV377" s="196"/>
      <c r="AW377" s="257"/>
      <c r="AX377" s="196"/>
      <c r="AY377" s="191"/>
      <c r="AZ377" s="257"/>
      <c r="BA377" s="196"/>
      <c r="BB377" s="46"/>
      <c r="BC377" s="257"/>
      <c r="BD377" s="196"/>
      <c r="BE377" s="191"/>
      <c r="BF377" s="46"/>
      <c r="BG377" s="196"/>
      <c r="BH377" s="46"/>
      <c r="BI377" s="257"/>
      <c r="BJ377" s="196"/>
      <c r="BK377" s="191"/>
      <c r="BL377" s="257"/>
      <c r="BM377" s="196"/>
      <c r="BN377" s="46"/>
      <c r="BO377" s="257"/>
      <c r="BP377" s="196"/>
      <c r="BQ377" s="190"/>
      <c r="BR377" s="46"/>
      <c r="BS377" s="196"/>
      <c r="BT377" s="46"/>
      <c r="BU377" s="257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196"/>
      <c r="CI377" s="46"/>
      <c r="CJ377" s="46"/>
      <c r="CK377" s="46"/>
      <c r="CL377" s="46"/>
      <c r="CM377" s="46"/>
      <c r="CN377" s="196"/>
      <c r="CO377" s="191"/>
      <c r="CP377" s="257"/>
      <c r="CQ377" s="196"/>
      <c r="CR377" s="167"/>
      <c r="CS377" s="257"/>
      <c r="CT377" s="46"/>
      <c r="CU377" s="46"/>
      <c r="CV377" s="46"/>
      <c r="CW377" s="46"/>
      <c r="CX377" s="46"/>
      <c r="CY377" s="46"/>
      <c r="CZ377" s="46">
        <v>8</v>
      </c>
      <c r="DA377" s="46">
        <v>67</v>
      </c>
      <c r="DB377" s="46">
        <f>DA377*1800</f>
        <v>120600</v>
      </c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191"/>
      <c r="DN377" s="46"/>
      <c r="DO377" s="196"/>
      <c r="DP377" s="221" t="s">
        <v>997</v>
      </c>
      <c r="DQ377" s="257">
        <f>DW377+EC377+EJ377+ER377+EZ377+FH377+15000</f>
        <v>35000</v>
      </c>
      <c r="DR377" s="294"/>
      <c r="DS377" s="295"/>
      <c r="DT377" s="386">
        <f t="shared" si="39"/>
        <v>0</v>
      </c>
      <c r="DU377" s="41"/>
      <c r="DV377" s="41"/>
      <c r="DW377" s="256"/>
      <c r="DX377" s="41"/>
      <c r="DY377" s="41"/>
      <c r="DZ377" s="68"/>
      <c r="EA377" s="41"/>
      <c r="EB377" s="41"/>
      <c r="EC377" s="256"/>
      <c r="ED377" s="308"/>
      <c r="EE377" s="308"/>
      <c r="EF377" s="308"/>
      <c r="EG377" s="41"/>
      <c r="EH377" s="41"/>
      <c r="EI377" s="41"/>
      <c r="EJ377" s="69"/>
      <c r="EK377" s="308"/>
      <c r="EL377" s="308"/>
      <c r="EM377" s="308"/>
      <c r="EN377" s="308"/>
      <c r="EO377" s="41">
        <v>6</v>
      </c>
      <c r="EP377" s="41">
        <v>1</v>
      </c>
      <c r="EQ377" s="41">
        <v>1</v>
      </c>
      <c r="ER377" s="256">
        <v>20000</v>
      </c>
      <c r="ES377" s="293"/>
      <c r="ET377" s="293"/>
      <c r="EU377" s="293"/>
      <c r="EV377" s="293"/>
      <c r="EW377" s="41"/>
      <c r="EX377" s="41"/>
      <c r="EY377" s="41"/>
      <c r="EZ377" s="256"/>
      <c r="FA377" s="308"/>
      <c r="FB377" s="308"/>
      <c r="FC377" s="308"/>
      <c r="FD377" s="308"/>
      <c r="FE377" s="41"/>
      <c r="FF377" s="41"/>
      <c r="FG377" s="41"/>
      <c r="FH377" s="256"/>
      <c r="FI377" s="41"/>
      <c r="FJ377" s="41"/>
      <c r="FK377" s="41"/>
      <c r="FL377" s="276"/>
    </row>
    <row r="378" spans="1:168">
      <c r="A378" s="45">
        <v>371</v>
      </c>
      <c r="B378" s="45" t="s">
        <v>210</v>
      </c>
      <c r="C378" s="45">
        <v>5</v>
      </c>
      <c r="D378" s="29" t="s">
        <v>203</v>
      </c>
      <c r="E378" s="30" t="s">
        <v>204</v>
      </c>
      <c r="F378" s="30">
        <v>7</v>
      </c>
      <c r="G378" s="246">
        <f>77105.7882/1000</f>
        <v>77.105788199999992</v>
      </c>
      <c r="H378" s="45">
        <v>0</v>
      </c>
      <c r="I378" s="45">
        <v>77105.788199999995</v>
      </c>
      <c r="J378" s="397">
        <v>102.80256300000003</v>
      </c>
      <c r="K378" s="495">
        <f t="shared" si="35"/>
        <v>179.90835120000003</v>
      </c>
      <c r="L378" s="578"/>
      <c r="M378" s="45">
        <f t="shared" si="37"/>
        <v>0</v>
      </c>
      <c r="N378" s="46">
        <f t="shared" si="40"/>
        <v>179.90835120000003</v>
      </c>
      <c r="O378" s="46">
        <f t="shared" si="36"/>
        <v>142</v>
      </c>
      <c r="P378" s="234" t="s">
        <v>250</v>
      </c>
      <c r="Q378" s="46">
        <v>1</v>
      </c>
      <c r="R378" s="450" t="s">
        <v>523</v>
      </c>
      <c r="S378" s="257">
        <v>90000</v>
      </c>
      <c r="T378" s="46"/>
      <c r="U378" s="46"/>
      <c r="V378" s="46"/>
      <c r="W378" s="46"/>
      <c r="X378" s="196"/>
      <c r="Y378" s="46"/>
      <c r="Z378" s="46"/>
      <c r="AA378" s="46"/>
      <c r="AB378" s="46"/>
      <c r="AC378" s="46"/>
      <c r="AD378" s="46"/>
      <c r="AE378" s="46"/>
      <c r="AF378" s="196"/>
      <c r="AG378" s="46"/>
      <c r="AH378" s="46"/>
      <c r="AI378" s="46"/>
      <c r="AJ378" s="46"/>
      <c r="AK378" s="46"/>
      <c r="AL378" s="46"/>
      <c r="AM378" s="46"/>
      <c r="AN378" s="196" t="s">
        <v>227</v>
      </c>
      <c r="AO378" s="438" t="s">
        <v>335</v>
      </c>
      <c r="AP378" s="46">
        <v>40</v>
      </c>
      <c r="AQ378" s="368" t="s">
        <v>247</v>
      </c>
      <c r="AR378" s="257">
        <f>AP378*1300</f>
        <v>52000</v>
      </c>
      <c r="AS378" s="196"/>
      <c r="AT378" s="46"/>
      <c r="AU378" s="46"/>
      <c r="AV378" s="196"/>
      <c r="AW378" s="257"/>
      <c r="AX378" s="196"/>
      <c r="AY378" s="191"/>
      <c r="AZ378" s="257"/>
      <c r="BA378" s="196"/>
      <c r="BB378" s="46"/>
      <c r="BC378" s="257"/>
      <c r="BD378" s="196"/>
      <c r="BE378" s="191"/>
      <c r="BF378" s="46"/>
      <c r="BG378" s="196"/>
      <c r="BH378" s="46"/>
      <c r="BI378" s="257"/>
      <c r="BJ378" s="196"/>
      <c r="BK378" s="191"/>
      <c r="BL378" s="257"/>
      <c r="BM378" s="196"/>
      <c r="BN378" s="46"/>
      <c r="BO378" s="257"/>
      <c r="BP378" s="196"/>
      <c r="BQ378" s="190"/>
      <c r="BR378" s="46"/>
      <c r="BS378" s="196"/>
      <c r="BT378" s="46"/>
      <c r="BU378" s="257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196"/>
      <c r="CI378" s="46"/>
      <c r="CJ378" s="46"/>
      <c r="CK378" s="46"/>
      <c r="CL378" s="46"/>
      <c r="CM378" s="46"/>
      <c r="CN378" s="196"/>
      <c r="CO378" s="191"/>
      <c r="CP378" s="257"/>
      <c r="CQ378" s="196"/>
      <c r="CR378" s="167"/>
      <c r="CS378" s="257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191"/>
      <c r="DN378" s="46"/>
      <c r="DO378" s="196"/>
      <c r="DP378" s="581"/>
      <c r="DQ378" s="257">
        <f t="shared" si="38"/>
        <v>0</v>
      </c>
      <c r="DR378" s="294"/>
      <c r="DS378" s="295"/>
      <c r="DT378" s="386">
        <f t="shared" si="39"/>
        <v>0</v>
      </c>
      <c r="DU378" s="41"/>
      <c r="DV378" s="41"/>
      <c r="DW378" s="256"/>
      <c r="DX378" s="46"/>
      <c r="DY378" s="41"/>
      <c r="DZ378" s="68"/>
      <c r="EA378" s="41"/>
      <c r="EB378" s="41"/>
      <c r="EC378" s="256"/>
      <c r="ED378" s="308"/>
      <c r="EE378" s="308"/>
      <c r="EF378" s="308"/>
      <c r="EG378" s="41"/>
      <c r="EH378" s="41"/>
      <c r="EI378" s="41"/>
      <c r="EJ378" s="69"/>
      <c r="EK378" s="308"/>
      <c r="EL378" s="308"/>
      <c r="EM378" s="308"/>
      <c r="EN378" s="308"/>
      <c r="EO378" s="41"/>
      <c r="EP378" s="41"/>
      <c r="EQ378" s="41"/>
      <c r="ER378" s="256"/>
      <c r="ES378" s="293"/>
      <c r="ET378" s="293"/>
      <c r="EU378" s="293"/>
      <c r="EV378" s="293"/>
      <c r="EW378" s="41"/>
      <c r="EX378" s="41"/>
      <c r="EY378" s="41"/>
      <c r="EZ378" s="256"/>
      <c r="FA378" s="308"/>
      <c r="FB378" s="308"/>
      <c r="FC378" s="308"/>
      <c r="FD378" s="308"/>
      <c r="FE378" s="41"/>
      <c r="FF378" s="41"/>
      <c r="FG378" s="41"/>
      <c r="FH378" s="256"/>
      <c r="FI378" s="41"/>
      <c r="FJ378" s="41"/>
      <c r="FK378" s="41"/>
      <c r="FL378" s="276"/>
    </row>
    <row r="379" spans="1:168">
      <c r="A379" s="45">
        <v>372</v>
      </c>
      <c r="B379" s="45" t="s">
        <v>210</v>
      </c>
      <c r="C379" s="45">
        <v>5</v>
      </c>
      <c r="D379" s="29" t="s">
        <v>200</v>
      </c>
      <c r="E379" s="30" t="s">
        <v>205</v>
      </c>
      <c r="F379" s="30">
        <v>7</v>
      </c>
      <c r="G379" s="246">
        <f>66554.712/1000</f>
        <v>66.554711999999995</v>
      </c>
      <c r="H379" s="45">
        <v>0</v>
      </c>
      <c r="I379" s="45">
        <v>66554.712</v>
      </c>
      <c r="J379" s="397">
        <v>42.487259999999999</v>
      </c>
      <c r="K379" s="495">
        <f t="shared" si="35"/>
        <v>109.04197199999999</v>
      </c>
      <c r="L379" s="578"/>
      <c r="M379" s="45">
        <f t="shared" si="37"/>
        <v>0</v>
      </c>
      <c r="N379" s="46">
        <f t="shared" si="40"/>
        <v>109.04197199999999</v>
      </c>
      <c r="O379" s="46">
        <f t="shared" si="36"/>
        <v>103.8</v>
      </c>
      <c r="P379" s="234"/>
      <c r="Q379" s="46"/>
      <c r="R379" s="450"/>
      <c r="S379" s="257"/>
      <c r="T379" s="46"/>
      <c r="U379" s="46"/>
      <c r="V379" s="46"/>
      <c r="W379" s="46"/>
      <c r="X379" s="196"/>
      <c r="Y379" s="46"/>
      <c r="Z379" s="46"/>
      <c r="AA379" s="46"/>
      <c r="AB379" s="46"/>
      <c r="AC379" s="46"/>
      <c r="AD379" s="46"/>
      <c r="AE379" s="46"/>
      <c r="AF379" s="196"/>
      <c r="AG379" s="46"/>
      <c r="AH379" s="46"/>
      <c r="AI379" s="46"/>
      <c r="AJ379" s="46"/>
      <c r="AK379" s="46"/>
      <c r="AL379" s="46"/>
      <c r="AM379" s="46"/>
      <c r="AN379" s="196" t="s">
        <v>249</v>
      </c>
      <c r="AO379" s="438" t="s">
        <v>335</v>
      </c>
      <c r="AP379" s="162">
        <v>26</v>
      </c>
      <c r="AQ379" s="368" t="s">
        <v>550</v>
      </c>
      <c r="AR379" s="257">
        <f>AP379*1300</f>
        <v>33800</v>
      </c>
      <c r="AS379" s="196"/>
      <c r="AT379" s="46"/>
      <c r="AU379" s="46"/>
      <c r="AV379" s="196"/>
      <c r="AW379" s="257"/>
      <c r="AX379" s="196"/>
      <c r="AY379" s="191"/>
      <c r="AZ379" s="257"/>
      <c r="BA379" s="196"/>
      <c r="BB379" s="46"/>
      <c r="BC379" s="257"/>
      <c r="BD379" s="196"/>
      <c r="BE379" s="191"/>
      <c r="BF379" s="46"/>
      <c r="BG379" s="196"/>
      <c r="BH379" s="46"/>
      <c r="BI379" s="257"/>
      <c r="BJ379" s="196"/>
      <c r="BK379" s="191"/>
      <c r="BL379" s="257"/>
      <c r="BM379" s="196"/>
      <c r="BN379" s="46"/>
      <c r="BO379" s="257"/>
      <c r="BP379" s="196"/>
      <c r="BQ379" s="190"/>
      <c r="BR379" s="46"/>
      <c r="BS379" s="196"/>
      <c r="BT379" s="46"/>
      <c r="BU379" s="257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196"/>
      <c r="CI379" s="46"/>
      <c r="CJ379" s="46"/>
      <c r="CK379" s="46"/>
      <c r="CL379" s="46"/>
      <c r="CM379" s="46"/>
      <c r="CN379" s="196" t="s">
        <v>250</v>
      </c>
      <c r="CO379" s="191" t="s">
        <v>998</v>
      </c>
      <c r="CP379" s="257">
        <v>70000</v>
      </c>
      <c r="CQ379" s="196"/>
      <c r="CR379" s="167"/>
      <c r="CS379" s="257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191"/>
      <c r="DN379" s="46"/>
      <c r="DO379" s="196"/>
      <c r="DP379" s="581"/>
      <c r="DQ379" s="257">
        <f t="shared" si="38"/>
        <v>0</v>
      </c>
      <c r="DR379" s="296"/>
      <c r="DS379" s="295"/>
      <c r="DT379" s="386">
        <f t="shared" si="39"/>
        <v>0</v>
      </c>
      <c r="DU379" s="41"/>
      <c r="DV379" s="41"/>
      <c r="DW379" s="256"/>
      <c r="DX379" s="41"/>
      <c r="DY379" s="41"/>
      <c r="DZ379" s="68"/>
      <c r="EA379" s="41"/>
      <c r="EB379" s="41"/>
      <c r="EC379" s="256"/>
      <c r="ED379" s="308"/>
      <c r="EE379" s="308"/>
      <c r="EF379" s="308"/>
      <c r="EG379" s="41"/>
      <c r="EH379" s="41"/>
      <c r="EI379" s="41"/>
      <c r="EJ379" s="69"/>
      <c r="EK379" s="308"/>
      <c r="EL379" s="308"/>
      <c r="EM379" s="308"/>
      <c r="EN379" s="308"/>
      <c r="EO379" s="41"/>
      <c r="EP379" s="41"/>
      <c r="EQ379" s="41"/>
      <c r="ER379" s="256"/>
      <c r="ES379" s="293"/>
      <c r="ET379" s="293"/>
      <c r="EU379" s="293"/>
      <c r="EV379" s="293"/>
      <c r="EW379" s="41"/>
      <c r="EX379" s="41"/>
      <c r="EY379" s="41"/>
      <c r="EZ379" s="256"/>
      <c r="FA379" s="308"/>
      <c r="FB379" s="308"/>
      <c r="FC379" s="308"/>
      <c r="FD379" s="308"/>
      <c r="FE379" s="60"/>
      <c r="FF379" s="41"/>
      <c r="FG379" s="41"/>
      <c r="FH379" s="256"/>
      <c r="FI379" s="60"/>
      <c r="FJ379" s="41"/>
      <c r="FK379" s="41"/>
      <c r="FL379" s="276"/>
    </row>
    <row r="380" spans="1:168" ht="20.25">
      <c r="A380" s="45">
        <v>373</v>
      </c>
      <c r="B380" s="45" t="s">
        <v>210</v>
      </c>
      <c r="C380" s="45">
        <v>5</v>
      </c>
      <c r="D380" s="29" t="s">
        <v>200</v>
      </c>
      <c r="E380" s="30">
        <v>168</v>
      </c>
      <c r="F380" s="30">
        <v>7</v>
      </c>
      <c r="G380" s="246">
        <f>45336.4758/1000</f>
        <v>45.336475800000002</v>
      </c>
      <c r="H380" s="45">
        <v>0</v>
      </c>
      <c r="I380" s="45">
        <v>45336.4758</v>
      </c>
      <c r="J380" s="397">
        <v>109.20469699999998</v>
      </c>
      <c r="K380" s="495">
        <f t="shared" si="35"/>
        <v>154.54117279999997</v>
      </c>
      <c r="L380" s="578"/>
      <c r="M380" s="45">
        <f t="shared" si="37"/>
        <v>0</v>
      </c>
      <c r="N380" s="46">
        <f t="shared" si="40"/>
        <v>154.54117279999997</v>
      </c>
      <c r="O380" s="46">
        <f t="shared" si="36"/>
        <v>147.6</v>
      </c>
      <c r="P380" s="234"/>
      <c r="Q380" s="46"/>
      <c r="R380" s="450"/>
      <c r="S380" s="257"/>
      <c r="T380" s="46"/>
      <c r="U380" s="46"/>
      <c r="V380" s="46"/>
      <c r="W380" s="46"/>
      <c r="X380" s="196"/>
      <c r="Y380" s="46"/>
      <c r="Z380" s="46"/>
      <c r="AA380" s="46"/>
      <c r="AB380" s="46"/>
      <c r="AC380" s="46"/>
      <c r="AD380" s="46"/>
      <c r="AE380" s="46"/>
      <c r="AF380" s="196"/>
      <c r="AG380" s="46"/>
      <c r="AH380" s="46"/>
      <c r="AI380" s="46"/>
      <c r="AJ380" s="46"/>
      <c r="AK380" s="46"/>
      <c r="AL380" s="46"/>
      <c r="AM380" s="46"/>
      <c r="AN380" s="196" t="s">
        <v>249</v>
      </c>
      <c r="AO380" s="438" t="s">
        <v>335</v>
      </c>
      <c r="AP380" s="46">
        <v>60</v>
      </c>
      <c r="AQ380" s="368" t="s">
        <v>552</v>
      </c>
      <c r="AR380" s="257">
        <f>AP380*1300</f>
        <v>78000</v>
      </c>
      <c r="AS380" s="196"/>
      <c r="AT380" s="46"/>
      <c r="AU380" s="46"/>
      <c r="AV380" s="196"/>
      <c r="AW380" s="257"/>
      <c r="AX380" s="196"/>
      <c r="AY380" s="191"/>
      <c r="AZ380" s="257"/>
      <c r="BA380" s="196"/>
      <c r="BB380" s="46"/>
      <c r="BC380" s="257"/>
      <c r="BD380" s="196"/>
      <c r="BE380" s="191"/>
      <c r="BF380" s="46"/>
      <c r="BG380" s="196"/>
      <c r="BH380" s="46"/>
      <c r="BI380" s="257"/>
      <c r="BJ380" s="196"/>
      <c r="BK380" s="191"/>
      <c r="BL380" s="257"/>
      <c r="BM380" s="196"/>
      <c r="BN380" s="46"/>
      <c r="BO380" s="257"/>
      <c r="BP380" s="196"/>
      <c r="BQ380" s="190"/>
      <c r="BR380" s="46"/>
      <c r="BS380" s="196"/>
      <c r="BT380" s="46"/>
      <c r="BU380" s="257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196"/>
      <c r="CI380" s="46"/>
      <c r="CJ380" s="46"/>
      <c r="CK380" s="46"/>
      <c r="CL380" s="46"/>
      <c r="CM380" s="46"/>
      <c r="CN380" s="196"/>
      <c r="CO380" s="191"/>
      <c r="CP380" s="257"/>
      <c r="CQ380" s="196"/>
      <c r="CR380" s="167"/>
      <c r="CS380" s="257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191"/>
      <c r="DN380" s="46"/>
      <c r="DO380" s="218"/>
      <c r="DP380" s="221" t="s">
        <v>999</v>
      </c>
      <c r="DQ380" s="257">
        <f>DW380+EC380+EJ380+ER380+EZ380+FH380+20000</f>
        <v>69600</v>
      </c>
      <c r="DR380" s="294"/>
      <c r="DS380" s="295"/>
      <c r="DT380" s="386">
        <f t="shared" si="39"/>
        <v>0</v>
      </c>
      <c r="DU380" s="41"/>
      <c r="DV380" s="41"/>
      <c r="DW380" s="256"/>
      <c r="DX380" s="41"/>
      <c r="DY380" s="41"/>
      <c r="DZ380" s="68"/>
      <c r="EA380" s="41">
        <v>5</v>
      </c>
      <c r="EB380" s="41">
        <v>62</v>
      </c>
      <c r="EC380" s="256">
        <f>EB380*800</f>
        <v>49600</v>
      </c>
      <c r="ED380" s="308"/>
      <c r="EE380" s="308"/>
      <c r="EF380" s="308"/>
      <c r="EG380" s="41"/>
      <c r="EH380" s="41"/>
      <c r="EI380" s="41"/>
      <c r="EJ380" s="69"/>
      <c r="EK380" s="308"/>
      <c r="EL380" s="308"/>
      <c r="EM380" s="308"/>
      <c r="EN380" s="308"/>
      <c r="EO380" s="41"/>
      <c r="EP380" s="41"/>
      <c r="EQ380" s="41"/>
      <c r="ER380" s="256"/>
      <c r="ES380" s="293"/>
      <c r="ET380" s="293"/>
      <c r="EU380" s="293"/>
      <c r="EV380" s="293"/>
      <c r="EW380" s="41"/>
      <c r="EX380" s="41"/>
      <c r="EY380" s="41"/>
      <c r="EZ380" s="256"/>
      <c r="FA380" s="308"/>
      <c r="FB380" s="308"/>
      <c r="FC380" s="308"/>
      <c r="FD380" s="308"/>
      <c r="FE380" s="41"/>
      <c r="FF380" s="41"/>
      <c r="FG380" s="41"/>
      <c r="FH380" s="256"/>
      <c r="FI380" s="41"/>
      <c r="FJ380" s="41"/>
      <c r="FK380" s="41"/>
      <c r="FL380" s="276"/>
    </row>
    <row r="381" spans="1:168">
      <c r="A381" s="45">
        <v>374</v>
      </c>
      <c r="B381" s="45" t="s">
        <v>210</v>
      </c>
      <c r="C381" s="45">
        <v>5</v>
      </c>
      <c r="D381" s="29" t="s">
        <v>519</v>
      </c>
      <c r="E381" s="175" t="s">
        <v>520</v>
      </c>
      <c r="F381" s="188">
        <v>7</v>
      </c>
      <c r="G381" s="246">
        <f>44237.34/1000</f>
        <v>44.237339999999996</v>
      </c>
      <c r="H381" s="45">
        <v>0</v>
      </c>
      <c r="I381" s="45">
        <v>44237.340000000004</v>
      </c>
      <c r="J381" s="397">
        <v>-6.1522400000000275</v>
      </c>
      <c r="K381" s="495">
        <f t="shared" si="35"/>
        <v>38.085099999999969</v>
      </c>
      <c r="L381" s="578"/>
      <c r="M381" s="45">
        <f t="shared" si="37"/>
        <v>0</v>
      </c>
      <c r="N381" s="46">
        <f>K381-M381</f>
        <v>38.085099999999969</v>
      </c>
      <c r="O381" s="46">
        <f t="shared" si="36"/>
        <v>36.9</v>
      </c>
      <c r="P381" s="234"/>
      <c r="Q381" s="46"/>
      <c r="R381" s="450"/>
      <c r="S381" s="257"/>
      <c r="T381" s="46"/>
      <c r="U381" s="46"/>
      <c r="V381" s="46"/>
      <c r="W381" s="46"/>
      <c r="X381" s="196"/>
      <c r="Y381" s="46"/>
      <c r="Z381" s="46"/>
      <c r="AA381" s="46"/>
      <c r="AB381" s="46"/>
      <c r="AC381" s="46"/>
      <c r="AD381" s="46"/>
      <c r="AE381" s="46"/>
      <c r="AF381" s="196"/>
      <c r="AG381" s="46"/>
      <c r="AH381" s="46"/>
      <c r="AI381" s="46"/>
      <c r="AJ381" s="46"/>
      <c r="AK381" s="46"/>
      <c r="AL381" s="46"/>
      <c r="AM381" s="46"/>
      <c r="AN381" s="196" t="s">
        <v>248</v>
      </c>
      <c r="AO381" s="438" t="s">
        <v>335</v>
      </c>
      <c r="AP381" s="46">
        <v>13</v>
      </c>
      <c r="AQ381" s="368" t="s">
        <v>873</v>
      </c>
      <c r="AR381" s="257">
        <f>AP381*1300</f>
        <v>16900</v>
      </c>
      <c r="AS381" s="196"/>
      <c r="AT381" s="46"/>
      <c r="AU381" s="46"/>
      <c r="AV381" s="196"/>
      <c r="AW381" s="257"/>
      <c r="AX381" s="196"/>
      <c r="AY381" s="191"/>
      <c r="AZ381" s="257"/>
      <c r="BA381" s="196"/>
      <c r="BB381" s="46"/>
      <c r="BC381" s="257"/>
      <c r="BD381" s="196"/>
      <c r="BE381" s="191"/>
      <c r="BF381" s="46"/>
      <c r="BG381" s="196"/>
      <c r="BH381" s="46"/>
      <c r="BI381" s="257"/>
      <c r="BJ381" s="196"/>
      <c r="BK381" s="191"/>
      <c r="BL381" s="257"/>
      <c r="BM381" s="196"/>
      <c r="BN381" s="46"/>
      <c r="BO381" s="257"/>
      <c r="BP381" s="196"/>
      <c r="BQ381" s="190"/>
      <c r="BR381" s="46"/>
      <c r="BS381" s="196"/>
      <c r="BT381" s="46"/>
      <c r="BU381" s="257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196"/>
      <c r="CI381" s="46"/>
      <c r="CJ381" s="46"/>
      <c r="CK381" s="46"/>
      <c r="CL381" s="46"/>
      <c r="CM381" s="46"/>
      <c r="CN381" s="196"/>
      <c r="CO381" s="191"/>
      <c r="CP381" s="257"/>
      <c r="CQ381" s="196"/>
      <c r="CR381" s="167"/>
      <c r="CS381" s="257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191"/>
      <c r="DN381" s="46"/>
      <c r="DO381" s="196"/>
      <c r="DP381" s="581" t="s">
        <v>961</v>
      </c>
      <c r="DQ381" s="257">
        <f t="shared" si="38"/>
        <v>20000</v>
      </c>
      <c r="DR381" s="296"/>
      <c r="DS381" s="295"/>
      <c r="DT381" s="386">
        <f t="shared" si="39"/>
        <v>0</v>
      </c>
      <c r="DU381" s="41"/>
      <c r="DV381" s="41"/>
      <c r="DW381" s="256"/>
      <c r="DX381" s="41"/>
      <c r="DY381" s="41"/>
      <c r="DZ381" s="68"/>
      <c r="EA381" s="41"/>
      <c r="EB381" s="41"/>
      <c r="EC381" s="256"/>
      <c r="ED381" s="308"/>
      <c r="EE381" s="308"/>
      <c r="EF381" s="308"/>
      <c r="EG381" s="41"/>
      <c r="EH381" s="41"/>
      <c r="EI381" s="41"/>
      <c r="EJ381" s="69"/>
      <c r="EK381" s="308"/>
      <c r="EL381" s="308"/>
      <c r="EM381" s="308"/>
      <c r="EN381" s="308"/>
      <c r="EO381" s="41">
        <v>12</v>
      </c>
      <c r="EP381" s="41">
        <v>1</v>
      </c>
      <c r="EQ381" s="41">
        <v>1</v>
      </c>
      <c r="ER381" s="256">
        <v>20000</v>
      </c>
      <c r="ES381" s="293"/>
      <c r="ET381" s="293"/>
      <c r="EU381" s="293"/>
      <c r="EV381" s="293"/>
      <c r="EW381" s="41"/>
      <c r="EX381" s="41"/>
      <c r="EY381" s="41"/>
      <c r="EZ381" s="256"/>
      <c r="FA381" s="308"/>
      <c r="FB381" s="308"/>
      <c r="FC381" s="308"/>
      <c r="FD381" s="308"/>
      <c r="FE381" s="41"/>
      <c r="FF381" s="41"/>
      <c r="FG381" s="41"/>
      <c r="FH381" s="256"/>
      <c r="FI381" s="41"/>
      <c r="FJ381" s="41"/>
      <c r="FK381" s="41"/>
      <c r="FL381" s="276"/>
    </row>
    <row r="382" spans="1:168">
      <c r="A382" s="45">
        <v>375</v>
      </c>
      <c r="B382" s="45" t="s">
        <v>210</v>
      </c>
      <c r="C382" s="45">
        <v>5</v>
      </c>
      <c r="D382" s="29" t="s">
        <v>519</v>
      </c>
      <c r="E382" s="175">
        <v>175</v>
      </c>
      <c r="F382" s="188">
        <v>7</v>
      </c>
      <c r="G382" s="246">
        <f>12842.424/1000</f>
        <v>12.842424000000001</v>
      </c>
      <c r="H382" s="45">
        <v>0</v>
      </c>
      <c r="I382" s="45">
        <v>12842.423999999997</v>
      </c>
      <c r="J382" s="397">
        <v>-6.3427800000000012</v>
      </c>
      <c r="K382" s="495">
        <f t="shared" si="35"/>
        <v>6.499644</v>
      </c>
      <c r="L382" s="578"/>
      <c r="M382" s="45">
        <f t="shared" si="37"/>
        <v>0</v>
      </c>
      <c r="N382" s="46">
        <f>K382-M382</f>
        <v>6.499644</v>
      </c>
      <c r="O382" s="46">
        <f t="shared" si="36"/>
        <v>6</v>
      </c>
      <c r="P382" s="234"/>
      <c r="Q382" s="46"/>
      <c r="R382" s="450"/>
      <c r="S382" s="257"/>
      <c r="T382" s="46"/>
      <c r="U382" s="46"/>
      <c r="V382" s="46"/>
      <c r="W382" s="46"/>
      <c r="X382" s="196"/>
      <c r="Y382" s="46"/>
      <c r="Z382" s="46"/>
      <c r="AA382" s="46"/>
      <c r="AB382" s="46"/>
      <c r="AC382" s="46"/>
      <c r="AD382" s="46"/>
      <c r="AE382" s="46"/>
      <c r="AF382" s="196"/>
      <c r="AG382" s="46"/>
      <c r="AH382" s="46"/>
      <c r="AI382" s="46"/>
      <c r="AJ382" s="46"/>
      <c r="AK382" s="46"/>
      <c r="AL382" s="46"/>
      <c r="AM382" s="46"/>
      <c r="AN382" s="196"/>
      <c r="AO382" s="438"/>
      <c r="AP382" s="46"/>
      <c r="AQ382" s="368"/>
      <c r="AR382" s="257"/>
      <c r="AS382" s="196"/>
      <c r="AT382" s="46"/>
      <c r="AU382" s="46"/>
      <c r="AV382" s="196"/>
      <c r="AW382" s="257"/>
      <c r="AX382" s="196"/>
      <c r="AY382" s="191"/>
      <c r="AZ382" s="257"/>
      <c r="BA382" s="196"/>
      <c r="BB382" s="46"/>
      <c r="BC382" s="257"/>
      <c r="BD382" s="196"/>
      <c r="BE382" s="191"/>
      <c r="BF382" s="46"/>
      <c r="BG382" s="196"/>
      <c r="BH382" s="46"/>
      <c r="BI382" s="257"/>
      <c r="BJ382" s="196"/>
      <c r="BK382" s="191"/>
      <c r="BL382" s="257"/>
      <c r="BM382" s="196"/>
      <c r="BN382" s="46"/>
      <c r="BO382" s="257"/>
      <c r="BP382" s="196"/>
      <c r="BQ382" s="190"/>
      <c r="BR382" s="46"/>
      <c r="BS382" s="196"/>
      <c r="BT382" s="46"/>
      <c r="BU382" s="257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196"/>
      <c r="CI382" s="46"/>
      <c r="CJ382" s="46"/>
      <c r="CK382" s="46"/>
      <c r="CL382" s="46"/>
      <c r="CM382" s="46"/>
      <c r="CN382" s="196"/>
      <c r="CO382" s="191"/>
      <c r="CP382" s="257"/>
      <c r="CQ382" s="196"/>
      <c r="CR382" s="167"/>
      <c r="CS382" s="257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191"/>
      <c r="DN382" s="46"/>
      <c r="DO382" s="196"/>
      <c r="DP382" s="581" t="s">
        <v>531</v>
      </c>
      <c r="DQ382" s="257">
        <f>DW382+EC382+EJ382+ER382+EZ382+FH382+6000</f>
        <v>6000</v>
      </c>
      <c r="DR382" s="294"/>
      <c r="DS382" s="295"/>
      <c r="DT382" s="386">
        <f t="shared" si="39"/>
        <v>0</v>
      </c>
      <c r="DU382" s="41"/>
      <c r="DV382" s="41"/>
      <c r="DW382" s="256"/>
      <c r="DX382" s="41"/>
      <c r="DY382" s="41"/>
      <c r="DZ382" s="68"/>
      <c r="EA382" s="41"/>
      <c r="EB382" s="41"/>
      <c r="EC382" s="256"/>
      <c r="ED382" s="308"/>
      <c r="EE382" s="308"/>
      <c r="EF382" s="308"/>
      <c r="EG382" s="41"/>
      <c r="EH382" s="41"/>
      <c r="EI382" s="41"/>
      <c r="EJ382" s="69"/>
      <c r="EK382" s="308"/>
      <c r="EL382" s="308"/>
      <c r="EM382" s="308"/>
      <c r="EN382" s="308"/>
      <c r="EO382" s="41"/>
      <c r="EP382" s="41"/>
      <c r="EQ382" s="41"/>
      <c r="ER382" s="256"/>
      <c r="ES382" s="293"/>
      <c r="ET382" s="293"/>
      <c r="EU382" s="293"/>
      <c r="EV382" s="293"/>
      <c r="EW382" s="41"/>
      <c r="EX382" s="41"/>
      <c r="EY382" s="41"/>
      <c r="EZ382" s="256"/>
      <c r="FA382" s="308"/>
      <c r="FB382" s="308"/>
      <c r="FC382" s="308"/>
      <c r="FD382" s="308"/>
      <c r="FE382" s="41"/>
      <c r="FF382" s="41"/>
      <c r="FG382" s="41"/>
      <c r="FH382" s="256"/>
      <c r="FI382" s="41"/>
      <c r="FJ382" s="41"/>
      <c r="FK382" s="41"/>
      <c r="FL382" s="276"/>
    </row>
    <row r="383" spans="1:168" s="254" customFormat="1">
      <c r="A383" s="253"/>
      <c r="B383" s="179"/>
      <c r="C383" s="253"/>
      <c r="D383" s="252" t="s">
        <v>209</v>
      </c>
      <c r="E383" s="253"/>
      <c r="F383" s="253"/>
      <c r="G383" s="586">
        <f>SUM(G8:G382)</f>
        <v>28464.451514399985</v>
      </c>
      <c r="H383" s="179">
        <f t="shared" ref="H383:M383" si="41">SUM(H8:H382)</f>
        <v>19738663.433399994</v>
      </c>
      <c r="I383" s="179">
        <f t="shared" si="41"/>
        <v>8725788.0810000021</v>
      </c>
      <c r="J383" s="495">
        <f t="shared" si="41"/>
        <v>37774.558354599976</v>
      </c>
      <c r="K383" s="495">
        <f t="shared" si="41"/>
        <v>66239.009868999987</v>
      </c>
      <c r="L383" s="578"/>
      <c r="M383" s="587">
        <f t="shared" si="41"/>
        <v>774.63527000000011</v>
      </c>
      <c r="N383" s="253">
        <f>SUM(N8:N382)</f>
        <v>63377.076708999972</v>
      </c>
      <c r="O383" s="181">
        <f>SUM(O8:O382)</f>
        <v>50428.359999999986</v>
      </c>
      <c r="P383" s="400"/>
      <c r="Q383" s="253">
        <f t="shared" ref="Q383:W383" si="42">SUM(Q8:Q382)</f>
        <v>142</v>
      </c>
      <c r="R383" s="449">
        <f t="shared" si="42"/>
        <v>65.800000000000011</v>
      </c>
      <c r="S383" s="253">
        <f t="shared" si="42"/>
        <v>14494000</v>
      </c>
      <c r="T383" s="253">
        <f t="shared" si="42"/>
        <v>2</v>
      </c>
      <c r="U383" s="253">
        <f t="shared" si="42"/>
        <v>2</v>
      </c>
      <c r="V383" s="253">
        <f t="shared" si="42"/>
        <v>3</v>
      </c>
      <c r="W383" s="253">
        <f t="shared" si="42"/>
        <v>651391.27</v>
      </c>
      <c r="X383" s="253"/>
      <c r="Y383" s="253">
        <f t="shared" ref="Y383:CF383" si="43">SUM(Y8:Y382)</f>
        <v>114</v>
      </c>
      <c r="Z383" s="253"/>
      <c r="AA383" s="253">
        <f t="shared" si="43"/>
        <v>433200</v>
      </c>
      <c r="AB383" s="253"/>
      <c r="AC383" s="253">
        <f t="shared" si="43"/>
        <v>0</v>
      </c>
      <c r="AD383" s="253">
        <f t="shared" si="43"/>
        <v>0</v>
      </c>
      <c r="AE383" s="253">
        <f t="shared" si="43"/>
        <v>0</v>
      </c>
      <c r="AF383" s="253"/>
      <c r="AG383" s="253">
        <f t="shared" si="43"/>
        <v>264</v>
      </c>
      <c r="AH383" s="253">
        <f t="shared" si="43"/>
        <v>115</v>
      </c>
      <c r="AI383" s="253">
        <f t="shared" si="43"/>
        <v>198000</v>
      </c>
      <c r="AJ383" s="253">
        <f t="shared" si="43"/>
        <v>0</v>
      </c>
      <c r="AK383" s="253">
        <f t="shared" si="43"/>
        <v>0</v>
      </c>
      <c r="AL383" s="253">
        <f t="shared" si="43"/>
        <v>0</v>
      </c>
      <c r="AM383" s="253">
        <f t="shared" si="43"/>
        <v>0</v>
      </c>
      <c r="AN383" s="253"/>
      <c r="AO383" s="588"/>
      <c r="AP383" s="253">
        <f t="shared" si="43"/>
        <v>3341</v>
      </c>
      <c r="AQ383" s="589"/>
      <c r="AR383" s="253">
        <f t="shared" si="43"/>
        <v>4200300</v>
      </c>
      <c r="AS383" s="253"/>
      <c r="AT383" s="253"/>
      <c r="AU383" s="181">
        <f t="shared" si="43"/>
        <v>0</v>
      </c>
      <c r="AV383" s="181">
        <f t="shared" si="43"/>
        <v>0</v>
      </c>
      <c r="AW383" s="253">
        <f t="shared" si="43"/>
        <v>0</v>
      </c>
      <c r="AX383" s="253"/>
      <c r="AY383" s="590">
        <f t="shared" si="43"/>
        <v>846</v>
      </c>
      <c r="AZ383" s="253">
        <f>SUM(AZ8:AZ382)</f>
        <v>2570500</v>
      </c>
      <c r="BA383" s="253">
        <f>SUM(BA8:BA382)</f>
        <v>0</v>
      </c>
      <c r="BB383" s="181">
        <f>SUM(BB8:BB382)</f>
        <v>15.5</v>
      </c>
      <c r="BC383" s="253">
        <f>SUM(BC8:BC382)</f>
        <v>41986.92</v>
      </c>
      <c r="BD383" s="253"/>
      <c r="BE383" s="590">
        <f t="shared" si="43"/>
        <v>172</v>
      </c>
      <c r="BF383" s="253">
        <f t="shared" si="43"/>
        <v>797500</v>
      </c>
      <c r="BG383" s="253">
        <f t="shared" si="43"/>
        <v>0</v>
      </c>
      <c r="BH383" s="181">
        <f t="shared" si="43"/>
        <v>1.5</v>
      </c>
      <c r="BI383" s="253">
        <f t="shared" si="43"/>
        <v>1464.28</v>
      </c>
      <c r="BJ383" s="253"/>
      <c r="BK383" s="590">
        <f t="shared" si="43"/>
        <v>897</v>
      </c>
      <c r="BL383" s="253">
        <f t="shared" si="43"/>
        <v>3214000</v>
      </c>
      <c r="BM383" s="253"/>
      <c r="BN383" s="253">
        <f t="shared" si="43"/>
        <v>0</v>
      </c>
      <c r="BO383" s="253">
        <f t="shared" si="43"/>
        <v>1099.78</v>
      </c>
      <c r="BP383" s="253"/>
      <c r="BQ383" s="591">
        <f t="shared" si="43"/>
        <v>87</v>
      </c>
      <c r="BR383" s="253">
        <f>SUM(BR8:BR382)</f>
        <v>437800</v>
      </c>
      <c r="BS383" s="253"/>
      <c r="BT383" s="181">
        <f>SUM(BT8:BT382)</f>
        <v>0</v>
      </c>
      <c r="BU383" s="253">
        <f>SUM(BU8:BU382)</f>
        <v>0</v>
      </c>
      <c r="BV383" s="253">
        <f t="shared" si="43"/>
        <v>0</v>
      </c>
      <c r="BW383" s="253">
        <f t="shared" si="43"/>
        <v>0</v>
      </c>
      <c r="BX383" s="253">
        <f t="shared" si="43"/>
        <v>0</v>
      </c>
      <c r="BY383" s="253">
        <f t="shared" si="43"/>
        <v>0</v>
      </c>
      <c r="BZ383" s="253">
        <f t="shared" si="43"/>
        <v>0</v>
      </c>
      <c r="CA383" s="253">
        <f t="shared" si="43"/>
        <v>0</v>
      </c>
      <c r="CB383" s="253"/>
      <c r="CC383" s="253">
        <f t="shared" si="43"/>
        <v>6</v>
      </c>
      <c r="CD383" s="253">
        <f t="shared" si="43"/>
        <v>12000</v>
      </c>
      <c r="CE383" s="253">
        <f t="shared" si="43"/>
        <v>0</v>
      </c>
      <c r="CF383" s="253">
        <f t="shared" si="43"/>
        <v>0</v>
      </c>
      <c r="CG383" s="253">
        <f>SUM(CG8:CG382)</f>
        <v>0</v>
      </c>
      <c r="CH383" s="253"/>
      <c r="CI383" s="253">
        <f t="shared" ref="CI383:ER383" si="44">SUM(CI8:CI382)</f>
        <v>27</v>
      </c>
      <c r="CJ383" s="253">
        <f t="shared" si="44"/>
        <v>202500</v>
      </c>
      <c r="CK383" s="253"/>
      <c r="CL383" s="253">
        <f t="shared" si="44"/>
        <v>0</v>
      </c>
      <c r="CM383" s="253">
        <f t="shared" si="44"/>
        <v>0</v>
      </c>
      <c r="CN383" s="253"/>
      <c r="CO383" s="253">
        <f t="shared" si="44"/>
        <v>700</v>
      </c>
      <c r="CP383" s="253">
        <f t="shared" si="44"/>
        <v>3196500</v>
      </c>
      <c r="CQ383" s="253"/>
      <c r="CR383" s="181">
        <f t="shared" si="44"/>
        <v>0</v>
      </c>
      <c r="CS383" s="253">
        <f t="shared" si="44"/>
        <v>0</v>
      </c>
      <c r="CT383" s="253"/>
      <c r="CU383" s="253">
        <f t="shared" si="44"/>
        <v>5</v>
      </c>
      <c r="CV383" s="253">
        <f t="shared" si="44"/>
        <v>35000</v>
      </c>
      <c r="CW383" s="253"/>
      <c r="CX383" s="253">
        <f t="shared" si="44"/>
        <v>0</v>
      </c>
      <c r="CY383" s="253">
        <f t="shared" si="44"/>
        <v>0</v>
      </c>
      <c r="CZ383" s="253"/>
      <c r="DA383" s="253">
        <f t="shared" si="44"/>
        <v>1236</v>
      </c>
      <c r="DB383" s="253">
        <f t="shared" si="44"/>
        <v>2347800</v>
      </c>
      <c r="DC383" s="253">
        <f t="shared" si="44"/>
        <v>0</v>
      </c>
      <c r="DD383" s="253">
        <f t="shared" si="44"/>
        <v>0</v>
      </c>
      <c r="DE383" s="253">
        <f t="shared" si="44"/>
        <v>0</v>
      </c>
      <c r="DF383" s="253">
        <f t="shared" si="44"/>
        <v>0</v>
      </c>
      <c r="DG383" s="253">
        <f t="shared" si="44"/>
        <v>62</v>
      </c>
      <c r="DH383" s="253">
        <f t="shared" si="44"/>
        <v>111600</v>
      </c>
      <c r="DI383" s="253">
        <f t="shared" si="44"/>
        <v>0</v>
      </c>
      <c r="DJ383" s="253">
        <f t="shared" si="44"/>
        <v>0</v>
      </c>
      <c r="DK383" s="253">
        <f t="shared" si="44"/>
        <v>0</v>
      </c>
      <c r="DL383" s="253"/>
      <c r="DM383" s="590"/>
      <c r="DN383" s="253">
        <f t="shared" si="44"/>
        <v>145000</v>
      </c>
      <c r="DO383" s="253"/>
      <c r="DP383" s="253"/>
      <c r="DQ383" s="253">
        <f t="shared" si="44"/>
        <v>18032660</v>
      </c>
      <c r="DR383" s="297">
        <f t="shared" si="44"/>
        <v>0</v>
      </c>
      <c r="DS383" s="298">
        <f t="shared" si="44"/>
        <v>0</v>
      </c>
      <c r="DT383" s="298">
        <f t="shared" si="44"/>
        <v>78693.02</v>
      </c>
      <c r="DU383" s="244">
        <f t="shared" si="44"/>
        <v>67</v>
      </c>
      <c r="DV383" s="244">
        <f t="shared" si="44"/>
        <v>30</v>
      </c>
      <c r="DW383" s="244">
        <f t="shared" si="44"/>
        <v>499000</v>
      </c>
      <c r="DX383" s="244"/>
      <c r="DY383" s="244"/>
      <c r="DZ383" s="244"/>
      <c r="EA383" s="244">
        <f t="shared" si="44"/>
        <v>416</v>
      </c>
      <c r="EB383" s="244">
        <f t="shared" si="44"/>
        <v>5047</v>
      </c>
      <c r="EC383" s="244">
        <f t="shared" si="44"/>
        <v>4112600</v>
      </c>
      <c r="ED383" s="309"/>
      <c r="EE383" s="309"/>
      <c r="EF383" s="309"/>
      <c r="EG383" s="244">
        <f t="shared" si="44"/>
        <v>54</v>
      </c>
      <c r="EH383" s="244">
        <f t="shared" si="44"/>
        <v>13</v>
      </c>
      <c r="EI383" s="244">
        <f t="shared" si="44"/>
        <v>7.7</v>
      </c>
      <c r="EJ383" s="244">
        <f t="shared" si="44"/>
        <v>165000</v>
      </c>
      <c r="EK383" s="309"/>
      <c r="EL383" s="309"/>
      <c r="EM383" s="309"/>
      <c r="EN383" s="309"/>
      <c r="EO383" s="244">
        <f t="shared" si="44"/>
        <v>288</v>
      </c>
      <c r="EP383" s="244">
        <f t="shared" si="44"/>
        <v>47</v>
      </c>
      <c r="EQ383" s="244"/>
      <c r="ER383" s="244">
        <f t="shared" si="44"/>
        <v>875000</v>
      </c>
      <c r="ES383" s="298"/>
      <c r="ET383" s="298"/>
      <c r="EU383" s="298"/>
      <c r="EV383" s="298"/>
      <c r="EW383" s="244">
        <f t="shared" ref="EW383:FL383" si="45">SUM(EW8:EW382)</f>
        <v>59.1</v>
      </c>
      <c r="EX383" s="244">
        <f t="shared" si="45"/>
        <v>21</v>
      </c>
      <c r="EY383" s="244">
        <f t="shared" si="45"/>
        <v>50</v>
      </c>
      <c r="EZ383" s="244">
        <f t="shared" si="45"/>
        <v>1035000</v>
      </c>
      <c r="FA383" s="309"/>
      <c r="FB383" s="309"/>
      <c r="FC383" s="309"/>
      <c r="FD383" s="309"/>
      <c r="FE383" s="244">
        <f t="shared" si="45"/>
        <v>90</v>
      </c>
      <c r="FF383" s="244">
        <f t="shared" si="45"/>
        <v>11</v>
      </c>
      <c r="FG383" s="244">
        <f t="shared" si="45"/>
        <v>11.2</v>
      </c>
      <c r="FH383" s="244">
        <f t="shared" si="45"/>
        <v>152500</v>
      </c>
      <c r="FI383" s="244">
        <f t="shared" si="45"/>
        <v>1</v>
      </c>
      <c r="FJ383" s="244">
        <f t="shared" si="45"/>
        <v>1</v>
      </c>
      <c r="FK383" s="244">
        <f t="shared" si="45"/>
        <v>1</v>
      </c>
      <c r="FL383" s="244">
        <f t="shared" si="45"/>
        <v>3444.73</v>
      </c>
    </row>
    <row r="384" spans="1:168">
      <c r="DO384" s="235"/>
    </row>
    <row r="385" spans="1:99">
      <c r="BK385" s="447"/>
      <c r="CO385" s="595">
        <v>1165</v>
      </c>
      <c r="CU385" s="28">
        <v>6</v>
      </c>
    </row>
    <row r="387" spans="1:99">
      <c r="A387" s="231" t="s">
        <v>422</v>
      </c>
      <c r="B387" s="231"/>
      <c r="C387" s="231"/>
      <c r="K387" s="492" t="s">
        <v>602</v>
      </c>
    </row>
    <row r="388" spans="1:99">
      <c r="A388" s="232" t="s">
        <v>423</v>
      </c>
      <c r="B388" s="232"/>
      <c r="C388" s="232"/>
    </row>
  </sheetData>
  <mergeCells count="207">
    <mergeCell ref="O3:O6"/>
    <mergeCell ref="A1:N1"/>
    <mergeCell ref="BM4:BO4"/>
    <mergeCell ref="BS4:BU4"/>
    <mergeCell ref="DR4:DT4"/>
    <mergeCell ref="DR3:DT3"/>
    <mergeCell ref="FK5:FK6"/>
    <mergeCell ref="FL5:FL6"/>
    <mergeCell ref="AL5:AL6"/>
    <mergeCell ref="EZ5:EZ6"/>
    <mergeCell ref="FA5:FA6"/>
    <mergeCell ref="FB5:FB6"/>
    <mergeCell ref="FD5:FD6"/>
    <mergeCell ref="FE5:FE6"/>
    <mergeCell ref="FF5:FF6"/>
    <mergeCell ref="ES5:ES6"/>
    <mergeCell ref="ET5:ET6"/>
    <mergeCell ref="EU5:EU6"/>
    <mergeCell ref="EV5:EV6"/>
    <mergeCell ref="EW5:EW6"/>
    <mergeCell ref="EX5:EX6"/>
    <mergeCell ref="EM5:EM6"/>
    <mergeCell ref="EN5:EN6"/>
    <mergeCell ref="FJ5:FJ6"/>
    <mergeCell ref="EA5:EA6"/>
    <mergeCell ref="EB5:EB6"/>
    <mergeCell ref="EC5:EC6"/>
    <mergeCell ref="ED5:ED6"/>
    <mergeCell ref="EE5:EE6"/>
    <mergeCell ref="EF5:EF6"/>
    <mergeCell ref="FH5:FH6"/>
    <mergeCell ref="FI5:FI6"/>
    <mergeCell ref="DU5:DU6"/>
    <mergeCell ref="DV5:DV6"/>
    <mergeCell ref="DW5:DW6"/>
    <mergeCell ref="DX5:DX6"/>
    <mergeCell ref="DY5:DY6"/>
    <mergeCell ref="DZ5:DZ6"/>
    <mergeCell ref="ER5:ER6"/>
    <mergeCell ref="EG5:EG6"/>
    <mergeCell ref="EH5:EH6"/>
    <mergeCell ref="EI5:EI6"/>
    <mergeCell ref="EJ5:EJ6"/>
    <mergeCell ref="EK5:EK6"/>
    <mergeCell ref="EL5:EL6"/>
    <mergeCell ref="EO5:EO6"/>
    <mergeCell ref="EP5:EP6"/>
    <mergeCell ref="EQ5:EQ6"/>
    <mergeCell ref="EY5:EY6"/>
    <mergeCell ref="DR5:DR6"/>
    <mergeCell ref="DS5:DS6"/>
    <mergeCell ref="DT5:DT6"/>
    <mergeCell ref="DI5:DI6"/>
    <mergeCell ref="DJ5:DJ6"/>
    <mergeCell ref="DK5:DK6"/>
    <mergeCell ref="DL5:DL6"/>
    <mergeCell ref="DM5:DM6"/>
    <mergeCell ref="DN5:DN6"/>
    <mergeCell ref="DF5:DF6"/>
    <mergeCell ref="DG5:DG6"/>
    <mergeCell ref="DH5:DH6"/>
    <mergeCell ref="CZ5:CZ6"/>
    <mergeCell ref="DA5:DA6"/>
    <mergeCell ref="DB5:DB6"/>
    <mergeCell ref="DO5:DO6"/>
    <mergeCell ref="DP5:DP6"/>
    <mergeCell ref="DQ5:DQ6"/>
    <mergeCell ref="CI5:CI6"/>
    <mergeCell ref="CJ5:CJ6"/>
    <mergeCell ref="CK5:CK6"/>
    <mergeCell ref="CL5:CL6"/>
    <mergeCell ref="CM5:CM6"/>
    <mergeCell ref="CN5:CN6"/>
    <mergeCell ref="DC5:DC6"/>
    <mergeCell ref="DD5:DD6"/>
    <mergeCell ref="DE5:DE6"/>
    <mergeCell ref="FE4:FH4"/>
    <mergeCell ref="FI4:FL4"/>
    <mergeCell ref="ES4:EV4"/>
    <mergeCell ref="EW4:EZ4"/>
    <mergeCell ref="FA4:FD4"/>
    <mergeCell ref="BU5:BU6"/>
    <mergeCell ref="BV5:BV6"/>
    <mergeCell ref="BW5:BW6"/>
    <mergeCell ref="BY5:BY6"/>
    <mergeCell ref="BZ5:BZ6"/>
    <mergeCell ref="CA5:CA6"/>
    <mergeCell ref="CB5:CB6"/>
    <mergeCell ref="CC5:CC6"/>
    <mergeCell ref="CD5:CD6"/>
    <mergeCell ref="CW5:CW6"/>
    <mergeCell ref="CX5:CX6"/>
    <mergeCell ref="CY5:CY6"/>
    <mergeCell ref="CT5:CT6"/>
    <mergeCell ref="CU5:CU6"/>
    <mergeCell ref="CV5:CV6"/>
    <mergeCell ref="CO5:CO6"/>
    <mergeCell ref="CP5:CP6"/>
    <mergeCell ref="CG5:CG6"/>
    <mergeCell ref="CH5:CH6"/>
    <mergeCell ref="ED4:EF4"/>
    <mergeCell ref="EG4:EJ4"/>
    <mergeCell ref="EK4:EN4"/>
    <mergeCell ref="EO4:ER4"/>
    <mergeCell ref="DU4:DW4"/>
    <mergeCell ref="DX4:DZ4"/>
    <mergeCell ref="EA4:EC4"/>
    <mergeCell ref="CE5:CE6"/>
    <mergeCell ref="AT5:AT6"/>
    <mergeCell ref="AU5:AU6"/>
    <mergeCell ref="CF5:CF6"/>
    <mergeCell ref="AX5:AX6"/>
    <mergeCell ref="AY5:AY6"/>
    <mergeCell ref="BC5:BC6"/>
    <mergeCell ref="BD5:BD6"/>
    <mergeCell ref="BE5:BE6"/>
    <mergeCell ref="BF5:BF6"/>
    <mergeCell ref="BS5:BS6"/>
    <mergeCell ref="BT5:BT6"/>
    <mergeCell ref="BQ5:BQ6"/>
    <mergeCell ref="BR5:BR6"/>
    <mergeCell ref="CQ5:CQ6"/>
    <mergeCell ref="CR5:CR6"/>
    <mergeCell ref="CS5:CS6"/>
    <mergeCell ref="AN5:AN6"/>
    <mergeCell ref="AO5:AO6"/>
    <mergeCell ref="AP5:AP6"/>
    <mergeCell ref="AD5:AD6"/>
    <mergeCell ref="AG5:AG6"/>
    <mergeCell ref="AI5:AI6"/>
    <mergeCell ref="AE5:AE6"/>
    <mergeCell ref="BX5:BX6"/>
    <mergeCell ref="BM5:BM6"/>
    <mergeCell ref="BN5:BN6"/>
    <mergeCell ref="BO5:BO6"/>
    <mergeCell ref="BP5:BP6"/>
    <mergeCell ref="AZ5:AZ6"/>
    <mergeCell ref="BG5:BG6"/>
    <mergeCell ref="BH5:BH6"/>
    <mergeCell ref="BI5:BI6"/>
    <mergeCell ref="BJ5:BJ6"/>
    <mergeCell ref="BK5:BK6"/>
    <mergeCell ref="BL5:BL6"/>
    <mergeCell ref="BB5:BB6"/>
    <mergeCell ref="R5:R6"/>
    <mergeCell ref="G3:I3"/>
    <mergeCell ref="F3:F6"/>
    <mergeCell ref="E3:E6"/>
    <mergeCell ref="D3:D6"/>
    <mergeCell ref="P3:S3"/>
    <mergeCell ref="AR5:AR6"/>
    <mergeCell ref="AS5:AS6"/>
    <mergeCell ref="BA5:BA6"/>
    <mergeCell ref="BA4:BC4"/>
    <mergeCell ref="K3:K6"/>
    <mergeCell ref="L3:L6"/>
    <mergeCell ref="AW5:AW6"/>
    <mergeCell ref="AS4:AW4"/>
    <mergeCell ref="AJ5:AJ6"/>
    <mergeCell ref="AV5:AV6"/>
    <mergeCell ref="AK5:AK6"/>
    <mergeCell ref="AM5:AM6"/>
    <mergeCell ref="Y5:Y6"/>
    <mergeCell ref="Z5:Z6"/>
    <mergeCell ref="AA5:AA6"/>
    <mergeCell ref="AB5:AB6"/>
    <mergeCell ref="AC5:AC6"/>
    <mergeCell ref="AH5:AH6"/>
    <mergeCell ref="P4:S4"/>
    <mergeCell ref="FC5:FC6"/>
    <mergeCell ref="BG4:BI4"/>
    <mergeCell ref="CN4:CP4"/>
    <mergeCell ref="CQ4:CS4"/>
    <mergeCell ref="T3:W3"/>
    <mergeCell ref="B3:B6"/>
    <mergeCell ref="A3:A6"/>
    <mergeCell ref="J3:J6"/>
    <mergeCell ref="G4:G6"/>
    <mergeCell ref="H4:I4"/>
    <mergeCell ref="S5:S6"/>
    <mergeCell ref="AQ5:AQ6"/>
    <mergeCell ref="T5:T6"/>
    <mergeCell ref="U5:U6"/>
    <mergeCell ref="V5:V6"/>
    <mergeCell ref="W5:W6"/>
    <mergeCell ref="X5:X6"/>
    <mergeCell ref="AF5:AF6"/>
    <mergeCell ref="C3:C6"/>
    <mergeCell ref="H5:H6"/>
    <mergeCell ref="I5:I6"/>
    <mergeCell ref="P5:P6"/>
    <mergeCell ref="Q5:Q6"/>
    <mergeCell ref="CH4:CJ4"/>
    <mergeCell ref="CT4:CV4"/>
    <mergeCell ref="CZ4:DB4"/>
    <mergeCell ref="DL4:DN4"/>
    <mergeCell ref="DO4:DQ4"/>
    <mergeCell ref="DO3:DQ3"/>
    <mergeCell ref="X4:AA4"/>
    <mergeCell ref="AF4:AI4"/>
    <mergeCell ref="AN4:AR4"/>
    <mergeCell ref="AX4:AZ4"/>
    <mergeCell ref="BD4:BF4"/>
    <mergeCell ref="BJ4:BL4"/>
    <mergeCell ref="BP4:BR4"/>
    <mergeCell ref="CB4:CD4"/>
    <mergeCell ref="CB3:CD3"/>
  </mergeCells>
  <pageMargins left="0.19685039370078741" right="0.19685039370078741" top="0.35433070866141736" bottom="0.31496062992125984" header="0.31496062992125984" footer="0.31496062992125984"/>
  <pageSetup paperSize="9" scale="85" orientation="portrait" horizontalDpi="180" verticalDpi="180" r:id="rId1"/>
  <colBreaks count="9" manualBreakCount="9">
    <brk id="23" max="1048575" man="1"/>
    <brk id="39" max="1048575" man="1"/>
    <brk id="55" max="1048575" man="1"/>
    <brk id="73" max="1048575" man="1"/>
    <brk id="79" max="1048575" man="1"/>
    <brk id="91" max="1048575" man="1"/>
    <brk id="103" max="1048575" man="1"/>
    <brk id="118" max="1048575" man="1"/>
    <brk id="12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EN499"/>
  <sheetViews>
    <sheetView zoomScale="90" zoomScaleNormal="90" zoomScaleSheetLayoutView="50" workbookViewId="0">
      <pane xSplit="15" ySplit="7" topLeftCell="P251" activePane="bottomRight" state="frozen"/>
      <selection pane="topRight" activeCell="O1" sqref="O1"/>
      <selection pane="bottomLeft" activeCell="A8" sqref="A8"/>
      <selection pane="bottomRight" activeCell="R264" sqref="R264"/>
    </sheetView>
  </sheetViews>
  <sheetFormatPr defaultRowHeight="15"/>
  <cols>
    <col min="1" max="1" width="6.7109375" style="28" customWidth="1"/>
    <col min="2" max="2" width="13.5703125" style="28" hidden="1" customWidth="1"/>
    <col min="3" max="3" width="4.7109375" style="28" customWidth="1"/>
    <col min="4" max="4" width="27.7109375" style="28" customWidth="1"/>
    <col min="5" max="5" width="5.7109375" style="28" customWidth="1"/>
    <col min="6" max="6" width="7.28515625" style="28" customWidth="1"/>
    <col min="7" max="7" width="16.140625" style="492" hidden="1" customWidth="1"/>
    <col min="8" max="8" width="13.28515625" style="161" hidden="1" customWidth="1"/>
    <col min="9" max="9" width="11.7109375" style="161" hidden="1" customWidth="1"/>
    <col min="10" max="10" width="12.5703125" style="492" hidden="1" customWidth="1"/>
    <col min="11" max="11" width="17.7109375" style="492" hidden="1" customWidth="1"/>
    <col min="12" max="12" width="14.7109375" style="492" hidden="1" customWidth="1"/>
    <col min="13" max="13" width="15.28515625" style="492" hidden="1" customWidth="1"/>
    <col min="14" max="14" width="15.42578125" style="492" hidden="1" customWidth="1"/>
    <col min="15" max="15" width="14.28515625" style="542" customWidth="1"/>
    <col min="16" max="16" width="13" style="199" customWidth="1"/>
    <col min="17" max="17" width="6.5703125" style="161" bestFit="1" customWidth="1"/>
    <col min="18" max="18" width="12.7109375" style="389" customWidth="1"/>
    <col min="19" max="19" width="13.5703125" style="493" bestFit="1" customWidth="1"/>
    <col min="20" max="20" width="10.7109375" style="199" hidden="1" customWidth="1"/>
    <col min="21" max="21" width="7.28515625" style="161" hidden="1" customWidth="1"/>
    <col min="22" max="22" width="6.42578125" style="161" hidden="1" customWidth="1"/>
    <col min="23" max="23" width="12.42578125" style="493" hidden="1" customWidth="1"/>
    <col min="24" max="24" width="6.28515625" style="161" hidden="1" customWidth="1"/>
    <col min="25" max="26" width="8.7109375" style="161" hidden="1" customWidth="1"/>
    <col min="27" max="27" width="10.42578125" style="493" hidden="1" customWidth="1"/>
    <col min="28" max="28" width="14.42578125" style="199" customWidth="1"/>
    <col min="29" max="29" width="8.28515625" style="161" customWidth="1"/>
    <col min="30" max="30" width="12.28515625" style="389" customWidth="1"/>
    <col min="31" max="31" width="12.28515625" style="493" customWidth="1"/>
    <col min="32" max="32" width="7.28515625" style="199" customWidth="1"/>
    <col min="33" max="34" width="8.7109375" style="161" customWidth="1"/>
    <col min="35" max="35" width="14.28515625" style="199" customWidth="1"/>
    <col min="36" max="36" width="12.5703125" style="543" bestFit="1" customWidth="1"/>
    <col min="37" max="37" width="8.7109375" style="199" hidden="1" customWidth="1"/>
    <col min="38" max="38" width="8.7109375" style="161" hidden="1" customWidth="1"/>
    <col min="39" max="39" width="10.42578125" style="389" hidden="1" customWidth="1"/>
    <col min="40" max="40" width="12.42578125" style="493" hidden="1" customWidth="1"/>
    <col min="41" max="41" width="8.5703125" style="199" customWidth="1"/>
    <col min="42" max="42" width="8.7109375" style="161" customWidth="1"/>
    <col min="43" max="43" width="12.28515625" style="493" customWidth="1"/>
    <col min="44" max="44" width="8.7109375" style="199" customWidth="1"/>
    <col min="45" max="45" width="8.7109375" style="161" customWidth="1"/>
    <col min="46" max="46" width="11.5703125" style="493" customWidth="1"/>
    <col min="47" max="47" width="8.7109375" style="199" customWidth="1"/>
    <col min="48" max="48" width="9.42578125" style="161" customWidth="1"/>
    <col min="49" max="49" width="12.5703125" style="493" bestFit="1" customWidth="1"/>
    <col min="50" max="50" width="8.7109375" style="199" customWidth="1"/>
    <col min="51" max="51" width="10.42578125" style="161" customWidth="1"/>
    <col min="52" max="52" width="11.7109375" style="493" bestFit="1" customWidth="1"/>
    <col min="53" max="55" width="8.7109375" style="161" hidden="1" customWidth="1"/>
    <col min="56" max="57" width="8.7109375" style="161" customWidth="1"/>
    <col min="58" max="58" width="9.85546875" style="493" bestFit="1" customWidth="1"/>
    <col min="59" max="60" width="8.7109375" style="161" hidden="1" customWidth="1"/>
    <col min="61" max="61" width="12" style="161" hidden="1" customWidth="1"/>
    <col min="62" max="62" width="8.7109375" style="199" hidden="1" customWidth="1"/>
    <col min="63" max="63" width="8.7109375" style="161" hidden="1" customWidth="1"/>
    <col min="64" max="64" width="11" style="493" hidden="1" customWidth="1"/>
    <col min="65" max="66" width="8.7109375" style="161" hidden="1" customWidth="1"/>
    <col min="67" max="67" width="11" style="493" hidden="1" customWidth="1"/>
    <col min="68" max="68" width="8.7109375" style="199" customWidth="1"/>
    <col min="69" max="69" width="8.7109375" style="544" customWidth="1"/>
    <col min="70" max="70" width="14.42578125" style="493" customWidth="1"/>
    <col min="71" max="72" width="8.7109375" style="161" hidden="1" customWidth="1"/>
    <col min="73" max="73" width="10.85546875" style="493" hidden="1" customWidth="1"/>
    <col min="74" max="74" width="8.28515625" style="199" hidden="1" customWidth="1"/>
    <col min="75" max="75" width="8.7109375" style="161" hidden="1" customWidth="1"/>
    <col min="76" max="76" width="11" style="493" hidden="1" customWidth="1"/>
    <col min="77" max="78" width="8.7109375" style="161" hidden="1" customWidth="1"/>
    <col min="79" max="79" width="10.28515625" style="493" hidden="1" customWidth="1"/>
    <col min="80" max="80" width="8.7109375" style="199" customWidth="1"/>
    <col min="81" max="81" width="8.7109375" style="161" customWidth="1"/>
    <col min="82" max="82" width="12.28515625" style="493" customWidth="1"/>
    <col min="83" max="84" width="8.7109375" style="161" hidden="1" customWidth="1"/>
    <col min="85" max="85" width="11.28515625" style="493" hidden="1" customWidth="1"/>
    <col min="86" max="87" width="8.7109375" style="161" hidden="1" customWidth="1"/>
    <col min="88" max="88" width="10.42578125" style="161" hidden="1" customWidth="1"/>
    <col min="89" max="90" width="8.7109375" style="161" hidden="1" customWidth="1"/>
    <col min="91" max="91" width="16.5703125" style="493" hidden="1" customWidth="1"/>
    <col min="92" max="92" width="8.7109375" style="161" customWidth="1"/>
    <col min="93" max="93" width="13.28515625" style="545" customWidth="1"/>
    <col min="94" max="94" width="11" style="493" bestFit="1" customWidth="1"/>
    <col min="95" max="95" width="9.28515625" style="199" customWidth="1"/>
    <col min="96" max="96" width="20.7109375" style="527" customWidth="1"/>
    <col min="97" max="97" width="12.28515625" style="493" customWidth="1"/>
    <col min="98" max="98" width="9.28515625" style="389" hidden="1" customWidth="1"/>
    <col min="99" max="99" width="20.28515625" style="329" hidden="1" customWidth="1"/>
    <col min="100" max="100" width="13.7109375" style="271" hidden="1" customWidth="1"/>
    <col min="101" max="102" width="9.28515625" style="38" hidden="1" customWidth="1"/>
    <col min="103" max="103" width="12.5703125" style="254" hidden="1" customWidth="1"/>
    <col min="104" max="105" width="9.28515625" style="322" hidden="1" customWidth="1"/>
    <col min="106" max="106" width="10.42578125" style="422" hidden="1" customWidth="1"/>
    <col min="107" max="107" width="9.28515625" style="38" hidden="1" customWidth="1"/>
    <col min="108" max="108" width="10.28515625" style="38" hidden="1" customWidth="1"/>
    <col min="109" max="109" width="11.5703125" style="254" hidden="1" customWidth="1"/>
    <col min="110" max="111" width="9.28515625" style="322" hidden="1" customWidth="1"/>
    <col min="112" max="112" width="10.85546875" style="271" hidden="1" customWidth="1"/>
    <col min="113" max="113" width="6.5703125" style="38" hidden="1" customWidth="1"/>
    <col min="114" max="114" width="9.28515625" style="38" hidden="1" customWidth="1"/>
    <col min="115" max="115" width="9.28515625" style="205" hidden="1" customWidth="1"/>
    <col min="116" max="116" width="10.42578125" style="254" hidden="1" customWidth="1"/>
    <col min="117" max="119" width="9.28515625" style="38" hidden="1" customWidth="1"/>
    <col min="120" max="120" width="10.28515625" style="422" hidden="1" customWidth="1"/>
    <col min="121" max="122" width="9.28515625" style="38" hidden="1" customWidth="1"/>
    <col min="123" max="123" width="9.28515625" style="205" hidden="1" customWidth="1"/>
    <col min="124" max="124" width="11" style="254" hidden="1" customWidth="1"/>
    <col min="125" max="126" width="9.28515625" style="161" hidden="1" customWidth="1"/>
    <col min="127" max="127" width="9.28515625" style="199" hidden="1" customWidth="1"/>
    <col min="128" max="128" width="10.42578125" style="271" hidden="1" customWidth="1"/>
    <col min="129" max="131" width="9.28515625" style="38" hidden="1" customWidth="1"/>
    <col min="132" max="132" width="14.28515625" style="38" hidden="1" customWidth="1"/>
    <col min="133" max="135" width="9.28515625" style="38" hidden="1" customWidth="1"/>
    <col min="136" max="136" width="10.28515625" style="422" hidden="1" customWidth="1"/>
    <col min="137" max="139" width="9.28515625" style="38" hidden="1" customWidth="1"/>
    <col min="140" max="140" width="11.5703125" style="254" hidden="1" customWidth="1"/>
    <col min="141" max="143" width="8.7109375" style="38" hidden="1" customWidth="1"/>
    <col min="144" max="144" width="9.85546875" style="271" hidden="1" customWidth="1"/>
    <col min="145" max="145" width="0" hidden="1" customWidth="1"/>
  </cols>
  <sheetData>
    <row r="1" spans="1:144" s="15" customFormat="1" ht="29.1" customHeight="1">
      <c r="A1" s="409"/>
      <c r="B1" s="409"/>
      <c r="C1" s="644" t="s">
        <v>1013</v>
      </c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463"/>
      <c r="Q1" s="463"/>
      <c r="R1" s="250"/>
      <c r="S1" s="465"/>
      <c r="T1" s="3"/>
      <c r="U1" s="61"/>
      <c r="V1" s="61"/>
      <c r="W1" s="465"/>
      <c r="X1" s="61"/>
      <c r="Y1" s="61"/>
      <c r="Z1" s="61"/>
      <c r="AA1" s="465"/>
      <c r="AB1" s="3"/>
      <c r="AC1" s="61"/>
      <c r="AD1" s="387"/>
      <c r="AE1" s="465"/>
      <c r="AF1" s="3"/>
      <c r="AG1" s="61"/>
      <c r="AH1" s="61"/>
      <c r="AI1" s="3"/>
      <c r="AJ1" s="189"/>
      <c r="AK1" s="3"/>
      <c r="AL1" s="61"/>
      <c r="AM1" s="387"/>
      <c r="AN1" s="465"/>
      <c r="AO1" s="3"/>
      <c r="AP1" s="61"/>
      <c r="AQ1" s="465"/>
      <c r="AR1" s="3"/>
      <c r="AS1" s="61"/>
      <c r="AT1" s="465"/>
      <c r="AU1" s="3"/>
      <c r="AV1" s="61"/>
      <c r="AW1" s="465"/>
      <c r="AX1" s="3"/>
      <c r="AY1" s="61"/>
      <c r="AZ1" s="465"/>
      <c r="BA1" s="61"/>
      <c r="BB1" s="61"/>
      <c r="BC1" s="61"/>
      <c r="BD1" s="61"/>
      <c r="BE1" s="61"/>
      <c r="BF1" s="465"/>
      <c r="BG1" s="61"/>
      <c r="BH1" s="61"/>
      <c r="BI1" s="61"/>
      <c r="BJ1" s="3"/>
      <c r="BK1" s="61"/>
      <c r="BL1" s="465"/>
      <c r="BM1" s="61"/>
      <c r="BN1" s="61"/>
      <c r="BO1" s="465"/>
      <c r="BP1" s="3"/>
      <c r="BQ1" s="61"/>
      <c r="BR1" s="465"/>
      <c r="BS1" s="61"/>
      <c r="BT1" s="61"/>
      <c r="BU1" s="465"/>
      <c r="BV1" s="3"/>
      <c r="BW1" s="61"/>
      <c r="BX1" s="465"/>
      <c r="BY1" s="61"/>
      <c r="BZ1" s="61"/>
      <c r="CA1" s="465"/>
      <c r="CB1" s="3"/>
      <c r="CC1" s="61"/>
      <c r="CD1" s="465"/>
      <c r="CE1" s="61"/>
      <c r="CF1" s="61"/>
      <c r="CG1" s="465"/>
      <c r="CH1" s="61"/>
      <c r="CI1" s="61"/>
      <c r="CJ1" s="61"/>
      <c r="CK1" s="61"/>
      <c r="CL1" s="61"/>
      <c r="CM1" s="465"/>
      <c r="CN1" s="61"/>
      <c r="CO1" s="375"/>
      <c r="CP1" s="465"/>
      <c r="CQ1" s="233"/>
      <c r="CR1" s="195"/>
      <c r="CS1" s="465"/>
      <c r="CT1" s="387"/>
      <c r="CU1" s="324"/>
      <c r="CV1" s="270"/>
      <c r="CW1" s="63"/>
      <c r="CX1" s="64"/>
      <c r="CY1" s="372"/>
      <c r="CZ1" s="318"/>
      <c r="DA1" s="318"/>
      <c r="DB1" s="416"/>
      <c r="DC1" s="64"/>
      <c r="DD1" s="64"/>
      <c r="DE1" s="372"/>
      <c r="DF1" s="318"/>
      <c r="DG1" s="318"/>
      <c r="DH1" s="424"/>
      <c r="DI1" s="64"/>
      <c r="DJ1" s="64"/>
      <c r="DK1" s="410"/>
      <c r="DL1" s="372"/>
      <c r="DM1" s="64"/>
      <c r="DN1" s="64"/>
      <c r="DO1" s="64"/>
      <c r="DP1" s="416"/>
      <c r="DQ1" s="64"/>
      <c r="DR1" s="64"/>
      <c r="DS1" s="410"/>
      <c r="DT1" s="372"/>
      <c r="DU1" s="431"/>
      <c r="DV1" s="431"/>
      <c r="DW1" s="432"/>
      <c r="DX1" s="424"/>
      <c r="DY1" s="64"/>
      <c r="DZ1" s="64"/>
      <c r="EA1" s="64"/>
      <c r="EB1" s="65"/>
      <c r="EC1" s="64"/>
      <c r="ED1" s="64"/>
      <c r="EE1" s="64"/>
      <c r="EF1" s="416"/>
      <c r="EG1" s="64"/>
      <c r="EH1" s="64"/>
      <c r="EI1" s="64"/>
      <c r="EJ1" s="372"/>
      <c r="EK1" s="64"/>
      <c r="EL1" s="64"/>
      <c r="EM1" s="64"/>
      <c r="EN1" s="424"/>
    </row>
    <row r="2" spans="1:144" s="18" customFormat="1">
      <c r="A2" s="1"/>
      <c r="B2" s="189"/>
      <c r="C2" s="1"/>
      <c r="D2" s="1"/>
      <c r="E2" s="1"/>
      <c r="F2" s="1"/>
      <c r="G2" s="225"/>
      <c r="H2" s="37"/>
      <c r="I2" s="37"/>
      <c r="J2" s="225"/>
      <c r="K2" s="225"/>
      <c r="L2" s="225"/>
      <c r="M2" s="225"/>
      <c r="N2" s="225"/>
      <c r="O2" s="512"/>
      <c r="P2" s="3"/>
      <c r="Q2" s="61"/>
      <c r="R2" s="387"/>
      <c r="S2" s="465"/>
      <c r="T2" s="3"/>
      <c r="U2" s="61"/>
      <c r="V2" s="61"/>
      <c r="W2" s="465"/>
      <c r="X2" s="61"/>
      <c r="Y2" s="61"/>
      <c r="Z2" s="61"/>
      <c r="AA2" s="465"/>
      <c r="AB2" s="3"/>
      <c r="AC2" s="61"/>
      <c r="AD2" s="387"/>
      <c r="AE2" s="465"/>
      <c r="AF2" s="3"/>
      <c r="AG2" s="61"/>
      <c r="AH2" s="61"/>
      <c r="AI2" s="3"/>
      <c r="AJ2" s="189"/>
      <c r="AK2" s="196"/>
      <c r="AL2" s="61"/>
      <c r="AM2" s="387"/>
      <c r="AN2" s="465"/>
      <c r="AO2" s="3"/>
      <c r="AP2" s="61"/>
      <c r="AQ2" s="465"/>
      <c r="AR2" s="3"/>
      <c r="AS2" s="61"/>
      <c r="AT2" s="465"/>
      <c r="AU2" s="3"/>
      <c r="AV2" s="61"/>
      <c r="AW2" s="465"/>
      <c r="AX2" s="3"/>
      <c r="AY2" s="61"/>
      <c r="AZ2" s="465"/>
      <c r="BA2" s="61"/>
      <c r="BB2" s="61"/>
      <c r="BC2" s="61"/>
      <c r="BD2" s="61"/>
      <c r="BE2" s="61"/>
      <c r="BF2" s="465"/>
      <c r="BG2" s="61"/>
      <c r="BH2" s="61"/>
      <c r="BI2" s="61"/>
      <c r="BJ2" s="3"/>
      <c r="BK2" s="61"/>
      <c r="BL2" s="465"/>
      <c r="BM2" s="61"/>
      <c r="BN2" s="61"/>
      <c r="BO2" s="465"/>
      <c r="BP2" s="3"/>
      <c r="BQ2" s="61"/>
      <c r="BR2" s="465"/>
      <c r="BS2" s="61"/>
      <c r="BT2" s="61"/>
      <c r="BU2" s="465"/>
      <c r="BV2" s="3"/>
      <c r="BW2" s="61"/>
      <c r="BX2" s="465"/>
      <c r="BY2" s="61"/>
      <c r="BZ2" s="61"/>
      <c r="CA2" s="465"/>
      <c r="CB2" s="3"/>
      <c r="CC2" s="61"/>
      <c r="CD2" s="465"/>
      <c r="CE2" s="46"/>
      <c r="CF2" s="61"/>
      <c r="CG2" s="465"/>
      <c r="CH2" s="61"/>
      <c r="CI2" s="61"/>
      <c r="CJ2" s="61"/>
      <c r="CK2" s="61"/>
      <c r="CL2" s="61"/>
      <c r="CM2" s="465"/>
      <c r="CN2" s="61"/>
      <c r="CO2" s="375"/>
      <c r="CP2" s="465"/>
      <c r="CQ2" s="3"/>
      <c r="CR2" s="195"/>
      <c r="CS2" s="465"/>
      <c r="CT2" s="513"/>
      <c r="CU2" s="324"/>
      <c r="CV2" s="270"/>
      <c r="CW2" s="61"/>
      <c r="CX2" s="61"/>
      <c r="CY2" s="255"/>
      <c r="CZ2" s="319"/>
      <c r="DA2" s="319"/>
      <c r="DB2" s="417"/>
      <c r="DC2" s="61"/>
      <c r="DD2" s="61"/>
      <c r="DE2" s="255">
        <v>600</v>
      </c>
      <c r="DF2" s="319"/>
      <c r="DG2" s="319"/>
      <c r="DH2" s="270"/>
      <c r="DI2" s="61"/>
      <c r="DJ2" s="61"/>
      <c r="DK2" s="3"/>
      <c r="DL2" s="255"/>
      <c r="DM2" s="61"/>
      <c r="DN2" s="61"/>
      <c r="DO2" s="61"/>
      <c r="DP2" s="417"/>
      <c r="DQ2" s="61"/>
      <c r="DR2" s="61"/>
      <c r="DS2" s="3"/>
      <c r="DT2" s="255"/>
      <c r="DU2" s="61"/>
      <c r="DV2" s="61"/>
      <c r="DW2" s="3"/>
      <c r="DX2" s="270"/>
      <c r="DY2" s="61"/>
      <c r="DZ2" s="61"/>
      <c r="EA2" s="61"/>
      <c r="EB2" s="62"/>
      <c r="EC2" s="61"/>
      <c r="ED2" s="61"/>
      <c r="EE2" s="61"/>
      <c r="EF2" s="417"/>
      <c r="EG2" s="61"/>
      <c r="EH2" s="61"/>
      <c r="EI2" s="61"/>
      <c r="EJ2" s="255"/>
      <c r="EK2" s="61"/>
      <c r="EL2" s="61"/>
      <c r="EM2" s="61"/>
      <c r="EN2" s="270"/>
    </row>
    <row r="3" spans="1:144" s="16" customFormat="1" ht="33.75" customHeight="1">
      <c r="A3" s="624" t="s">
        <v>1</v>
      </c>
      <c r="B3" s="624" t="s">
        <v>2</v>
      </c>
      <c r="C3" s="624" t="s">
        <v>3</v>
      </c>
      <c r="D3" s="624" t="s">
        <v>4</v>
      </c>
      <c r="E3" s="624" t="s">
        <v>5</v>
      </c>
      <c r="F3" s="624" t="s">
        <v>6</v>
      </c>
      <c r="G3" s="700" t="s">
        <v>607</v>
      </c>
      <c r="H3" s="661"/>
      <c r="I3" s="661"/>
      <c r="J3" s="625" t="s">
        <v>606</v>
      </c>
      <c r="K3" s="625" t="s">
        <v>608</v>
      </c>
      <c r="L3" s="625" t="s">
        <v>567</v>
      </c>
      <c r="M3" s="625" t="s">
        <v>605</v>
      </c>
      <c r="N3" s="625" t="s">
        <v>8</v>
      </c>
      <c r="O3" s="701" t="s">
        <v>587</v>
      </c>
      <c r="P3" s="236" t="s">
        <v>9</v>
      </c>
      <c r="Q3" s="247"/>
      <c r="R3" s="388"/>
      <c r="S3" s="514"/>
      <c r="T3" s="236" t="s">
        <v>10</v>
      </c>
      <c r="U3" s="247"/>
      <c r="V3" s="247"/>
      <c r="W3" s="514"/>
      <c r="X3" s="247"/>
      <c r="Y3" s="247"/>
      <c r="Z3" s="247"/>
      <c r="AA3" s="515"/>
      <c r="AB3" s="236" t="s">
        <v>11</v>
      </c>
      <c r="AC3" s="247"/>
      <c r="AD3" s="388"/>
      <c r="AE3" s="514"/>
      <c r="AF3" s="236" t="s">
        <v>12</v>
      </c>
      <c r="AG3" s="247"/>
      <c r="AH3" s="247"/>
      <c r="AI3" s="287"/>
      <c r="AJ3" s="516"/>
      <c r="AK3" s="236" t="s">
        <v>12</v>
      </c>
      <c r="AL3" s="247"/>
      <c r="AM3" s="388"/>
      <c r="AN3" s="515"/>
      <c r="AO3" s="648" t="s">
        <v>13</v>
      </c>
      <c r="AP3" s="649"/>
      <c r="AQ3" s="650"/>
      <c r="AR3" s="236" t="s">
        <v>14</v>
      </c>
      <c r="AS3" s="247"/>
      <c r="AT3" s="514"/>
      <c r="AU3" s="236" t="s">
        <v>15</v>
      </c>
      <c r="AV3" s="247"/>
      <c r="AW3" s="514"/>
      <c r="AX3" s="236" t="s">
        <v>16</v>
      </c>
      <c r="AY3" s="247"/>
      <c r="AZ3" s="514"/>
      <c r="BA3" s="517" t="s">
        <v>17</v>
      </c>
      <c r="BB3" s="247"/>
      <c r="BC3" s="247"/>
      <c r="BD3" s="695" t="s">
        <v>18</v>
      </c>
      <c r="BE3" s="696"/>
      <c r="BF3" s="696"/>
      <c r="BG3" s="696"/>
      <c r="BH3" s="696"/>
      <c r="BI3" s="697"/>
      <c r="BJ3" s="236" t="s">
        <v>19</v>
      </c>
      <c r="BK3" s="247"/>
      <c r="BL3" s="514"/>
      <c r="BM3" s="247"/>
      <c r="BN3" s="247"/>
      <c r="BO3" s="515"/>
      <c r="BP3" s="236" t="s">
        <v>20</v>
      </c>
      <c r="BQ3" s="247"/>
      <c r="BR3" s="514"/>
      <c r="BS3" s="517" t="s">
        <v>20</v>
      </c>
      <c r="BT3" s="247"/>
      <c r="BU3" s="515"/>
      <c r="BV3" s="236" t="s">
        <v>21</v>
      </c>
      <c r="BW3" s="247"/>
      <c r="BX3" s="514"/>
      <c r="BY3" s="247"/>
      <c r="BZ3" s="247"/>
      <c r="CA3" s="515"/>
      <c r="CB3" s="236" t="s">
        <v>22</v>
      </c>
      <c r="CC3" s="247"/>
      <c r="CD3" s="514"/>
      <c r="CE3" s="247"/>
      <c r="CF3" s="247"/>
      <c r="CG3" s="515"/>
      <c r="CH3" s="695" t="s">
        <v>23</v>
      </c>
      <c r="CI3" s="696"/>
      <c r="CJ3" s="696"/>
      <c r="CK3" s="696"/>
      <c r="CL3" s="696"/>
      <c r="CM3" s="697"/>
      <c r="CN3" s="517" t="s">
        <v>24</v>
      </c>
      <c r="CO3" s="518"/>
      <c r="CP3" s="515"/>
      <c r="CQ3" s="236" t="s">
        <v>25</v>
      </c>
      <c r="CR3" s="519"/>
      <c r="CS3" s="514"/>
      <c r="CT3" s="520" t="s">
        <v>25</v>
      </c>
      <c r="CU3" s="325"/>
      <c r="CV3" s="429"/>
      <c r="CW3" s="104" t="s">
        <v>26</v>
      </c>
      <c r="CX3" s="211"/>
      <c r="CY3" s="373"/>
      <c r="CZ3" s="320"/>
      <c r="DA3" s="320"/>
      <c r="DB3" s="418"/>
      <c r="DC3" s="104" t="s">
        <v>27</v>
      </c>
      <c r="DD3" s="211"/>
      <c r="DE3" s="373"/>
      <c r="DF3" s="320"/>
      <c r="DG3" s="320"/>
      <c r="DH3" s="425"/>
      <c r="DI3" s="104" t="s">
        <v>28</v>
      </c>
      <c r="DJ3" s="211"/>
      <c r="DK3" s="412"/>
      <c r="DL3" s="373"/>
      <c r="DM3" s="211"/>
      <c r="DN3" s="211"/>
      <c r="DO3" s="211"/>
      <c r="DP3" s="418"/>
      <c r="DQ3" s="104" t="s">
        <v>29</v>
      </c>
      <c r="DR3" s="211"/>
      <c r="DS3" s="412"/>
      <c r="DT3" s="373"/>
      <c r="DU3" s="433"/>
      <c r="DV3" s="433"/>
      <c r="DW3" s="434"/>
      <c r="DX3" s="425"/>
      <c r="DY3" s="104" t="s">
        <v>30</v>
      </c>
      <c r="DZ3" s="211"/>
      <c r="EA3" s="211"/>
      <c r="EB3" s="211"/>
      <c r="EC3" s="211"/>
      <c r="ED3" s="211"/>
      <c r="EE3" s="211"/>
      <c r="EF3" s="418"/>
      <c r="EG3" s="104" t="s">
        <v>31</v>
      </c>
      <c r="EH3" s="211"/>
      <c r="EI3" s="211"/>
      <c r="EJ3" s="373"/>
      <c r="EK3" s="211"/>
      <c r="EL3" s="211"/>
      <c r="EM3" s="211"/>
      <c r="EN3" s="425"/>
    </row>
    <row r="4" spans="1:144" s="4" customFormat="1">
      <c r="A4" s="624"/>
      <c r="B4" s="624"/>
      <c r="C4" s="624"/>
      <c r="D4" s="624"/>
      <c r="E4" s="624"/>
      <c r="F4" s="624"/>
      <c r="G4" s="625" t="s">
        <v>586</v>
      </c>
      <c r="H4" s="661" t="s">
        <v>33</v>
      </c>
      <c r="I4" s="661"/>
      <c r="J4" s="626"/>
      <c r="K4" s="626"/>
      <c r="L4" s="626"/>
      <c r="M4" s="626"/>
      <c r="N4" s="626"/>
      <c r="O4" s="702"/>
      <c r="P4" s="633" t="s">
        <v>34</v>
      </c>
      <c r="Q4" s="633"/>
      <c r="R4" s="615"/>
      <c r="S4" s="633"/>
      <c r="T4" s="633" t="s">
        <v>34</v>
      </c>
      <c r="U4" s="633"/>
      <c r="V4" s="633"/>
      <c r="W4" s="633"/>
      <c r="X4" s="517"/>
      <c r="Y4" s="247" t="s">
        <v>547</v>
      </c>
      <c r="Z4" s="247"/>
      <c r="AA4" s="515"/>
      <c r="AB4" s="633" t="s">
        <v>34</v>
      </c>
      <c r="AC4" s="633"/>
      <c r="AD4" s="615"/>
      <c r="AE4" s="633"/>
      <c r="AF4" s="633" t="s">
        <v>34</v>
      </c>
      <c r="AG4" s="633"/>
      <c r="AH4" s="633"/>
      <c r="AI4" s="633"/>
      <c r="AJ4" s="614"/>
      <c r="AK4" s="633" t="s">
        <v>35</v>
      </c>
      <c r="AL4" s="633"/>
      <c r="AM4" s="633"/>
      <c r="AN4" s="633"/>
      <c r="AO4" s="662" t="s">
        <v>34</v>
      </c>
      <c r="AP4" s="662"/>
      <c r="AQ4" s="663"/>
      <c r="AR4" s="633" t="s">
        <v>34</v>
      </c>
      <c r="AS4" s="633"/>
      <c r="AT4" s="633"/>
      <c r="AU4" s="633" t="s">
        <v>34</v>
      </c>
      <c r="AV4" s="633"/>
      <c r="AW4" s="614"/>
      <c r="AX4" s="633" t="s">
        <v>34</v>
      </c>
      <c r="AY4" s="633"/>
      <c r="AZ4" s="614"/>
      <c r="BA4" s="633" t="s">
        <v>34</v>
      </c>
      <c r="BB4" s="633"/>
      <c r="BC4" s="633"/>
      <c r="BD4" s="633" t="s">
        <v>34</v>
      </c>
      <c r="BE4" s="633"/>
      <c r="BF4" s="633"/>
      <c r="BG4" s="633" t="s">
        <v>35</v>
      </c>
      <c r="BH4" s="633"/>
      <c r="BI4" s="633"/>
      <c r="BJ4" s="633" t="s">
        <v>34</v>
      </c>
      <c r="BK4" s="633"/>
      <c r="BL4" s="614"/>
      <c r="BM4" s="633" t="s">
        <v>35</v>
      </c>
      <c r="BN4" s="633"/>
      <c r="BO4" s="633"/>
      <c r="BP4" s="633" t="s">
        <v>34</v>
      </c>
      <c r="BQ4" s="633"/>
      <c r="BR4" s="614"/>
      <c r="BS4" s="633" t="s">
        <v>35</v>
      </c>
      <c r="BT4" s="633"/>
      <c r="BU4" s="633"/>
      <c r="BV4" s="633" t="s">
        <v>34</v>
      </c>
      <c r="BW4" s="633"/>
      <c r="BX4" s="614"/>
      <c r="BY4" s="633" t="s">
        <v>35</v>
      </c>
      <c r="BZ4" s="633"/>
      <c r="CA4" s="633"/>
      <c r="CB4" s="616" t="s">
        <v>34</v>
      </c>
      <c r="CC4" s="633"/>
      <c r="CD4" s="614"/>
      <c r="CE4" s="517" t="s">
        <v>35</v>
      </c>
      <c r="CF4" s="247"/>
      <c r="CG4" s="515"/>
      <c r="CH4" s="633" t="s">
        <v>34</v>
      </c>
      <c r="CI4" s="633"/>
      <c r="CJ4" s="633"/>
      <c r="CK4" s="633" t="s">
        <v>35</v>
      </c>
      <c r="CL4" s="633"/>
      <c r="CM4" s="633"/>
      <c r="CN4" s="633" t="s">
        <v>34</v>
      </c>
      <c r="CO4" s="633"/>
      <c r="CP4" s="614"/>
      <c r="CQ4" s="616" t="s">
        <v>34</v>
      </c>
      <c r="CR4" s="671"/>
      <c r="CS4" s="633"/>
      <c r="CT4" s="672" t="s">
        <v>35</v>
      </c>
      <c r="CU4" s="672"/>
      <c r="CV4" s="673"/>
      <c r="CW4" s="658" t="s">
        <v>37</v>
      </c>
      <c r="CX4" s="659"/>
      <c r="CY4" s="660"/>
      <c r="CZ4" s="666" t="s">
        <v>35</v>
      </c>
      <c r="DA4" s="667"/>
      <c r="DB4" s="668"/>
      <c r="DC4" s="658" t="s">
        <v>37</v>
      </c>
      <c r="DD4" s="659"/>
      <c r="DE4" s="660"/>
      <c r="DF4" s="666" t="s">
        <v>35</v>
      </c>
      <c r="DG4" s="667"/>
      <c r="DH4" s="668"/>
      <c r="DI4" s="658" t="s">
        <v>37</v>
      </c>
      <c r="DJ4" s="659"/>
      <c r="DK4" s="659"/>
      <c r="DL4" s="660"/>
      <c r="DM4" s="658" t="s">
        <v>35</v>
      </c>
      <c r="DN4" s="659"/>
      <c r="DO4" s="659"/>
      <c r="DP4" s="660"/>
      <c r="DQ4" s="658" t="s">
        <v>37</v>
      </c>
      <c r="DR4" s="659"/>
      <c r="DS4" s="659"/>
      <c r="DT4" s="660"/>
      <c r="DU4" s="666" t="s">
        <v>35</v>
      </c>
      <c r="DV4" s="667"/>
      <c r="DW4" s="667"/>
      <c r="DX4" s="668"/>
      <c r="DY4" s="658" t="s">
        <v>37</v>
      </c>
      <c r="DZ4" s="659"/>
      <c r="EA4" s="659"/>
      <c r="EB4" s="660"/>
      <c r="EC4" s="658" t="s">
        <v>35</v>
      </c>
      <c r="ED4" s="659"/>
      <c r="EE4" s="659"/>
      <c r="EF4" s="660"/>
      <c r="EG4" s="658" t="s">
        <v>37</v>
      </c>
      <c r="EH4" s="659"/>
      <c r="EI4" s="659"/>
      <c r="EJ4" s="660"/>
      <c r="EK4" s="658" t="s">
        <v>35</v>
      </c>
      <c r="EL4" s="659"/>
      <c r="EM4" s="659"/>
      <c r="EN4" s="660"/>
    </row>
    <row r="5" spans="1:144" s="4" customFormat="1">
      <c r="A5" s="624"/>
      <c r="B5" s="624"/>
      <c r="C5" s="624"/>
      <c r="D5" s="624"/>
      <c r="E5" s="624"/>
      <c r="F5" s="624"/>
      <c r="G5" s="626"/>
      <c r="H5" s="664" t="s">
        <v>584</v>
      </c>
      <c r="I5" s="664" t="s">
        <v>585</v>
      </c>
      <c r="J5" s="626"/>
      <c r="K5" s="626"/>
      <c r="L5" s="626"/>
      <c r="M5" s="626"/>
      <c r="N5" s="626"/>
      <c r="O5" s="702"/>
      <c r="P5" s="616" t="s">
        <v>527</v>
      </c>
      <c r="Q5" s="633" t="s">
        <v>41</v>
      </c>
      <c r="R5" s="655" t="s">
        <v>42</v>
      </c>
      <c r="S5" s="651" t="s">
        <v>43</v>
      </c>
      <c r="T5" s="616" t="s">
        <v>40</v>
      </c>
      <c r="U5" s="633" t="s">
        <v>44</v>
      </c>
      <c r="V5" s="653" t="s">
        <v>45</v>
      </c>
      <c r="W5" s="614" t="s">
        <v>46</v>
      </c>
      <c r="X5" s="616" t="s">
        <v>40</v>
      </c>
      <c r="Y5" s="633" t="s">
        <v>44</v>
      </c>
      <c r="Z5" s="653" t="s">
        <v>45</v>
      </c>
      <c r="AA5" s="669" t="s">
        <v>46</v>
      </c>
      <c r="AB5" s="616" t="s">
        <v>40</v>
      </c>
      <c r="AC5" s="633" t="s">
        <v>47</v>
      </c>
      <c r="AD5" s="655" t="s">
        <v>306</v>
      </c>
      <c r="AE5" s="614" t="s">
        <v>48</v>
      </c>
      <c r="AF5" s="616" t="s">
        <v>40</v>
      </c>
      <c r="AG5" s="693" t="s">
        <v>49</v>
      </c>
      <c r="AH5" s="633" t="s">
        <v>44</v>
      </c>
      <c r="AI5" s="698" t="s">
        <v>45</v>
      </c>
      <c r="AJ5" s="657" t="s">
        <v>48</v>
      </c>
      <c r="AK5" s="616" t="s">
        <v>40</v>
      </c>
      <c r="AL5" s="633" t="s">
        <v>44</v>
      </c>
      <c r="AM5" s="655" t="s">
        <v>45</v>
      </c>
      <c r="AN5" s="614" t="s">
        <v>48</v>
      </c>
      <c r="AO5" s="615" t="s">
        <v>40</v>
      </c>
      <c r="AP5" s="662" t="s">
        <v>47</v>
      </c>
      <c r="AQ5" s="674" t="s">
        <v>43</v>
      </c>
      <c r="AR5" s="616" t="s">
        <v>40</v>
      </c>
      <c r="AS5" s="633" t="s">
        <v>47</v>
      </c>
      <c r="AT5" s="651" t="s">
        <v>43</v>
      </c>
      <c r="AU5" s="616" t="s">
        <v>40</v>
      </c>
      <c r="AV5" s="633" t="s">
        <v>47</v>
      </c>
      <c r="AW5" s="651" t="s">
        <v>43</v>
      </c>
      <c r="AX5" s="616" t="s">
        <v>40</v>
      </c>
      <c r="AY5" s="633" t="s">
        <v>47</v>
      </c>
      <c r="AZ5" s="651" t="s">
        <v>43</v>
      </c>
      <c r="BA5" s="633" t="s">
        <v>40</v>
      </c>
      <c r="BB5" s="633" t="s">
        <v>47</v>
      </c>
      <c r="BC5" s="653" t="s">
        <v>43</v>
      </c>
      <c r="BD5" s="633" t="s">
        <v>40</v>
      </c>
      <c r="BE5" s="633" t="s">
        <v>47</v>
      </c>
      <c r="BF5" s="651" t="s">
        <v>43</v>
      </c>
      <c r="BG5" s="633" t="s">
        <v>40</v>
      </c>
      <c r="BH5" s="633" t="s">
        <v>47</v>
      </c>
      <c r="BI5" s="653" t="s">
        <v>43</v>
      </c>
      <c r="BJ5" s="616" t="s">
        <v>40</v>
      </c>
      <c r="BK5" s="633" t="s">
        <v>47</v>
      </c>
      <c r="BL5" s="651" t="s">
        <v>43</v>
      </c>
      <c r="BM5" s="633" t="s">
        <v>40</v>
      </c>
      <c r="BN5" s="633" t="s">
        <v>47</v>
      </c>
      <c r="BO5" s="651" t="s">
        <v>43</v>
      </c>
      <c r="BP5" s="616" t="s">
        <v>40</v>
      </c>
      <c r="BQ5" s="633" t="s">
        <v>47</v>
      </c>
      <c r="BR5" s="651" t="s">
        <v>43</v>
      </c>
      <c r="BS5" s="633" t="s">
        <v>40</v>
      </c>
      <c r="BT5" s="633" t="s">
        <v>47</v>
      </c>
      <c r="BU5" s="651" t="s">
        <v>43</v>
      </c>
      <c r="BV5" s="616" t="s">
        <v>40</v>
      </c>
      <c r="BW5" s="633" t="s">
        <v>41</v>
      </c>
      <c r="BX5" s="651" t="s">
        <v>43</v>
      </c>
      <c r="BY5" s="633" t="s">
        <v>40</v>
      </c>
      <c r="BZ5" s="633" t="s">
        <v>564</v>
      </c>
      <c r="CA5" s="651" t="s">
        <v>43</v>
      </c>
      <c r="CB5" s="616" t="s">
        <v>40</v>
      </c>
      <c r="CC5" s="633" t="s">
        <v>44</v>
      </c>
      <c r="CD5" s="651" t="s">
        <v>43</v>
      </c>
      <c r="CE5" s="633" t="s">
        <v>40</v>
      </c>
      <c r="CF5" s="633" t="s">
        <v>44</v>
      </c>
      <c r="CG5" s="651" t="s">
        <v>43</v>
      </c>
      <c r="CH5" s="633" t="s">
        <v>40</v>
      </c>
      <c r="CI5" s="633" t="s">
        <v>44</v>
      </c>
      <c r="CJ5" s="653" t="s">
        <v>43</v>
      </c>
      <c r="CK5" s="633" t="s">
        <v>40</v>
      </c>
      <c r="CL5" s="633" t="s">
        <v>44</v>
      </c>
      <c r="CM5" s="651" t="s">
        <v>43</v>
      </c>
      <c r="CN5" s="633" t="s">
        <v>40</v>
      </c>
      <c r="CO5" s="681" t="s">
        <v>50</v>
      </c>
      <c r="CP5" s="651" t="s">
        <v>43</v>
      </c>
      <c r="CQ5" s="616" t="s">
        <v>40</v>
      </c>
      <c r="CR5" s="671" t="s">
        <v>356</v>
      </c>
      <c r="CS5" s="651" t="s">
        <v>43</v>
      </c>
      <c r="CT5" s="615" t="s">
        <v>40</v>
      </c>
      <c r="CU5" s="672"/>
      <c r="CV5" s="683" t="s">
        <v>43</v>
      </c>
      <c r="CW5" s="676" t="s">
        <v>40</v>
      </c>
      <c r="CX5" s="677" t="s">
        <v>51</v>
      </c>
      <c r="CY5" s="679" t="s">
        <v>43</v>
      </c>
      <c r="CZ5" s="673" t="s">
        <v>40</v>
      </c>
      <c r="DA5" s="691" t="s">
        <v>51</v>
      </c>
      <c r="DB5" s="687" t="s">
        <v>43</v>
      </c>
      <c r="DC5" s="676" t="s">
        <v>40</v>
      </c>
      <c r="DD5" s="677" t="s">
        <v>52</v>
      </c>
      <c r="DE5" s="679" t="s">
        <v>43</v>
      </c>
      <c r="DF5" s="673" t="s">
        <v>40</v>
      </c>
      <c r="DG5" s="691" t="s">
        <v>52</v>
      </c>
      <c r="DH5" s="683" t="s">
        <v>43</v>
      </c>
      <c r="DI5" s="676" t="s">
        <v>40</v>
      </c>
      <c r="DJ5" s="677" t="s">
        <v>51</v>
      </c>
      <c r="DK5" s="689" t="s">
        <v>42</v>
      </c>
      <c r="DL5" s="679" t="s">
        <v>43</v>
      </c>
      <c r="DM5" s="676" t="s">
        <v>40</v>
      </c>
      <c r="DN5" s="677" t="s">
        <v>52</v>
      </c>
      <c r="DO5" s="677" t="s">
        <v>42</v>
      </c>
      <c r="DP5" s="687" t="s">
        <v>43</v>
      </c>
      <c r="DQ5" s="676" t="s">
        <v>40</v>
      </c>
      <c r="DR5" s="677" t="s">
        <v>53</v>
      </c>
      <c r="DS5" s="689" t="s">
        <v>42</v>
      </c>
      <c r="DT5" s="679" t="s">
        <v>43</v>
      </c>
      <c r="DU5" s="633" t="s">
        <v>40</v>
      </c>
      <c r="DV5" s="693" t="s">
        <v>53</v>
      </c>
      <c r="DW5" s="655" t="s">
        <v>42</v>
      </c>
      <c r="DX5" s="683" t="s">
        <v>43</v>
      </c>
      <c r="DY5" s="676" t="s">
        <v>40</v>
      </c>
      <c r="DZ5" s="677" t="s">
        <v>51</v>
      </c>
      <c r="EA5" s="66" t="s">
        <v>45</v>
      </c>
      <c r="EB5" s="685" t="s">
        <v>43</v>
      </c>
      <c r="EC5" s="676" t="s">
        <v>40</v>
      </c>
      <c r="ED5" s="677" t="s">
        <v>52</v>
      </c>
      <c r="EE5" s="66" t="s">
        <v>45</v>
      </c>
      <c r="EF5" s="687" t="s">
        <v>43</v>
      </c>
      <c r="EG5" s="676" t="s">
        <v>40</v>
      </c>
      <c r="EH5" s="677" t="s">
        <v>51</v>
      </c>
      <c r="EI5" s="66" t="s">
        <v>54</v>
      </c>
      <c r="EJ5" s="679" t="s">
        <v>43</v>
      </c>
      <c r="EK5" s="676" t="s">
        <v>40</v>
      </c>
      <c r="EL5" s="677" t="s">
        <v>53</v>
      </c>
      <c r="EM5" s="677" t="s">
        <v>54</v>
      </c>
      <c r="EN5" s="683" t="s">
        <v>43</v>
      </c>
    </row>
    <row r="6" spans="1:144" s="4" customFormat="1" ht="26.65" customHeight="1">
      <c r="A6" s="624"/>
      <c r="B6" s="624"/>
      <c r="C6" s="624"/>
      <c r="D6" s="624"/>
      <c r="E6" s="624"/>
      <c r="F6" s="624"/>
      <c r="G6" s="627"/>
      <c r="H6" s="665"/>
      <c r="I6" s="665"/>
      <c r="J6" s="627"/>
      <c r="K6" s="627"/>
      <c r="L6" s="627"/>
      <c r="M6" s="627"/>
      <c r="N6" s="627"/>
      <c r="O6" s="703"/>
      <c r="P6" s="616"/>
      <c r="Q6" s="633"/>
      <c r="R6" s="656"/>
      <c r="S6" s="652"/>
      <c r="T6" s="616"/>
      <c r="U6" s="633"/>
      <c r="V6" s="654"/>
      <c r="W6" s="614"/>
      <c r="X6" s="616"/>
      <c r="Y6" s="633"/>
      <c r="Z6" s="654"/>
      <c r="AA6" s="670"/>
      <c r="AB6" s="616"/>
      <c r="AC6" s="633"/>
      <c r="AD6" s="656"/>
      <c r="AE6" s="614"/>
      <c r="AF6" s="616"/>
      <c r="AG6" s="694"/>
      <c r="AH6" s="633"/>
      <c r="AI6" s="699"/>
      <c r="AJ6" s="657"/>
      <c r="AK6" s="616"/>
      <c r="AL6" s="633"/>
      <c r="AM6" s="656"/>
      <c r="AN6" s="614"/>
      <c r="AO6" s="615"/>
      <c r="AP6" s="662"/>
      <c r="AQ6" s="675"/>
      <c r="AR6" s="616"/>
      <c r="AS6" s="633"/>
      <c r="AT6" s="652"/>
      <c r="AU6" s="616"/>
      <c r="AV6" s="633"/>
      <c r="AW6" s="652"/>
      <c r="AX6" s="616"/>
      <c r="AY6" s="633"/>
      <c r="AZ6" s="652"/>
      <c r="BA6" s="633"/>
      <c r="BB6" s="633"/>
      <c r="BC6" s="654"/>
      <c r="BD6" s="633"/>
      <c r="BE6" s="633"/>
      <c r="BF6" s="652"/>
      <c r="BG6" s="633"/>
      <c r="BH6" s="633"/>
      <c r="BI6" s="654"/>
      <c r="BJ6" s="616"/>
      <c r="BK6" s="633"/>
      <c r="BL6" s="652"/>
      <c r="BM6" s="633"/>
      <c r="BN6" s="633"/>
      <c r="BO6" s="652"/>
      <c r="BP6" s="616"/>
      <c r="BQ6" s="633"/>
      <c r="BR6" s="652"/>
      <c r="BS6" s="633"/>
      <c r="BT6" s="633"/>
      <c r="BU6" s="652"/>
      <c r="BV6" s="616"/>
      <c r="BW6" s="633"/>
      <c r="BX6" s="652"/>
      <c r="BY6" s="633"/>
      <c r="BZ6" s="633"/>
      <c r="CA6" s="652"/>
      <c r="CB6" s="616"/>
      <c r="CC6" s="633"/>
      <c r="CD6" s="652"/>
      <c r="CE6" s="633"/>
      <c r="CF6" s="633"/>
      <c r="CG6" s="652"/>
      <c r="CH6" s="633"/>
      <c r="CI6" s="633"/>
      <c r="CJ6" s="654"/>
      <c r="CK6" s="633"/>
      <c r="CL6" s="633"/>
      <c r="CM6" s="652"/>
      <c r="CN6" s="633"/>
      <c r="CO6" s="682"/>
      <c r="CP6" s="652"/>
      <c r="CQ6" s="616"/>
      <c r="CR6" s="671"/>
      <c r="CS6" s="652"/>
      <c r="CT6" s="615"/>
      <c r="CU6" s="672"/>
      <c r="CV6" s="684"/>
      <c r="CW6" s="676"/>
      <c r="CX6" s="678"/>
      <c r="CY6" s="680"/>
      <c r="CZ6" s="673"/>
      <c r="DA6" s="692"/>
      <c r="DB6" s="688"/>
      <c r="DC6" s="676"/>
      <c r="DD6" s="678"/>
      <c r="DE6" s="680"/>
      <c r="DF6" s="673"/>
      <c r="DG6" s="692"/>
      <c r="DH6" s="684"/>
      <c r="DI6" s="676"/>
      <c r="DJ6" s="678"/>
      <c r="DK6" s="690"/>
      <c r="DL6" s="680"/>
      <c r="DM6" s="676"/>
      <c r="DN6" s="678"/>
      <c r="DO6" s="678"/>
      <c r="DP6" s="688"/>
      <c r="DQ6" s="676"/>
      <c r="DR6" s="678"/>
      <c r="DS6" s="690"/>
      <c r="DT6" s="680"/>
      <c r="DU6" s="633"/>
      <c r="DV6" s="694"/>
      <c r="DW6" s="656"/>
      <c r="DX6" s="684"/>
      <c r="DY6" s="676"/>
      <c r="DZ6" s="678"/>
      <c r="EA6" s="67"/>
      <c r="EB6" s="686"/>
      <c r="EC6" s="676"/>
      <c r="ED6" s="678"/>
      <c r="EE6" s="67"/>
      <c r="EF6" s="688"/>
      <c r="EG6" s="676"/>
      <c r="EH6" s="678"/>
      <c r="EI6" s="67"/>
      <c r="EJ6" s="680"/>
      <c r="EK6" s="676"/>
      <c r="EL6" s="678"/>
      <c r="EM6" s="678"/>
      <c r="EN6" s="684"/>
    </row>
    <row r="7" spans="1:144" s="82" customFormat="1" ht="14.1" customHeight="1">
      <c r="A7" s="39" t="s">
        <v>360</v>
      </c>
      <c r="B7" s="39">
        <v>2</v>
      </c>
      <c r="C7" s="39">
        <v>3</v>
      </c>
      <c r="D7" s="39">
        <v>4</v>
      </c>
      <c r="E7" s="39">
        <v>5</v>
      </c>
      <c r="F7" s="39">
        <v>6</v>
      </c>
      <c r="G7" s="226"/>
      <c r="H7" s="39"/>
      <c r="I7" s="39"/>
      <c r="J7" s="226"/>
      <c r="K7" s="226">
        <v>7</v>
      </c>
      <c r="L7" s="226"/>
      <c r="M7" s="226"/>
      <c r="N7" s="226">
        <v>9</v>
      </c>
      <c r="O7" s="456">
        <v>10</v>
      </c>
      <c r="P7" s="197">
        <v>11</v>
      </c>
      <c r="Q7" s="39">
        <v>12</v>
      </c>
      <c r="R7" s="197"/>
      <c r="S7" s="452">
        <v>13</v>
      </c>
      <c r="T7" s="197">
        <v>17</v>
      </c>
      <c r="U7" s="39">
        <v>18</v>
      </c>
      <c r="V7" s="39"/>
      <c r="W7" s="452">
        <v>19</v>
      </c>
      <c r="X7" s="39"/>
      <c r="Y7" s="39"/>
      <c r="Z7" s="39"/>
      <c r="AA7" s="452"/>
      <c r="AB7" s="197">
        <v>23</v>
      </c>
      <c r="AC7" s="39">
        <v>24</v>
      </c>
      <c r="AD7" s="197"/>
      <c r="AE7" s="452">
        <v>25</v>
      </c>
      <c r="AF7" s="197">
        <v>29</v>
      </c>
      <c r="AG7" s="39"/>
      <c r="AH7" s="39">
        <v>30</v>
      </c>
      <c r="AI7" s="197"/>
      <c r="AJ7" s="521">
        <v>31</v>
      </c>
      <c r="AK7" s="197">
        <v>32</v>
      </c>
      <c r="AL7" s="39">
        <v>33</v>
      </c>
      <c r="AM7" s="197"/>
      <c r="AN7" s="452">
        <v>34</v>
      </c>
      <c r="AO7" s="197">
        <v>35</v>
      </c>
      <c r="AP7" s="39">
        <v>36</v>
      </c>
      <c r="AQ7" s="452">
        <v>37</v>
      </c>
      <c r="AR7" s="197">
        <v>41</v>
      </c>
      <c r="AS7" s="39">
        <v>42</v>
      </c>
      <c r="AT7" s="452">
        <v>43</v>
      </c>
      <c r="AU7" s="197">
        <v>47</v>
      </c>
      <c r="AV7" s="39">
        <v>48</v>
      </c>
      <c r="AW7" s="452">
        <v>49</v>
      </c>
      <c r="AX7" s="197">
        <v>53</v>
      </c>
      <c r="AY7" s="39">
        <v>54</v>
      </c>
      <c r="AZ7" s="452">
        <v>55</v>
      </c>
      <c r="BA7" s="39">
        <v>59</v>
      </c>
      <c r="BB7" s="39">
        <v>60</v>
      </c>
      <c r="BC7" s="39">
        <v>61</v>
      </c>
      <c r="BD7" s="39">
        <v>65</v>
      </c>
      <c r="BE7" s="39">
        <v>66</v>
      </c>
      <c r="BF7" s="452">
        <v>67</v>
      </c>
      <c r="BG7" s="39"/>
      <c r="BH7" s="39"/>
      <c r="BI7" s="39"/>
      <c r="BJ7" s="197">
        <v>71</v>
      </c>
      <c r="BK7" s="39">
        <v>72</v>
      </c>
      <c r="BL7" s="452">
        <v>73</v>
      </c>
      <c r="BM7" s="39">
        <v>74</v>
      </c>
      <c r="BN7" s="39">
        <v>75</v>
      </c>
      <c r="BO7" s="452">
        <v>76</v>
      </c>
      <c r="BP7" s="197">
        <v>77</v>
      </c>
      <c r="BQ7" s="39">
        <v>78</v>
      </c>
      <c r="BR7" s="452">
        <v>79</v>
      </c>
      <c r="BS7" s="39">
        <v>80</v>
      </c>
      <c r="BT7" s="39">
        <v>81</v>
      </c>
      <c r="BU7" s="452">
        <v>82</v>
      </c>
      <c r="BV7" s="197">
        <v>83</v>
      </c>
      <c r="BW7" s="39">
        <v>84</v>
      </c>
      <c r="BX7" s="452">
        <v>85</v>
      </c>
      <c r="BY7" s="39">
        <v>86</v>
      </c>
      <c r="BZ7" s="39">
        <v>87</v>
      </c>
      <c r="CA7" s="452">
        <v>88</v>
      </c>
      <c r="CB7" s="197">
        <v>89</v>
      </c>
      <c r="CC7" s="39">
        <v>90</v>
      </c>
      <c r="CD7" s="452">
        <v>91</v>
      </c>
      <c r="CE7" s="39">
        <v>92</v>
      </c>
      <c r="CF7" s="39">
        <v>93</v>
      </c>
      <c r="CG7" s="452">
        <v>94</v>
      </c>
      <c r="CH7" s="39">
        <v>95</v>
      </c>
      <c r="CI7" s="39">
        <v>96</v>
      </c>
      <c r="CJ7" s="39">
        <v>97</v>
      </c>
      <c r="CK7" s="39">
        <v>98</v>
      </c>
      <c r="CL7" s="39">
        <v>99</v>
      </c>
      <c r="CM7" s="452">
        <v>100</v>
      </c>
      <c r="CN7" s="39">
        <v>101</v>
      </c>
      <c r="CO7" s="522">
        <v>102</v>
      </c>
      <c r="CP7" s="452">
        <v>103</v>
      </c>
      <c r="CQ7" s="197">
        <v>104</v>
      </c>
      <c r="CR7" s="39">
        <v>105</v>
      </c>
      <c r="CS7" s="452">
        <v>106</v>
      </c>
      <c r="CT7" s="197">
        <v>107</v>
      </c>
      <c r="CU7" s="326">
        <v>108</v>
      </c>
      <c r="CV7" s="430">
        <v>109</v>
      </c>
      <c r="CW7" s="80"/>
      <c r="CX7" s="80"/>
      <c r="CY7" s="374"/>
      <c r="CZ7" s="321"/>
      <c r="DA7" s="321"/>
      <c r="DB7" s="419"/>
      <c r="DC7" s="80"/>
      <c r="DD7" s="80"/>
      <c r="DE7" s="374"/>
      <c r="DF7" s="321"/>
      <c r="DG7" s="321"/>
      <c r="DH7" s="426"/>
      <c r="DI7" s="80"/>
      <c r="DJ7" s="80"/>
      <c r="DK7" s="413"/>
      <c r="DL7" s="374"/>
      <c r="DM7" s="80"/>
      <c r="DN7" s="80"/>
      <c r="DO7" s="80"/>
      <c r="DP7" s="419"/>
      <c r="DQ7" s="80"/>
      <c r="DR7" s="80"/>
      <c r="DS7" s="413"/>
      <c r="DT7" s="374"/>
      <c r="DU7" s="435"/>
      <c r="DV7" s="435"/>
      <c r="DW7" s="436"/>
      <c r="DX7" s="426"/>
      <c r="DY7" s="80"/>
      <c r="DZ7" s="80"/>
      <c r="EA7" s="80"/>
      <c r="EB7" s="81"/>
      <c r="EC7" s="80"/>
      <c r="ED7" s="80"/>
      <c r="EE7" s="80"/>
      <c r="EF7" s="419"/>
      <c r="EG7" s="80"/>
      <c r="EH7" s="80"/>
      <c r="EI7" s="80"/>
      <c r="EJ7" s="374"/>
      <c r="EK7" s="80"/>
      <c r="EL7" s="80"/>
      <c r="EM7" s="80"/>
      <c r="EN7" s="426"/>
    </row>
    <row r="8" spans="1:144" ht="25.5">
      <c r="A8" s="45">
        <v>1</v>
      </c>
      <c r="B8" s="53" t="s">
        <v>301</v>
      </c>
      <c r="C8" s="45">
        <v>1</v>
      </c>
      <c r="D8" s="53" t="s">
        <v>211</v>
      </c>
      <c r="E8" s="54" t="s">
        <v>212</v>
      </c>
      <c r="F8" s="54">
        <v>7</v>
      </c>
      <c r="G8" s="397">
        <f>40326.048/1000</f>
        <v>40.326048</v>
      </c>
      <c r="H8" s="59">
        <v>0</v>
      </c>
      <c r="I8" s="59">
        <v>40326.047999999995</v>
      </c>
      <c r="J8" s="398">
        <v>36.057848000000007</v>
      </c>
      <c r="K8" s="414">
        <f t="shared" ref="K8:K71" si="0">J8+G8</f>
        <v>76.383896000000007</v>
      </c>
      <c r="L8" s="397"/>
      <c r="M8" s="397"/>
      <c r="N8" s="397">
        <f t="shared" ref="N8:N70" si="1">K8-L8</f>
        <v>76.383896000000007</v>
      </c>
      <c r="O8" s="399">
        <f t="shared" ref="O8:O71" si="2">(S8+W8+AE8+AJ8+AQ8+AT8+AW8+AZ8+BC8+BF8+BL8+BR8+BX8+CD8+CJ8+CP8+CS8)/1000</f>
        <v>76.383889999999994</v>
      </c>
      <c r="P8" s="196"/>
      <c r="Q8" s="46"/>
      <c r="R8" s="196"/>
      <c r="S8" s="257"/>
      <c r="T8" s="196"/>
      <c r="U8" s="46"/>
      <c r="V8" s="46"/>
      <c r="W8" s="257"/>
      <c r="X8" s="46"/>
      <c r="Y8" s="46"/>
      <c r="Z8" s="46"/>
      <c r="AA8" s="257"/>
      <c r="AB8" s="196"/>
      <c r="AC8" s="46"/>
      <c r="AD8" s="46"/>
      <c r="AE8" s="257"/>
      <c r="AF8" s="196"/>
      <c r="AG8" s="46"/>
      <c r="AH8" s="162"/>
      <c r="AI8" s="196"/>
      <c r="AJ8" s="400"/>
      <c r="AK8" s="196"/>
      <c r="AL8" s="46"/>
      <c r="AM8" s="218"/>
      <c r="AN8" s="257"/>
      <c r="AO8" s="196"/>
      <c r="AP8" s="46"/>
      <c r="AQ8" s="257"/>
      <c r="AR8" s="196"/>
      <c r="AS8" s="46"/>
      <c r="AT8" s="257"/>
      <c r="AU8" s="196"/>
      <c r="AV8" s="46"/>
      <c r="AW8" s="257"/>
      <c r="AX8" s="196"/>
      <c r="AY8" s="46"/>
      <c r="AZ8" s="257"/>
      <c r="BA8" s="46"/>
      <c r="BB8" s="46"/>
      <c r="BC8" s="46"/>
      <c r="BD8" s="46"/>
      <c r="BE8" s="46"/>
      <c r="BF8" s="257"/>
      <c r="BG8" s="46"/>
      <c r="BH8" s="46"/>
      <c r="BI8" s="46"/>
      <c r="BJ8" s="196"/>
      <c r="BK8" s="46"/>
      <c r="BL8" s="46"/>
      <c r="BM8" s="46"/>
      <c r="BN8" s="46"/>
      <c r="BO8" s="257"/>
      <c r="BP8" s="196"/>
      <c r="BQ8" s="46"/>
      <c r="BR8" s="257"/>
      <c r="BS8" s="46"/>
      <c r="BT8" s="46"/>
      <c r="BU8" s="257"/>
      <c r="BV8" s="196"/>
      <c r="BW8" s="46"/>
      <c r="BX8" s="46"/>
      <c r="BY8" s="46"/>
      <c r="BZ8" s="46"/>
      <c r="CA8" s="257"/>
      <c r="CB8" s="196"/>
      <c r="CC8" s="46"/>
      <c r="CD8" s="257"/>
      <c r="CE8" s="46"/>
      <c r="CF8" s="46"/>
      <c r="CG8" s="257"/>
      <c r="CH8" s="46"/>
      <c r="CI8" s="46"/>
      <c r="CJ8" s="46"/>
      <c r="CK8" s="46"/>
      <c r="CL8" s="46"/>
      <c r="CM8" s="257"/>
      <c r="CN8" s="46"/>
      <c r="CO8" s="376"/>
      <c r="CP8" s="257"/>
      <c r="CQ8" s="196"/>
      <c r="CR8" s="191" t="s">
        <v>554</v>
      </c>
      <c r="CS8" s="257">
        <f>CY8+DE8+DL8+DT8+EB8+EJ8+76383.89</f>
        <v>76383.89</v>
      </c>
      <c r="CT8" s="196"/>
      <c r="CU8" s="317"/>
      <c r="CV8" s="391">
        <f>DB8+DH8+DP8+DX8+EF8+EN8</f>
        <v>0</v>
      </c>
      <c r="CW8" s="41"/>
      <c r="CX8" s="41"/>
      <c r="CY8" s="256"/>
      <c r="CZ8" s="308"/>
      <c r="DA8" s="308"/>
      <c r="DB8" s="420"/>
      <c r="DC8" s="41"/>
      <c r="DD8" s="41"/>
      <c r="DE8" s="256"/>
      <c r="DF8" s="41"/>
      <c r="DG8" s="41"/>
      <c r="DH8" s="391"/>
      <c r="DI8" s="41"/>
      <c r="DJ8" s="41"/>
      <c r="DK8" s="203"/>
      <c r="DL8" s="256"/>
      <c r="DM8" s="41"/>
      <c r="DN8" s="41"/>
      <c r="DO8" s="41"/>
      <c r="DP8" s="420"/>
      <c r="DQ8" s="41"/>
      <c r="DR8" s="41"/>
      <c r="DS8" s="203"/>
      <c r="DT8" s="256"/>
      <c r="DU8" s="46"/>
      <c r="DV8" s="46"/>
      <c r="DW8" s="196"/>
      <c r="DX8" s="391"/>
      <c r="DY8" s="41"/>
      <c r="DZ8" s="41"/>
      <c r="EA8" s="41"/>
      <c r="EB8" s="69"/>
      <c r="EC8" s="41"/>
      <c r="ED8" s="41"/>
      <c r="EE8" s="41"/>
      <c r="EF8" s="420"/>
      <c r="EG8" s="41"/>
      <c r="EH8" s="41"/>
      <c r="EI8" s="41"/>
      <c r="EJ8" s="256"/>
      <c r="EK8" s="41"/>
      <c r="EL8" s="41"/>
      <c r="EM8" s="41"/>
      <c r="EN8" s="391"/>
    </row>
    <row r="9" spans="1:144" ht="25.5">
      <c r="A9" s="45">
        <v>2</v>
      </c>
      <c r="B9" s="53" t="s">
        <v>301</v>
      </c>
      <c r="C9" s="45">
        <v>1</v>
      </c>
      <c r="D9" s="53" t="s">
        <v>211</v>
      </c>
      <c r="E9" s="54" t="s">
        <v>213</v>
      </c>
      <c r="F9" s="54">
        <v>7</v>
      </c>
      <c r="G9" s="397">
        <f>40890.78/1000</f>
        <v>40.890779999999999</v>
      </c>
      <c r="H9" s="59">
        <v>0</v>
      </c>
      <c r="I9" s="59">
        <v>40890.78</v>
      </c>
      <c r="J9" s="398">
        <v>-2.9071700000000007</v>
      </c>
      <c r="K9" s="414">
        <f t="shared" si="0"/>
        <v>37.983609999999999</v>
      </c>
      <c r="L9" s="397"/>
      <c r="M9" s="397"/>
      <c r="N9" s="397">
        <f t="shared" si="1"/>
        <v>37.983609999999999</v>
      </c>
      <c r="O9" s="399">
        <f t="shared" si="2"/>
        <v>26</v>
      </c>
      <c r="P9" s="196"/>
      <c r="Q9" s="46"/>
      <c r="R9" s="196"/>
      <c r="S9" s="257"/>
      <c r="T9" s="196"/>
      <c r="U9" s="46"/>
      <c r="V9" s="46"/>
      <c r="W9" s="257"/>
      <c r="X9" s="46"/>
      <c r="Y9" s="46"/>
      <c r="Z9" s="46"/>
      <c r="AA9" s="257"/>
      <c r="AB9" s="196"/>
      <c r="AC9" s="46"/>
      <c r="AD9" s="46"/>
      <c r="AE9" s="257"/>
      <c r="AF9" s="196"/>
      <c r="AG9" s="46"/>
      <c r="AH9" s="46"/>
      <c r="AI9" s="196"/>
      <c r="AJ9" s="400"/>
      <c r="AK9" s="196"/>
      <c r="AL9" s="46"/>
      <c r="AM9" s="218"/>
      <c r="AN9" s="257"/>
      <c r="AO9" s="196"/>
      <c r="AP9" s="46"/>
      <c r="AQ9" s="257"/>
      <c r="AR9" s="196"/>
      <c r="AS9" s="46"/>
      <c r="AT9" s="257"/>
      <c r="AU9" s="196"/>
      <c r="AV9" s="46"/>
      <c r="AW9" s="257"/>
      <c r="AX9" s="196" t="s">
        <v>225</v>
      </c>
      <c r="AY9" s="46">
        <v>20</v>
      </c>
      <c r="AZ9" s="257">
        <f>AY9*1300</f>
        <v>26000</v>
      </c>
      <c r="BA9" s="46"/>
      <c r="BB9" s="46"/>
      <c r="BC9" s="46"/>
      <c r="BD9" s="46"/>
      <c r="BE9" s="46"/>
      <c r="BF9" s="257"/>
      <c r="BG9" s="46"/>
      <c r="BH9" s="46"/>
      <c r="BI9" s="46"/>
      <c r="BJ9" s="196"/>
      <c r="BK9" s="46"/>
      <c r="BL9" s="46"/>
      <c r="BM9" s="46"/>
      <c r="BN9" s="46"/>
      <c r="BO9" s="257"/>
      <c r="BP9" s="196"/>
      <c r="BQ9" s="46"/>
      <c r="BR9" s="257"/>
      <c r="BS9" s="46"/>
      <c r="BT9" s="46"/>
      <c r="BU9" s="257"/>
      <c r="BV9" s="196"/>
      <c r="BW9" s="46"/>
      <c r="BX9" s="46"/>
      <c r="BY9" s="46"/>
      <c r="BZ9" s="46"/>
      <c r="CA9" s="257"/>
      <c r="CB9" s="196"/>
      <c r="CC9" s="46"/>
      <c r="CD9" s="257"/>
      <c r="CE9" s="46"/>
      <c r="CF9" s="46"/>
      <c r="CG9" s="257"/>
      <c r="CH9" s="46"/>
      <c r="CI9" s="46"/>
      <c r="CJ9" s="46"/>
      <c r="CK9" s="46"/>
      <c r="CL9" s="46"/>
      <c r="CM9" s="257"/>
      <c r="CN9" s="46"/>
      <c r="CO9" s="376"/>
      <c r="CP9" s="257"/>
      <c r="CQ9" s="196"/>
      <c r="CR9" s="190"/>
      <c r="CS9" s="257">
        <f t="shared" ref="CS9:CS71" si="3">CY9+DE9+DL9+DT9+EB9+EJ9</f>
        <v>0</v>
      </c>
      <c r="CT9" s="196"/>
      <c r="CU9" s="317"/>
      <c r="CV9" s="391">
        <f t="shared" ref="CV9:CV72" si="4">DB9+DH9+DP9+DX9+EF9+EN9</f>
        <v>0</v>
      </c>
      <c r="CW9" s="41"/>
      <c r="CX9" s="41"/>
      <c r="CY9" s="256"/>
      <c r="CZ9" s="308"/>
      <c r="DA9" s="308"/>
      <c r="DB9" s="420"/>
      <c r="DC9" s="41"/>
      <c r="DD9" s="41"/>
      <c r="DE9" s="256"/>
      <c r="DF9" s="41"/>
      <c r="DG9" s="41"/>
      <c r="DH9" s="391"/>
      <c r="DI9" s="41"/>
      <c r="DJ9" s="41"/>
      <c r="DK9" s="203"/>
      <c r="DL9" s="256"/>
      <c r="DM9" s="41"/>
      <c r="DN9" s="41"/>
      <c r="DO9" s="41"/>
      <c r="DP9" s="420"/>
      <c r="DQ9" s="41"/>
      <c r="DR9" s="41"/>
      <c r="DS9" s="203"/>
      <c r="DT9" s="256"/>
      <c r="DU9" s="46"/>
      <c r="DV9" s="46"/>
      <c r="DW9" s="196"/>
      <c r="DX9" s="391"/>
      <c r="DY9" s="41"/>
      <c r="DZ9" s="41"/>
      <c r="EA9" s="41"/>
      <c r="EB9" s="69"/>
      <c r="EC9" s="41"/>
      <c r="ED9" s="41"/>
      <c r="EE9" s="41"/>
      <c r="EF9" s="420"/>
      <c r="EG9" s="41"/>
      <c r="EH9" s="41"/>
      <c r="EI9" s="41"/>
      <c r="EJ9" s="256"/>
      <c r="EK9" s="41"/>
      <c r="EL9" s="41"/>
      <c r="EM9" s="41"/>
      <c r="EN9" s="391"/>
    </row>
    <row r="10" spans="1:144" s="28" customFormat="1" ht="25.5">
      <c r="A10" s="45">
        <v>3</v>
      </c>
      <c r="B10" s="53" t="s">
        <v>301</v>
      </c>
      <c r="C10" s="45">
        <v>1</v>
      </c>
      <c r="D10" s="53" t="s">
        <v>211</v>
      </c>
      <c r="E10" s="54" t="s">
        <v>214</v>
      </c>
      <c r="F10" s="54">
        <v>7</v>
      </c>
      <c r="G10" s="397">
        <f>41057.0622/1000</f>
        <v>41.057062199999997</v>
      </c>
      <c r="H10" s="59">
        <v>0</v>
      </c>
      <c r="I10" s="59">
        <v>41057.0622</v>
      </c>
      <c r="J10" s="398">
        <v>81.227475199999986</v>
      </c>
      <c r="K10" s="414">
        <f t="shared" si="0"/>
        <v>122.28453739999998</v>
      </c>
      <c r="L10" s="397"/>
      <c r="M10" s="397"/>
      <c r="N10" s="397">
        <f t="shared" si="1"/>
        <v>122.28453739999998</v>
      </c>
      <c r="O10" s="399">
        <f t="shared" si="2"/>
        <v>78</v>
      </c>
      <c r="P10" s="196"/>
      <c r="Q10" s="46"/>
      <c r="R10" s="196"/>
      <c r="S10" s="257"/>
      <c r="T10" s="196"/>
      <c r="U10" s="46"/>
      <c r="V10" s="46"/>
      <c r="W10" s="257"/>
      <c r="X10" s="46"/>
      <c r="Y10" s="46"/>
      <c r="Z10" s="46"/>
      <c r="AA10" s="257"/>
      <c r="AB10" s="196"/>
      <c r="AC10" s="46"/>
      <c r="AD10" s="46"/>
      <c r="AE10" s="257"/>
      <c r="AF10" s="196" t="s">
        <v>228</v>
      </c>
      <c r="AG10" s="46" t="s">
        <v>335</v>
      </c>
      <c r="AH10" s="46">
        <v>60</v>
      </c>
      <c r="AI10" s="196" t="s">
        <v>552</v>
      </c>
      <c r="AJ10" s="400">
        <f>AH10*1300</f>
        <v>78000</v>
      </c>
      <c r="AK10" s="196"/>
      <c r="AL10" s="46"/>
      <c r="AM10" s="218"/>
      <c r="AN10" s="257"/>
      <c r="AO10" s="196"/>
      <c r="AP10" s="46"/>
      <c r="AQ10" s="257"/>
      <c r="AR10" s="196"/>
      <c r="AS10" s="46"/>
      <c r="AT10" s="257"/>
      <c r="AU10" s="196"/>
      <c r="AV10" s="46"/>
      <c r="AW10" s="257"/>
      <c r="AX10" s="196"/>
      <c r="AY10" s="46"/>
      <c r="AZ10" s="257"/>
      <c r="BA10" s="46"/>
      <c r="BB10" s="46"/>
      <c r="BC10" s="46"/>
      <c r="BD10" s="46"/>
      <c r="BE10" s="46"/>
      <c r="BF10" s="257"/>
      <c r="BG10" s="46"/>
      <c r="BH10" s="46"/>
      <c r="BI10" s="46"/>
      <c r="BJ10" s="196"/>
      <c r="BK10" s="46"/>
      <c r="BL10" s="46"/>
      <c r="BM10" s="46"/>
      <c r="BN10" s="46"/>
      <c r="BO10" s="257"/>
      <c r="BP10" s="196"/>
      <c r="BQ10" s="46"/>
      <c r="BR10" s="257"/>
      <c r="BS10" s="46"/>
      <c r="BT10" s="46"/>
      <c r="BU10" s="257"/>
      <c r="BV10" s="196"/>
      <c r="BW10" s="46"/>
      <c r="BX10" s="46"/>
      <c r="BY10" s="46"/>
      <c r="BZ10" s="46"/>
      <c r="CA10" s="257"/>
      <c r="CB10" s="196"/>
      <c r="CC10" s="46"/>
      <c r="CD10" s="257"/>
      <c r="CE10" s="46"/>
      <c r="CF10" s="46"/>
      <c r="CG10" s="257"/>
      <c r="CH10" s="46"/>
      <c r="CI10" s="46"/>
      <c r="CJ10" s="46"/>
      <c r="CK10" s="46"/>
      <c r="CL10" s="46"/>
      <c r="CM10" s="257"/>
      <c r="CN10" s="46"/>
      <c r="CO10" s="376"/>
      <c r="CP10" s="257"/>
      <c r="CQ10" s="196"/>
      <c r="CR10" s="191"/>
      <c r="CS10" s="257">
        <f t="shared" si="3"/>
        <v>0</v>
      </c>
      <c r="CT10" s="196"/>
      <c r="CU10" s="317"/>
      <c r="CV10" s="391">
        <f t="shared" si="4"/>
        <v>0</v>
      </c>
      <c r="CW10" s="46"/>
      <c r="CX10" s="46"/>
      <c r="CY10" s="256"/>
      <c r="CZ10" s="308"/>
      <c r="DA10" s="308"/>
      <c r="DB10" s="420"/>
      <c r="DC10" s="46"/>
      <c r="DD10" s="46"/>
      <c r="DE10" s="256"/>
      <c r="DF10" s="46"/>
      <c r="DG10" s="46"/>
      <c r="DH10" s="391"/>
      <c r="DI10" s="41"/>
      <c r="DJ10" s="41"/>
      <c r="DK10" s="203"/>
      <c r="DL10" s="256"/>
      <c r="DM10" s="41"/>
      <c r="DN10" s="41"/>
      <c r="DO10" s="41"/>
      <c r="DP10" s="420"/>
      <c r="DQ10" s="46"/>
      <c r="DR10" s="46"/>
      <c r="DS10" s="196"/>
      <c r="DT10" s="256"/>
      <c r="DU10" s="46"/>
      <c r="DV10" s="46"/>
      <c r="DW10" s="196"/>
      <c r="DX10" s="391"/>
      <c r="DY10" s="41"/>
      <c r="DZ10" s="41"/>
      <c r="EA10" s="41"/>
      <c r="EB10" s="69"/>
      <c r="EC10" s="46"/>
      <c r="ED10" s="46"/>
      <c r="EE10" s="46"/>
      <c r="EF10" s="420"/>
      <c r="EG10" s="46"/>
      <c r="EH10" s="46"/>
      <c r="EI10" s="46"/>
      <c r="EJ10" s="257"/>
      <c r="EK10" s="46"/>
      <c r="EL10" s="46"/>
      <c r="EM10" s="46"/>
      <c r="EN10" s="391"/>
    </row>
    <row r="11" spans="1:144" ht="27.75" customHeight="1">
      <c r="A11" s="45">
        <v>4</v>
      </c>
      <c r="B11" s="53" t="s">
        <v>301</v>
      </c>
      <c r="C11" s="45">
        <v>1</v>
      </c>
      <c r="D11" s="53" t="s">
        <v>553</v>
      </c>
      <c r="E11" s="54">
        <v>19</v>
      </c>
      <c r="F11" s="54">
        <v>7</v>
      </c>
      <c r="G11" s="397">
        <f>81216.828/1000</f>
        <v>81.216827999999992</v>
      </c>
      <c r="H11" s="59">
        <v>0</v>
      </c>
      <c r="I11" s="59">
        <v>81216.827999999994</v>
      </c>
      <c r="J11" s="398">
        <v>75.757398000000038</v>
      </c>
      <c r="K11" s="414">
        <f t="shared" si="0"/>
        <v>156.97422600000004</v>
      </c>
      <c r="L11" s="397"/>
      <c r="M11" s="397"/>
      <c r="N11" s="397">
        <f t="shared" si="1"/>
        <v>156.97422600000004</v>
      </c>
      <c r="O11" s="399">
        <f t="shared" si="2"/>
        <v>0</v>
      </c>
      <c r="P11" s="369" t="s">
        <v>1012</v>
      </c>
      <c r="Q11" s="46"/>
      <c r="R11" s="196"/>
      <c r="S11" s="257"/>
      <c r="T11" s="196"/>
      <c r="U11" s="46"/>
      <c r="V11" s="46"/>
      <c r="W11" s="257"/>
      <c r="X11" s="46"/>
      <c r="Y11" s="46"/>
      <c r="Z11" s="46"/>
      <c r="AA11" s="257"/>
      <c r="AB11" s="196"/>
      <c r="AC11" s="46"/>
      <c r="AD11" s="46"/>
      <c r="AE11" s="257"/>
      <c r="AF11" s="196"/>
      <c r="AG11" s="46"/>
      <c r="AH11" s="162"/>
      <c r="AI11" s="196"/>
      <c r="AJ11" s="400"/>
      <c r="AK11" s="196"/>
      <c r="AL11" s="46"/>
      <c r="AM11" s="218"/>
      <c r="AN11" s="257"/>
      <c r="AO11" s="196"/>
      <c r="AP11" s="46"/>
      <c r="AQ11" s="257"/>
      <c r="AR11" s="196"/>
      <c r="AS11" s="46"/>
      <c r="AT11" s="257"/>
      <c r="AU11" s="196"/>
      <c r="AV11" s="46"/>
      <c r="AW11" s="257"/>
      <c r="AX11" s="196"/>
      <c r="AY11" s="46"/>
      <c r="AZ11" s="257"/>
      <c r="BA11" s="46"/>
      <c r="BB11" s="46"/>
      <c r="BC11" s="46"/>
      <c r="BD11" s="46"/>
      <c r="BE11" s="46"/>
      <c r="BF11" s="257"/>
      <c r="BG11" s="46"/>
      <c r="BH11" s="46"/>
      <c r="BI11" s="46"/>
      <c r="BJ11" s="196"/>
      <c r="BK11" s="46"/>
      <c r="BL11" s="46"/>
      <c r="BM11" s="46"/>
      <c r="BN11" s="46"/>
      <c r="BO11" s="257"/>
      <c r="BP11" s="196"/>
      <c r="BQ11" s="46"/>
      <c r="BR11" s="257"/>
      <c r="BS11" s="46"/>
      <c r="BT11" s="46"/>
      <c r="BU11" s="257"/>
      <c r="BV11" s="196"/>
      <c r="BW11" s="46"/>
      <c r="BX11" s="46"/>
      <c r="BY11" s="46"/>
      <c r="BZ11" s="46"/>
      <c r="CA11" s="257"/>
      <c r="CB11" s="196"/>
      <c r="CC11" s="46"/>
      <c r="CD11" s="257"/>
      <c r="CE11" s="46"/>
      <c r="CF11" s="46"/>
      <c r="CG11" s="257"/>
      <c r="CH11" s="46"/>
      <c r="CI11" s="46"/>
      <c r="CJ11" s="46"/>
      <c r="CK11" s="46"/>
      <c r="CL11" s="46"/>
      <c r="CM11" s="257"/>
      <c r="CN11" s="46"/>
      <c r="CO11" s="376"/>
      <c r="CP11" s="257"/>
      <c r="CQ11" s="196"/>
      <c r="CR11" s="190"/>
      <c r="CS11" s="257">
        <f t="shared" si="3"/>
        <v>0</v>
      </c>
      <c r="CT11" s="196"/>
      <c r="CU11" s="317"/>
      <c r="CV11" s="391">
        <f t="shared" si="4"/>
        <v>0</v>
      </c>
      <c r="CW11" s="41"/>
      <c r="CX11" s="41"/>
      <c r="CY11" s="256"/>
      <c r="CZ11" s="308"/>
      <c r="DA11" s="308"/>
      <c r="DB11" s="420"/>
      <c r="DC11" s="41"/>
      <c r="DD11" s="41"/>
      <c r="DE11" s="256"/>
      <c r="DF11" s="41"/>
      <c r="DG11" s="41"/>
      <c r="DH11" s="391"/>
      <c r="DI11" s="41"/>
      <c r="DJ11" s="41"/>
      <c r="DK11" s="203"/>
      <c r="DL11" s="256"/>
      <c r="DM11" s="41"/>
      <c r="DN11" s="41"/>
      <c r="DO11" s="41"/>
      <c r="DP11" s="420"/>
      <c r="DQ11" s="41"/>
      <c r="DR11" s="41"/>
      <c r="DS11" s="203"/>
      <c r="DT11" s="256"/>
      <c r="DU11" s="46"/>
      <c r="DV11" s="46"/>
      <c r="DW11" s="196"/>
      <c r="DX11" s="391"/>
      <c r="DY11" s="41"/>
      <c r="DZ11" s="41"/>
      <c r="EA11" s="41"/>
      <c r="EB11" s="69"/>
      <c r="EC11" s="41"/>
      <c r="ED11" s="41"/>
      <c r="EE11" s="41"/>
      <c r="EF11" s="420"/>
      <c r="EG11" s="41"/>
      <c r="EH11" s="41"/>
      <c r="EI11" s="41"/>
      <c r="EJ11" s="256"/>
      <c r="EK11" s="41"/>
      <c r="EL11" s="41"/>
      <c r="EM11" s="41"/>
      <c r="EN11" s="391"/>
    </row>
    <row r="12" spans="1:144" ht="25.5">
      <c r="A12" s="45">
        <v>5</v>
      </c>
      <c r="B12" s="53" t="s">
        <v>301</v>
      </c>
      <c r="C12" s="45">
        <v>1</v>
      </c>
      <c r="D12" s="53" t="s">
        <v>211</v>
      </c>
      <c r="E12" s="54">
        <v>21</v>
      </c>
      <c r="F12" s="54">
        <v>7</v>
      </c>
      <c r="G12" s="397">
        <f>82074.384/1000</f>
        <v>82.074384000000009</v>
      </c>
      <c r="H12" s="59">
        <v>0</v>
      </c>
      <c r="I12" s="59">
        <v>82074.383999999991</v>
      </c>
      <c r="J12" s="398">
        <v>197.56093999999996</v>
      </c>
      <c r="K12" s="414">
        <f t="shared" si="0"/>
        <v>279.63532399999997</v>
      </c>
      <c r="L12" s="397"/>
      <c r="M12" s="397"/>
      <c r="N12" s="397">
        <f t="shared" si="1"/>
        <v>279.63532399999997</v>
      </c>
      <c r="O12" s="399">
        <f t="shared" si="2"/>
        <v>195</v>
      </c>
      <c r="P12" s="196"/>
      <c r="Q12" s="46"/>
      <c r="R12" s="196"/>
      <c r="S12" s="257"/>
      <c r="T12" s="196"/>
      <c r="U12" s="46"/>
      <c r="V12" s="46"/>
      <c r="W12" s="257"/>
      <c r="X12" s="46"/>
      <c r="Y12" s="46"/>
      <c r="Z12" s="46"/>
      <c r="AA12" s="257"/>
      <c r="AB12" s="196"/>
      <c r="AC12" s="46"/>
      <c r="AD12" s="46"/>
      <c r="AE12" s="257"/>
      <c r="AF12" s="196" t="s">
        <v>228</v>
      </c>
      <c r="AG12" s="46" t="s">
        <v>335</v>
      </c>
      <c r="AH12" s="162">
        <v>150</v>
      </c>
      <c r="AI12" s="196" t="s">
        <v>552</v>
      </c>
      <c r="AJ12" s="400">
        <f>AH12*1300</f>
        <v>195000</v>
      </c>
      <c r="AK12" s="196"/>
      <c r="AL12" s="46"/>
      <c r="AM12" s="218"/>
      <c r="AN12" s="257"/>
      <c r="AO12" s="196"/>
      <c r="AP12" s="46"/>
      <c r="AQ12" s="257"/>
      <c r="AR12" s="196"/>
      <c r="AS12" s="46"/>
      <c r="AT12" s="257"/>
      <c r="AU12" s="196"/>
      <c r="AV12" s="46"/>
      <c r="AW12" s="257"/>
      <c r="AX12" s="196"/>
      <c r="AY12" s="46"/>
      <c r="AZ12" s="257"/>
      <c r="BA12" s="46"/>
      <c r="BB12" s="46"/>
      <c r="BC12" s="46"/>
      <c r="BD12" s="46"/>
      <c r="BE12" s="46"/>
      <c r="BF12" s="257"/>
      <c r="BG12" s="46"/>
      <c r="BH12" s="46"/>
      <c r="BI12" s="46"/>
      <c r="BJ12" s="196"/>
      <c r="BK12" s="46"/>
      <c r="BL12" s="46"/>
      <c r="BM12" s="46"/>
      <c r="BN12" s="46"/>
      <c r="BO12" s="257"/>
      <c r="BP12" s="196"/>
      <c r="BQ12" s="46"/>
      <c r="BR12" s="257"/>
      <c r="BS12" s="46"/>
      <c r="BT12" s="46"/>
      <c r="BU12" s="257"/>
      <c r="BV12" s="196"/>
      <c r="BW12" s="46"/>
      <c r="BX12" s="46"/>
      <c r="BY12" s="46"/>
      <c r="BZ12" s="46"/>
      <c r="CA12" s="257"/>
      <c r="CB12" s="196"/>
      <c r="CC12" s="46"/>
      <c r="CD12" s="257"/>
      <c r="CE12" s="46"/>
      <c r="CF12" s="46"/>
      <c r="CG12" s="257"/>
      <c r="CH12" s="46"/>
      <c r="CI12" s="46"/>
      <c r="CJ12" s="46"/>
      <c r="CK12" s="46"/>
      <c r="CL12" s="46"/>
      <c r="CM12" s="257"/>
      <c r="CN12" s="46"/>
      <c r="CO12" s="376"/>
      <c r="CP12" s="257"/>
      <c r="CQ12" s="196"/>
      <c r="CR12" s="190"/>
      <c r="CS12" s="257">
        <f t="shared" si="3"/>
        <v>0</v>
      </c>
      <c r="CT12" s="196"/>
      <c r="CU12" s="317"/>
      <c r="CV12" s="391">
        <f t="shared" si="4"/>
        <v>0</v>
      </c>
      <c r="CW12" s="41"/>
      <c r="CX12" s="41"/>
      <c r="CY12" s="256"/>
      <c r="CZ12" s="308"/>
      <c r="DA12" s="308"/>
      <c r="DB12" s="420"/>
      <c r="DC12" s="41"/>
      <c r="DD12" s="41"/>
      <c r="DE12" s="256"/>
      <c r="DF12" s="41"/>
      <c r="DG12" s="41"/>
      <c r="DH12" s="391"/>
      <c r="DI12" s="41"/>
      <c r="DJ12" s="41"/>
      <c r="DK12" s="203"/>
      <c r="DL12" s="256"/>
      <c r="DM12" s="41"/>
      <c r="DN12" s="41"/>
      <c r="DO12" s="41"/>
      <c r="DP12" s="420"/>
      <c r="DQ12" s="41"/>
      <c r="DR12" s="41"/>
      <c r="DS12" s="203"/>
      <c r="DT12" s="256"/>
      <c r="DU12" s="46"/>
      <c r="DV12" s="46"/>
      <c r="DW12" s="196"/>
      <c r="DX12" s="391"/>
      <c r="DY12" s="41"/>
      <c r="DZ12" s="41"/>
      <c r="EA12" s="41"/>
      <c r="EB12" s="69"/>
      <c r="EC12" s="41"/>
      <c r="ED12" s="41"/>
      <c r="EE12" s="41"/>
      <c r="EF12" s="420"/>
      <c r="EG12" s="41"/>
      <c r="EH12" s="41"/>
      <c r="EI12" s="41"/>
      <c r="EJ12" s="256"/>
      <c r="EK12" s="41"/>
      <c r="EL12" s="41"/>
      <c r="EM12" s="41"/>
      <c r="EN12" s="391"/>
    </row>
    <row r="13" spans="1:144" ht="25.5">
      <c r="A13" s="45">
        <v>6</v>
      </c>
      <c r="B13" s="53" t="s">
        <v>301</v>
      </c>
      <c r="C13" s="45">
        <v>1</v>
      </c>
      <c r="D13" s="53" t="s">
        <v>211</v>
      </c>
      <c r="E13" s="54">
        <v>22</v>
      </c>
      <c r="F13" s="54">
        <v>7</v>
      </c>
      <c r="G13" s="397">
        <f>39280.248/1000</f>
        <v>39.280248</v>
      </c>
      <c r="H13" s="59">
        <v>0</v>
      </c>
      <c r="I13" s="59">
        <v>39280.248000000007</v>
      </c>
      <c r="J13" s="398">
        <v>94.522019999999969</v>
      </c>
      <c r="K13" s="414">
        <f t="shared" si="0"/>
        <v>133.80226799999997</v>
      </c>
      <c r="L13" s="397"/>
      <c r="M13" s="397"/>
      <c r="N13" s="397">
        <f t="shared" si="1"/>
        <v>133.80226799999997</v>
      </c>
      <c r="O13" s="399">
        <f t="shared" si="2"/>
        <v>90</v>
      </c>
      <c r="P13" s="196" t="s">
        <v>224</v>
      </c>
      <c r="Q13" s="46">
        <v>1</v>
      </c>
      <c r="R13" s="196">
        <v>1</v>
      </c>
      <c r="S13" s="257">
        <v>90000</v>
      </c>
      <c r="T13" s="196"/>
      <c r="U13" s="46"/>
      <c r="V13" s="46"/>
      <c r="W13" s="257"/>
      <c r="X13" s="46"/>
      <c r="Y13" s="46"/>
      <c r="Z13" s="46"/>
      <c r="AA13" s="257"/>
      <c r="AB13" s="196"/>
      <c r="AC13" s="46"/>
      <c r="AD13" s="46"/>
      <c r="AE13" s="257"/>
      <c r="AF13" s="196"/>
      <c r="AG13" s="46"/>
      <c r="AH13" s="46"/>
      <c r="AI13" s="196"/>
      <c r="AJ13" s="400"/>
      <c r="AK13" s="196"/>
      <c r="AL13" s="46"/>
      <c r="AM13" s="218"/>
      <c r="AN13" s="257"/>
      <c r="AO13" s="196"/>
      <c r="AP13" s="46"/>
      <c r="AQ13" s="257"/>
      <c r="AR13" s="196"/>
      <c r="AS13" s="46"/>
      <c r="AT13" s="257"/>
      <c r="AU13" s="196"/>
      <c r="AV13" s="46"/>
      <c r="AW13" s="257"/>
      <c r="AX13" s="196"/>
      <c r="AY13" s="46"/>
      <c r="AZ13" s="257"/>
      <c r="BA13" s="46"/>
      <c r="BB13" s="46"/>
      <c r="BC13" s="46"/>
      <c r="BD13" s="46"/>
      <c r="BE13" s="46"/>
      <c r="BF13" s="257"/>
      <c r="BG13" s="46"/>
      <c r="BH13" s="46"/>
      <c r="BI13" s="46"/>
      <c r="BJ13" s="196"/>
      <c r="BK13" s="46"/>
      <c r="BL13" s="46"/>
      <c r="BM13" s="46"/>
      <c r="BN13" s="46"/>
      <c r="BO13" s="257"/>
      <c r="BP13" s="196"/>
      <c r="BQ13" s="46"/>
      <c r="BR13" s="257"/>
      <c r="BS13" s="46"/>
      <c r="BT13" s="46"/>
      <c r="BU13" s="257"/>
      <c r="BV13" s="196"/>
      <c r="BW13" s="46"/>
      <c r="BX13" s="46"/>
      <c r="BY13" s="46"/>
      <c r="BZ13" s="46"/>
      <c r="CA13" s="257"/>
      <c r="CB13" s="196"/>
      <c r="CC13" s="46"/>
      <c r="CD13" s="257"/>
      <c r="CE13" s="46"/>
      <c r="CF13" s="46"/>
      <c r="CG13" s="257"/>
      <c r="CH13" s="46"/>
      <c r="CI13" s="46"/>
      <c r="CJ13" s="46"/>
      <c r="CK13" s="46"/>
      <c r="CL13" s="46"/>
      <c r="CM13" s="257"/>
      <c r="CN13" s="46"/>
      <c r="CO13" s="376"/>
      <c r="CP13" s="257"/>
      <c r="CQ13" s="196"/>
      <c r="CR13" s="190"/>
      <c r="CS13" s="257">
        <f t="shared" si="3"/>
        <v>0</v>
      </c>
      <c r="CT13" s="196"/>
      <c r="CU13" s="317"/>
      <c r="CV13" s="391">
        <f t="shared" si="4"/>
        <v>0</v>
      </c>
      <c r="CW13" s="41"/>
      <c r="CX13" s="41"/>
      <c r="CY13" s="256"/>
      <c r="CZ13" s="308"/>
      <c r="DA13" s="308"/>
      <c r="DB13" s="420"/>
      <c r="DC13" s="41"/>
      <c r="DD13" s="41"/>
      <c r="DE13" s="256"/>
      <c r="DF13" s="41"/>
      <c r="DG13" s="41"/>
      <c r="DH13" s="391"/>
      <c r="DI13" s="41"/>
      <c r="DJ13" s="41"/>
      <c r="DK13" s="203"/>
      <c r="DL13" s="256"/>
      <c r="DM13" s="41"/>
      <c r="DN13" s="41"/>
      <c r="DO13" s="41"/>
      <c r="DP13" s="420"/>
      <c r="DQ13" s="41"/>
      <c r="DR13" s="41"/>
      <c r="DS13" s="203"/>
      <c r="DT13" s="256"/>
      <c r="DU13" s="46"/>
      <c r="DV13" s="46"/>
      <c r="DW13" s="196"/>
      <c r="DX13" s="391"/>
      <c r="DY13" s="41"/>
      <c r="DZ13" s="41"/>
      <c r="EA13" s="41"/>
      <c r="EB13" s="69"/>
      <c r="EC13" s="41"/>
      <c r="ED13" s="41"/>
      <c r="EE13" s="41"/>
      <c r="EF13" s="420"/>
      <c r="EG13" s="41"/>
      <c r="EH13" s="41"/>
      <c r="EI13" s="41"/>
      <c r="EJ13" s="256"/>
      <c r="EK13" s="41"/>
      <c r="EL13" s="41"/>
      <c r="EM13" s="41"/>
      <c r="EN13" s="391"/>
    </row>
    <row r="14" spans="1:144" ht="25.5">
      <c r="A14" s="45">
        <v>7</v>
      </c>
      <c r="B14" s="53" t="s">
        <v>301</v>
      </c>
      <c r="C14" s="45">
        <v>1</v>
      </c>
      <c r="D14" s="53" t="s">
        <v>211</v>
      </c>
      <c r="E14" s="54">
        <v>23</v>
      </c>
      <c r="F14" s="54">
        <v>7</v>
      </c>
      <c r="G14" s="397">
        <f>37324.602/1000</f>
        <v>37.324601999999999</v>
      </c>
      <c r="H14" s="59">
        <v>0</v>
      </c>
      <c r="I14" s="59">
        <v>37324.601999999999</v>
      </c>
      <c r="J14" s="398">
        <v>41.682109999999994</v>
      </c>
      <c r="K14" s="414">
        <f t="shared" si="0"/>
        <v>79.006711999999993</v>
      </c>
      <c r="L14" s="397"/>
      <c r="M14" s="397"/>
      <c r="N14" s="397">
        <f t="shared" si="1"/>
        <v>79.006711999999993</v>
      </c>
      <c r="O14" s="399">
        <f t="shared" si="2"/>
        <v>79</v>
      </c>
      <c r="P14" s="196" t="s">
        <v>248</v>
      </c>
      <c r="Q14" s="46">
        <v>1</v>
      </c>
      <c r="R14" s="196">
        <v>1</v>
      </c>
      <c r="S14" s="257">
        <v>79000</v>
      </c>
      <c r="T14" s="196"/>
      <c r="U14" s="46"/>
      <c r="V14" s="46"/>
      <c r="W14" s="257"/>
      <c r="X14" s="46"/>
      <c r="Y14" s="46"/>
      <c r="Z14" s="46"/>
      <c r="AA14" s="257"/>
      <c r="AB14" s="196"/>
      <c r="AC14" s="46"/>
      <c r="AD14" s="46"/>
      <c r="AE14" s="257"/>
      <c r="AF14" s="196"/>
      <c r="AG14" s="46"/>
      <c r="AH14" s="46"/>
      <c r="AI14" s="196"/>
      <c r="AJ14" s="400"/>
      <c r="AK14" s="196"/>
      <c r="AL14" s="46"/>
      <c r="AM14" s="218"/>
      <c r="AN14" s="257"/>
      <c r="AO14" s="196"/>
      <c r="AP14" s="46"/>
      <c r="AQ14" s="257"/>
      <c r="AR14" s="196"/>
      <c r="AS14" s="46"/>
      <c r="AT14" s="257"/>
      <c r="AU14" s="196"/>
      <c r="AV14" s="46"/>
      <c r="AW14" s="257"/>
      <c r="AX14" s="196"/>
      <c r="AY14" s="46"/>
      <c r="AZ14" s="257"/>
      <c r="BA14" s="46"/>
      <c r="BB14" s="46"/>
      <c r="BC14" s="46"/>
      <c r="BD14" s="46"/>
      <c r="BE14" s="46"/>
      <c r="BF14" s="257"/>
      <c r="BG14" s="46"/>
      <c r="BH14" s="46"/>
      <c r="BI14" s="46"/>
      <c r="BJ14" s="196"/>
      <c r="BK14" s="46"/>
      <c r="BL14" s="46"/>
      <c r="BM14" s="46"/>
      <c r="BN14" s="46"/>
      <c r="BO14" s="257"/>
      <c r="BP14" s="196"/>
      <c r="BQ14" s="46"/>
      <c r="BR14" s="257"/>
      <c r="BS14" s="46"/>
      <c r="BT14" s="46"/>
      <c r="BU14" s="257"/>
      <c r="BV14" s="196"/>
      <c r="BW14" s="46"/>
      <c r="BX14" s="46"/>
      <c r="BY14" s="46"/>
      <c r="BZ14" s="46"/>
      <c r="CA14" s="257"/>
      <c r="CB14" s="196"/>
      <c r="CC14" s="46"/>
      <c r="CD14" s="257"/>
      <c r="CE14" s="46"/>
      <c r="CF14" s="46"/>
      <c r="CG14" s="257"/>
      <c r="CH14" s="46"/>
      <c r="CI14" s="46"/>
      <c r="CJ14" s="46"/>
      <c r="CK14" s="46"/>
      <c r="CL14" s="46"/>
      <c r="CM14" s="257"/>
      <c r="CN14" s="46"/>
      <c r="CO14" s="376"/>
      <c r="CP14" s="257"/>
      <c r="CQ14" s="196"/>
      <c r="CR14" s="190"/>
      <c r="CS14" s="257">
        <f t="shared" si="3"/>
        <v>0</v>
      </c>
      <c r="CT14" s="196"/>
      <c r="CU14" s="317"/>
      <c r="CV14" s="391">
        <f t="shared" si="4"/>
        <v>0</v>
      </c>
      <c r="CW14" s="41"/>
      <c r="CX14" s="41"/>
      <c r="CY14" s="256"/>
      <c r="CZ14" s="308"/>
      <c r="DA14" s="308"/>
      <c r="DB14" s="420"/>
      <c r="DC14" s="41"/>
      <c r="DD14" s="41"/>
      <c r="DE14" s="256"/>
      <c r="DF14" s="41"/>
      <c r="DG14" s="41"/>
      <c r="DH14" s="391"/>
      <c r="DI14" s="41"/>
      <c r="DJ14" s="41"/>
      <c r="DK14" s="203"/>
      <c r="DL14" s="256"/>
      <c r="DM14" s="41"/>
      <c r="DN14" s="41"/>
      <c r="DO14" s="41"/>
      <c r="DP14" s="420"/>
      <c r="DQ14" s="41"/>
      <c r="DR14" s="41"/>
      <c r="DS14" s="203"/>
      <c r="DT14" s="256"/>
      <c r="DU14" s="46"/>
      <c r="DV14" s="46"/>
      <c r="DW14" s="196"/>
      <c r="DX14" s="391"/>
      <c r="DY14" s="41"/>
      <c r="DZ14" s="41"/>
      <c r="EA14" s="41"/>
      <c r="EB14" s="69"/>
      <c r="EC14" s="41"/>
      <c r="ED14" s="41"/>
      <c r="EE14" s="41"/>
      <c r="EF14" s="420"/>
      <c r="EG14" s="41"/>
      <c r="EH14" s="41"/>
      <c r="EI14" s="41"/>
      <c r="EJ14" s="256"/>
      <c r="EK14" s="41"/>
      <c r="EL14" s="41"/>
      <c r="EM14" s="41"/>
      <c r="EN14" s="391"/>
    </row>
    <row r="15" spans="1:144" ht="25.5">
      <c r="A15" s="45">
        <v>8</v>
      </c>
      <c r="B15" s="53" t="s">
        <v>301</v>
      </c>
      <c r="C15" s="45">
        <v>1</v>
      </c>
      <c r="D15" s="55" t="s">
        <v>219</v>
      </c>
      <c r="E15" s="54">
        <v>34</v>
      </c>
      <c r="F15" s="54">
        <v>6</v>
      </c>
      <c r="G15" s="397">
        <f>49323.096/1000</f>
        <v>49.323096</v>
      </c>
      <c r="H15" s="59">
        <v>13949.694</v>
      </c>
      <c r="I15" s="59">
        <v>35373.402000000002</v>
      </c>
      <c r="J15" s="398">
        <v>-137.29165799999998</v>
      </c>
      <c r="K15" s="414">
        <f t="shared" si="0"/>
        <v>-87.968561999999991</v>
      </c>
      <c r="L15" s="397"/>
      <c r="M15" s="397"/>
      <c r="N15" s="397">
        <f t="shared" si="1"/>
        <v>-87.968561999999991</v>
      </c>
      <c r="O15" s="399">
        <f t="shared" si="2"/>
        <v>0</v>
      </c>
      <c r="P15" s="196"/>
      <c r="Q15" s="46"/>
      <c r="R15" s="196"/>
      <c r="S15" s="257"/>
      <c r="T15" s="196"/>
      <c r="U15" s="46"/>
      <c r="V15" s="46"/>
      <c r="W15" s="257"/>
      <c r="X15" s="46"/>
      <c r="Y15" s="46"/>
      <c r="Z15" s="46"/>
      <c r="AA15" s="257"/>
      <c r="AB15" s="196"/>
      <c r="AC15" s="46"/>
      <c r="AD15" s="46"/>
      <c r="AE15" s="257"/>
      <c r="AF15" s="196"/>
      <c r="AG15" s="46"/>
      <c r="AH15" s="46"/>
      <c r="AI15" s="196"/>
      <c r="AJ15" s="400"/>
      <c r="AK15" s="196"/>
      <c r="AL15" s="46"/>
      <c r="AM15" s="218"/>
      <c r="AN15" s="257"/>
      <c r="AO15" s="196"/>
      <c r="AP15" s="46"/>
      <c r="AQ15" s="257"/>
      <c r="AR15" s="196"/>
      <c r="AS15" s="46"/>
      <c r="AT15" s="257"/>
      <c r="AU15" s="196"/>
      <c r="AV15" s="46"/>
      <c r="AW15" s="257"/>
      <c r="AX15" s="196"/>
      <c r="AY15" s="46"/>
      <c r="AZ15" s="257"/>
      <c r="BA15" s="46"/>
      <c r="BB15" s="46"/>
      <c r="BC15" s="46"/>
      <c r="BD15" s="46"/>
      <c r="BE15" s="46"/>
      <c r="BF15" s="257"/>
      <c r="BG15" s="46"/>
      <c r="BH15" s="46"/>
      <c r="BI15" s="46"/>
      <c r="BJ15" s="196"/>
      <c r="BK15" s="46"/>
      <c r="BL15" s="46"/>
      <c r="BM15" s="46"/>
      <c r="BN15" s="46"/>
      <c r="BO15" s="257"/>
      <c r="BP15" s="196"/>
      <c r="BQ15" s="46"/>
      <c r="BR15" s="257"/>
      <c r="BS15" s="46"/>
      <c r="BT15" s="46"/>
      <c r="BU15" s="257"/>
      <c r="BV15" s="196"/>
      <c r="BW15" s="46"/>
      <c r="BX15" s="46"/>
      <c r="BY15" s="46"/>
      <c r="BZ15" s="46"/>
      <c r="CA15" s="257"/>
      <c r="CB15" s="196"/>
      <c r="CC15" s="46"/>
      <c r="CD15" s="257"/>
      <c r="CE15" s="46"/>
      <c r="CF15" s="46"/>
      <c r="CG15" s="257"/>
      <c r="CH15" s="46"/>
      <c r="CI15" s="46"/>
      <c r="CJ15" s="46"/>
      <c r="CK15" s="46"/>
      <c r="CL15" s="46"/>
      <c r="CM15" s="257"/>
      <c r="CN15" s="46"/>
      <c r="CO15" s="376"/>
      <c r="CP15" s="257"/>
      <c r="CQ15" s="196"/>
      <c r="CR15" s="190"/>
      <c r="CS15" s="257">
        <f t="shared" si="3"/>
        <v>0</v>
      </c>
      <c r="CT15" s="196"/>
      <c r="CU15" s="317"/>
      <c r="CV15" s="391">
        <f t="shared" si="4"/>
        <v>0</v>
      </c>
      <c r="CW15" s="41"/>
      <c r="CX15" s="41"/>
      <c r="CY15" s="256"/>
      <c r="CZ15" s="308"/>
      <c r="DA15" s="308"/>
      <c r="DB15" s="420"/>
      <c r="DC15" s="41"/>
      <c r="DD15" s="41"/>
      <c r="DE15" s="256"/>
      <c r="DF15" s="41"/>
      <c r="DG15" s="41"/>
      <c r="DH15" s="391"/>
      <c r="DI15" s="41"/>
      <c r="DJ15" s="41"/>
      <c r="DK15" s="203"/>
      <c r="DL15" s="256"/>
      <c r="DM15" s="41"/>
      <c r="DN15" s="41"/>
      <c r="DO15" s="41"/>
      <c r="DP15" s="420"/>
      <c r="DQ15" s="41"/>
      <c r="DR15" s="41"/>
      <c r="DS15" s="203"/>
      <c r="DT15" s="256"/>
      <c r="DU15" s="46"/>
      <c r="DV15" s="46"/>
      <c r="DW15" s="196"/>
      <c r="DX15" s="391"/>
      <c r="DY15" s="41"/>
      <c r="DZ15" s="41"/>
      <c r="EA15" s="41"/>
      <c r="EB15" s="69"/>
      <c r="EC15" s="41"/>
      <c r="ED15" s="41"/>
      <c r="EE15" s="41"/>
      <c r="EF15" s="420"/>
      <c r="EG15" s="41"/>
      <c r="EH15" s="41"/>
      <c r="EI15" s="41"/>
      <c r="EJ15" s="256"/>
      <c r="EK15" s="41"/>
      <c r="EL15" s="41"/>
      <c r="EM15" s="41"/>
      <c r="EN15" s="391"/>
    </row>
    <row r="16" spans="1:144" ht="25.5">
      <c r="A16" s="45">
        <v>9</v>
      </c>
      <c r="B16" s="53" t="s">
        <v>301</v>
      </c>
      <c r="C16" s="45">
        <v>1</v>
      </c>
      <c r="D16" s="55" t="s">
        <v>219</v>
      </c>
      <c r="E16" s="54">
        <v>35</v>
      </c>
      <c r="F16" s="54">
        <v>6</v>
      </c>
      <c r="G16" s="397">
        <f>49377.936/1000</f>
        <v>49.377935999999998</v>
      </c>
      <c r="H16" s="59">
        <v>13965.203999999998</v>
      </c>
      <c r="I16" s="59">
        <v>35412.731999999996</v>
      </c>
      <c r="J16" s="398">
        <v>27.87304199999997</v>
      </c>
      <c r="K16" s="414">
        <f t="shared" si="0"/>
        <v>77.250977999999975</v>
      </c>
      <c r="L16" s="397"/>
      <c r="M16" s="397"/>
      <c r="N16" s="397">
        <f t="shared" si="1"/>
        <v>77.250977999999975</v>
      </c>
      <c r="O16" s="399">
        <f t="shared" si="2"/>
        <v>80</v>
      </c>
      <c r="P16" s="196" t="s">
        <v>248</v>
      </c>
      <c r="Q16" s="46">
        <v>1</v>
      </c>
      <c r="R16" s="196">
        <v>1</v>
      </c>
      <c r="S16" s="257">
        <v>80000</v>
      </c>
      <c r="T16" s="196"/>
      <c r="U16" s="46"/>
      <c r="V16" s="46"/>
      <c r="W16" s="257"/>
      <c r="X16" s="46"/>
      <c r="Y16" s="46"/>
      <c r="Z16" s="46"/>
      <c r="AA16" s="257"/>
      <c r="AB16" s="196"/>
      <c r="AC16" s="46"/>
      <c r="AD16" s="46"/>
      <c r="AE16" s="257"/>
      <c r="AF16" s="196"/>
      <c r="AG16" s="46"/>
      <c r="AH16" s="46"/>
      <c r="AI16" s="196"/>
      <c r="AJ16" s="400"/>
      <c r="AK16" s="196"/>
      <c r="AL16" s="46"/>
      <c r="AM16" s="218"/>
      <c r="AN16" s="257"/>
      <c r="AO16" s="196"/>
      <c r="AP16" s="46"/>
      <c r="AQ16" s="257"/>
      <c r="AR16" s="196"/>
      <c r="AS16" s="46"/>
      <c r="AT16" s="257"/>
      <c r="AU16" s="196"/>
      <c r="AV16" s="46"/>
      <c r="AW16" s="257"/>
      <c r="AX16" s="196"/>
      <c r="AY16" s="46"/>
      <c r="AZ16" s="257"/>
      <c r="BA16" s="46"/>
      <c r="BB16" s="46"/>
      <c r="BC16" s="46"/>
      <c r="BD16" s="46"/>
      <c r="BE16" s="46"/>
      <c r="BF16" s="257"/>
      <c r="BG16" s="46"/>
      <c r="BH16" s="46"/>
      <c r="BI16" s="46"/>
      <c r="BJ16" s="196"/>
      <c r="BK16" s="46"/>
      <c r="BL16" s="46"/>
      <c r="BM16" s="46"/>
      <c r="BN16" s="46"/>
      <c r="BO16" s="257"/>
      <c r="BP16" s="196"/>
      <c r="BQ16" s="46"/>
      <c r="BR16" s="257"/>
      <c r="BS16" s="46"/>
      <c r="BT16" s="46"/>
      <c r="BU16" s="257"/>
      <c r="BV16" s="196"/>
      <c r="BW16" s="46"/>
      <c r="BX16" s="46"/>
      <c r="BY16" s="46"/>
      <c r="BZ16" s="46"/>
      <c r="CA16" s="257"/>
      <c r="CB16" s="196"/>
      <c r="CC16" s="46"/>
      <c r="CD16" s="257"/>
      <c r="CE16" s="46"/>
      <c r="CF16" s="46"/>
      <c r="CG16" s="257"/>
      <c r="CH16" s="46"/>
      <c r="CI16" s="46"/>
      <c r="CJ16" s="46"/>
      <c r="CK16" s="46"/>
      <c r="CL16" s="46"/>
      <c r="CM16" s="257"/>
      <c r="CN16" s="46"/>
      <c r="CO16" s="376"/>
      <c r="CP16" s="257"/>
      <c r="CQ16" s="196"/>
      <c r="CR16" s="190"/>
      <c r="CS16" s="257">
        <f t="shared" si="3"/>
        <v>0</v>
      </c>
      <c r="CT16" s="196"/>
      <c r="CU16" s="317"/>
      <c r="CV16" s="391">
        <f t="shared" si="4"/>
        <v>0</v>
      </c>
      <c r="CW16" s="41"/>
      <c r="CX16" s="41"/>
      <c r="CY16" s="256"/>
      <c r="CZ16" s="308"/>
      <c r="DA16" s="308"/>
      <c r="DB16" s="420"/>
      <c r="DC16" s="41"/>
      <c r="DD16" s="41"/>
      <c r="DE16" s="256"/>
      <c r="DF16" s="41"/>
      <c r="DG16" s="41"/>
      <c r="DH16" s="391"/>
      <c r="DI16" s="41"/>
      <c r="DJ16" s="41"/>
      <c r="DK16" s="203"/>
      <c r="DL16" s="256"/>
      <c r="DM16" s="41"/>
      <c r="DN16" s="41"/>
      <c r="DO16" s="41"/>
      <c r="DP16" s="420"/>
      <c r="DQ16" s="41"/>
      <c r="DR16" s="41"/>
      <c r="DS16" s="203"/>
      <c r="DT16" s="256"/>
      <c r="DU16" s="46"/>
      <c r="DV16" s="46"/>
      <c r="DW16" s="196"/>
      <c r="DX16" s="391"/>
      <c r="DY16" s="41"/>
      <c r="DZ16" s="41"/>
      <c r="EA16" s="41"/>
      <c r="EB16" s="69"/>
      <c r="EC16" s="41"/>
      <c r="ED16" s="41"/>
      <c r="EE16" s="41"/>
      <c r="EF16" s="420"/>
      <c r="EG16" s="41"/>
      <c r="EH16" s="41"/>
      <c r="EI16" s="41"/>
      <c r="EJ16" s="256"/>
      <c r="EK16" s="41"/>
      <c r="EL16" s="41"/>
      <c r="EM16" s="41"/>
      <c r="EN16" s="391"/>
    </row>
    <row r="17" spans="1:144" ht="25.5">
      <c r="A17" s="45">
        <v>10</v>
      </c>
      <c r="B17" s="53" t="s">
        <v>301</v>
      </c>
      <c r="C17" s="45">
        <v>1</v>
      </c>
      <c r="D17" s="55" t="s">
        <v>219</v>
      </c>
      <c r="E17" s="54">
        <v>36</v>
      </c>
      <c r="F17" s="54">
        <v>6</v>
      </c>
      <c r="G17" s="397">
        <f>75141.768/1000</f>
        <v>75.141767999999999</v>
      </c>
      <c r="H17" s="59">
        <v>21251.801999999996</v>
      </c>
      <c r="I17" s="59">
        <v>53889.966</v>
      </c>
      <c r="J17" s="398">
        <v>130.08692599999998</v>
      </c>
      <c r="K17" s="414">
        <f t="shared" si="0"/>
        <v>205.22869399999996</v>
      </c>
      <c r="L17" s="397"/>
      <c r="M17" s="397"/>
      <c r="N17" s="397">
        <f t="shared" si="1"/>
        <v>205.22869399999996</v>
      </c>
      <c r="O17" s="399">
        <f t="shared" si="2"/>
        <v>190</v>
      </c>
      <c r="P17" s="196" t="s">
        <v>248</v>
      </c>
      <c r="Q17" s="46">
        <v>1</v>
      </c>
      <c r="R17" s="196" t="s">
        <v>523</v>
      </c>
      <c r="S17" s="257">
        <v>90000</v>
      </c>
      <c r="T17" s="196"/>
      <c r="U17" s="46"/>
      <c r="V17" s="46"/>
      <c r="W17" s="257"/>
      <c r="X17" s="46"/>
      <c r="Y17" s="46"/>
      <c r="Z17" s="46"/>
      <c r="AA17" s="257"/>
      <c r="AB17" s="196"/>
      <c r="AC17" s="46"/>
      <c r="AD17" s="46"/>
      <c r="AE17" s="257"/>
      <c r="AF17" s="196" t="s">
        <v>254</v>
      </c>
      <c r="AG17" s="46" t="s">
        <v>324</v>
      </c>
      <c r="AH17" s="46">
        <v>40</v>
      </c>
      <c r="AI17" s="196" t="s">
        <v>755</v>
      </c>
      <c r="AJ17" s="400">
        <f>AH17*1300</f>
        <v>52000</v>
      </c>
      <c r="AK17" s="196"/>
      <c r="AL17" s="46"/>
      <c r="AM17" s="218"/>
      <c r="AN17" s="257"/>
      <c r="AO17" s="196"/>
      <c r="AP17" s="46"/>
      <c r="AQ17" s="257"/>
      <c r="AR17" s="196"/>
      <c r="AS17" s="46"/>
      <c r="AT17" s="257"/>
      <c r="AU17" s="196" t="s">
        <v>254</v>
      </c>
      <c r="AV17" s="46" t="s">
        <v>756</v>
      </c>
      <c r="AW17" s="257">
        <f>96*500</f>
        <v>48000</v>
      </c>
      <c r="AX17" s="196"/>
      <c r="AY17" s="46"/>
      <c r="AZ17" s="257"/>
      <c r="BA17" s="46"/>
      <c r="BB17" s="46"/>
      <c r="BC17" s="46"/>
      <c r="BD17" s="46"/>
      <c r="BE17" s="46"/>
      <c r="BF17" s="257"/>
      <c r="BG17" s="46"/>
      <c r="BH17" s="46"/>
      <c r="BI17" s="46"/>
      <c r="BJ17" s="196"/>
      <c r="BK17" s="46"/>
      <c r="BL17" s="46"/>
      <c r="BM17" s="46"/>
      <c r="BN17" s="46"/>
      <c r="BO17" s="257"/>
      <c r="BP17" s="196"/>
      <c r="BQ17" s="46"/>
      <c r="BR17" s="257"/>
      <c r="BS17" s="46"/>
      <c r="BT17" s="46"/>
      <c r="BU17" s="257"/>
      <c r="BV17" s="196"/>
      <c r="BW17" s="46"/>
      <c r="BX17" s="46"/>
      <c r="BY17" s="46"/>
      <c r="BZ17" s="46"/>
      <c r="CA17" s="257"/>
      <c r="CB17" s="196"/>
      <c r="CC17" s="46"/>
      <c r="CD17" s="257"/>
      <c r="CE17" s="46"/>
      <c r="CF17" s="46"/>
      <c r="CG17" s="257"/>
      <c r="CH17" s="46"/>
      <c r="CI17" s="46"/>
      <c r="CJ17" s="46"/>
      <c r="CK17" s="46"/>
      <c r="CL17" s="46"/>
      <c r="CM17" s="257"/>
      <c r="CN17" s="46"/>
      <c r="CO17" s="376"/>
      <c r="CP17" s="257"/>
      <c r="CQ17" s="196"/>
      <c r="CR17" s="191"/>
      <c r="CS17" s="257">
        <f t="shared" si="3"/>
        <v>0</v>
      </c>
      <c r="CT17" s="196"/>
      <c r="CU17" s="317"/>
      <c r="CV17" s="391">
        <f t="shared" si="4"/>
        <v>0</v>
      </c>
      <c r="CW17" s="41"/>
      <c r="CX17" s="41"/>
      <c r="CY17" s="256"/>
      <c r="CZ17" s="308"/>
      <c r="DA17" s="308"/>
      <c r="DB17" s="420"/>
      <c r="DC17" s="41"/>
      <c r="DD17" s="41"/>
      <c r="DE17" s="256"/>
      <c r="DF17" s="41"/>
      <c r="DG17" s="41"/>
      <c r="DH17" s="391"/>
      <c r="DI17" s="41"/>
      <c r="DJ17" s="41"/>
      <c r="DK17" s="203"/>
      <c r="DL17" s="256"/>
      <c r="DM17" s="41"/>
      <c r="DN17" s="41"/>
      <c r="DO17" s="41"/>
      <c r="DP17" s="420"/>
      <c r="DQ17" s="41"/>
      <c r="DR17" s="41"/>
      <c r="DS17" s="203"/>
      <c r="DT17" s="256"/>
      <c r="DU17" s="46"/>
      <c r="DV17" s="46"/>
      <c r="DW17" s="196"/>
      <c r="DX17" s="391"/>
      <c r="DY17" s="41"/>
      <c r="DZ17" s="41"/>
      <c r="EA17" s="41"/>
      <c r="EB17" s="69"/>
      <c r="EC17" s="41"/>
      <c r="ED17" s="41"/>
      <c r="EE17" s="41"/>
      <c r="EF17" s="420"/>
      <c r="EG17" s="41"/>
      <c r="EH17" s="41"/>
      <c r="EI17" s="41"/>
      <c r="EJ17" s="256"/>
      <c r="EK17" s="41"/>
      <c r="EL17" s="41"/>
      <c r="EM17" s="41"/>
      <c r="EN17" s="391"/>
    </row>
    <row r="18" spans="1:144" ht="30">
      <c r="A18" s="45">
        <v>11</v>
      </c>
      <c r="B18" s="53" t="s">
        <v>301</v>
      </c>
      <c r="C18" s="45">
        <v>1</v>
      </c>
      <c r="D18" s="55" t="s">
        <v>219</v>
      </c>
      <c r="E18" s="54">
        <v>37</v>
      </c>
      <c r="F18" s="54">
        <v>6</v>
      </c>
      <c r="G18" s="397">
        <f>49334.064/1000</f>
        <v>49.334063999999998</v>
      </c>
      <c r="H18" s="59">
        <v>13952.795999999998</v>
      </c>
      <c r="I18" s="59">
        <v>35381.268000000004</v>
      </c>
      <c r="J18" s="398">
        <v>14.862767999999974</v>
      </c>
      <c r="K18" s="414">
        <f t="shared" si="0"/>
        <v>64.196831999999972</v>
      </c>
      <c r="L18" s="397"/>
      <c r="M18" s="397"/>
      <c r="N18" s="397">
        <f t="shared" si="1"/>
        <v>64.196831999999972</v>
      </c>
      <c r="O18" s="399">
        <f t="shared" si="2"/>
        <v>60</v>
      </c>
      <c r="P18" s="196" t="s">
        <v>248</v>
      </c>
      <c r="Q18" s="46">
        <v>1</v>
      </c>
      <c r="R18" s="218" t="s">
        <v>757</v>
      </c>
      <c r="S18" s="257">
        <v>20000</v>
      </c>
      <c r="T18" s="196"/>
      <c r="U18" s="46"/>
      <c r="V18" s="46"/>
      <c r="W18" s="257"/>
      <c r="X18" s="46"/>
      <c r="Y18" s="46"/>
      <c r="Z18" s="46"/>
      <c r="AA18" s="257"/>
      <c r="AB18" s="196"/>
      <c r="AC18" s="46"/>
      <c r="AD18" s="46"/>
      <c r="AE18" s="257"/>
      <c r="AF18" s="196"/>
      <c r="AG18" s="46"/>
      <c r="AH18" s="46"/>
      <c r="AI18" s="196"/>
      <c r="AJ18" s="400"/>
      <c r="AK18" s="196"/>
      <c r="AL18" s="46"/>
      <c r="AM18" s="218"/>
      <c r="AN18" s="257"/>
      <c r="AO18" s="196"/>
      <c r="AP18" s="46"/>
      <c r="AQ18" s="257"/>
      <c r="AR18" s="196"/>
      <c r="AS18" s="46"/>
      <c r="AT18" s="257"/>
      <c r="AU18" s="196"/>
      <c r="AV18" s="46"/>
      <c r="AW18" s="257"/>
      <c r="AX18" s="196"/>
      <c r="AY18" s="46"/>
      <c r="AZ18" s="257"/>
      <c r="BA18" s="46"/>
      <c r="BB18" s="46"/>
      <c r="BC18" s="46"/>
      <c r="BD18" s="46"/>
      <c r="BE18" s="46"/>
      <c r="BF18" s="257"/>
      <c r="BG18" s="46"/>
      <c r="BH18" s="46"/>
      <c r="BI18" s="46"/>
      <c r="BJ18" s="196"/>
      <c r="BK18" s="46"/>
      <c r="BL18" s="46"/>
      <c r="BM18" s="46"/>
      <c r="BN18" s="46"/>
      <c r="BO18" s="257"/>
      <c r="BP18" s="196"/>
      <c r="BQ18" s="46"/>
      <c r="BR18" s="257"/>
      <c r="BS18" s="46"/>
      <c r="BT18" s="46"/>
      <c r="BU18" s="257"/>
      <c r="BV18" s="196"/>
      <c r="BW18" s="46"/>
      <c r="BX18" s="46"/>
      <c r="BY18" s="46"/>
      <c r="BZ18" s="46"/>
      <c r="CA18" s="257"/>
      <c r="CB18" s="196"/>
      <c r="CC18" s="46"/>
      <c r="CD18" s="257"/>
      <c r="CE18" s="46"/>
      <c r="CF18" s="46"/>
      <c r="CG18" s="257"/>
      <c r="CH18" s="46"/>
      <c r="CI18" s="46"/>
      <c r="CJ18" s="46"/>
      <c r="CK18" s="46"/>
      <c r="CL18" s="46"/>
      <c r="CM18" s="257"/>
      <c r="CN18" s="46"/>
      <c r="CO18" s="376"/>
      <c r="CP18" s="257"/>
      <c r="CQ18" s="196" t="s">
        <v>249</v>
      </c>
      <c r="CR18" s="190" t="s">
        <v>624</v>
      </c>
      <c r="CS18" s="257">
        <f>CY18+DE18+DL18+DT18+EB18+EJ18+20000*2</f>
        <v>40000</v>
      </c>
      <c r="CT18" s="196"/>
      <c r="CU18" s="317"/>
      <c r="CV18" s="391">
        <f t="shared" si="4"/>
        <v>0</v>
      </c>
      <c r="CW18" s="41"/>
      <c r="CX18" s="41"/>
      <c r="CY18" s="256"/>
      <c r="CZ18" s="308"/>
      <c r="DA18" s="308"/>
      <c r="DB18" s="420"/>
      <c r="DC18" s="41"/>
      <c r="DD18" s="41"/>
      <c r="DE18" s="256"/>
      <c r="DF18" s="41"/>
      <c r="DG18" s="41"/>
      <c r="DH18" s="391"/>
      <c r="DI18" s="41"/>
      <c r="DJ18" s="41"/>
      <c r="DK18" s="203"/>
      <c r="DL18" s="256"/>
      <c r="DM18" s="41"/>
      <c r="DN18" s="41"/>
      <c r="DO18" s="41"/>
      <c r="DP18" s="420"/>
      <c r="DQ18" s="41"/>
      <c r="DR18" s="41"/>
      <c r="DS18" s="203"/>
      <c r="DT18" s="256"/>
      <c r="DU18" s="46"/>
      <c r="DV18" s="46"/>
      <c r="DW18" s="196"/>
      <c r="DX18" s="391"/>
      <c r="DY18" s="41"/>
      <c r="DZ18" s="41"/>
      <c r="EA18" s="41"/>
      <c r="EB18" s="69"/>
      <c r="EC18" s="41"/>
      <c r="ED18" s="41"/>
      <c r="EE18" s="41"/>
      <c r="EF18" s="420"/>
      <c r="EG18" s="41"/>
      <c r="EH18" s="41"/>
      <c r="EI18" s="41"/>
      <c r="EJ18" s="256"/>
      <c r="EK18" s="41"/>
      <c r="EL18" s="41"/>
      <c r="EM18" s="41"/>
      <c r="EN18" s="391"/>
    </row>
    <row r="19" spans="1:144" ht="25.5">
      <c r="A19" s="45">
        <v>12</v>
      </c>
      <c r="B19" s="53" t="s">
        <v>301</v>
      </c>
      <c r="C19" s="45">
        <v>1</v>
      </c>
      <c r="D19" s="55" t="s">
        <v>219</v>
      </c>
      <c r="E19" s="54">
        <v>38</v>
      </c>
      <c r="F19" s="54">
        <v>6</v>
      </c>
      <c r="G19" s="397">
        <f>48928.248/1000</f>
        <v>48.928247999999996</v>
      </c>
      <c r="H19" s="59">
        <v>13838.022000000001</v>
      </c>
      <c r="I19" s="59">
        <v>35090.22600000001</v>
      </c>
      <c r="J19" s="398">
        <v>-16.138993999999983</v>
      </c>
      <c r="K19" s="414">
        <f t="shared" si="0"/>
        <v>32.789254000000014</v>
      </c>
      <c r="L19" s="397"/>
      <c r="M19" s="397"/>
      <c r="N19" s="397">
        <f t="shared" si="1"/>
        <v>32.789254000000014</v>
      </c>
      <c r="O19" s="399">
        <f t="shared" si="2"/>
        <v>24.5</v>
      </c>
      <c r="P19" s="196"/>
      <c r="Q19" s="46"/>
      <c r="R19" s="196"/>
      <c r="S19" s="257"/>
      <c r="T19" s="196"/>
      <c r="U19" s="46"/>
      <c r="V19" s="46"/>
      <c r="W19" s="257"/>
      <c r="X19" s="46"/>
      <c r="Y19" s="46"/>
      <c r="Z19" s="46"/>
      <c r="AA19" s="257"/>
      <c r="AB19" s="196"/>
      <c r="AC19" s="46"/>
      <c r="AD19" s="46"/>
      <c r="AE19" s="257"/>
      <c r="AF19" s="196" t="s">
        <v>228</v>
      </c>
      <c r="AG19" s="46" t="s">
        <v>324</v>
      </c>
      <c r="AH19" s="46">
        <v>15</v>
      </c>
      <c r="AI19" s="196" t="s">
        <v>552</v>
      </c>
      <c r="AJ19" s="400">
        <f>AH19*1300</f>
        <v>19500</v>
      </c>
      <c r="AK19" s="196"/>
      <c r="AL19" s="46"/>
      <c r="AM19" s="218"/>
      <c r="AN19" s="257"/>
      <c r="AO19" s="196"/>
      <c r="AP19" s="46"/>
      <c r="AQ19" s="257"/>
      <c r="AR19" s="196"/>
      <c r="AS19" s="46"/>
      <c r="AT19" s="257"/>
      <c r="AU19" s="196"/>
      <c r="AV19" s="46"/>
      <c r="AW19" s="257"/>
      <c r="AX19" s="196"/>
      <c r="AY19" s="46"/>
      <c r="AZ19" s="257"/>
      <c r="BA19" s="46"/>
      <c r="BB19" s="46"/>
      <c r="BC19" s="46"/>
      <c r="BD19" s="46"/>
      <c r="BE19" s="46"/>
      <c r="BF19" s="257"/>
      <c r="BG19" s="46"/>
      <c r="BH19" s="46"/>
      <c r="BI19" s="46"/>
      <c r="BJ19" s="196"/>
      <c r="BK19" s="46"/>
      <c r="BL19" s="46"/>
      <c r="BM19" s="46"/>
      <c r="BN19" s="46"/>
      <c r="BO19" s="257"/>
      <c r="BP19" s="196"/>
      <c r="BQ19" s="46"/>
      <c r="BR19" s="257"/>
      <c r="BS19" s="46"/>
      <c r="BT19" s="46"/>
      <c r="BU19" s="257"/>
      <c r="BV19" s="196"/>
      <c r="BW19" s="46"/>
      <c r="BX19" s="46"/>
      <c r="BY19" s="46"/>
      <c r="BZ19" s="46"/>
      <c r="CA19" s="257"/>
      <c r="CB19" s="196"/>
      <c r="CC19" s="46"/>
      <c r="CD19" s="257"/>
      <c r="CE19" s="46"/>
      <c r="CF19" s="46"/>
      <c r="CG19" s="257"/>
      <c r="CH19" s="46"/>
      <c r="CI19" s="46"/>
      <c r="CJ19" s="46"/>
      <c r="CK19" s="46"/>
      <c r="CL19" s="46"/>
      <c r="CM19" s="257"/>
      <c r="CN19" s="46"/>
      <c r="CO19" s="376"/>
      <c r="CP19" s="257"/>
      <c r="CQ19" s="196" t="s">
        <v>225</v>
      </c>
      <c r="CR19" s="190" t="s">
        <v>788</v>
      </c>
      <c r="CS19" s="257">
        <f t="shared" si="3"/>
        <v>5000</v>
      </c>
      <c r="CT19" s="196"/>
      <c r="CU19" s="317"/>
      <c r="CV19" s="391">
        <f t="shared" si="4"/>
        <v>0</v>
      </c>
      <c r="CW19" s="41"/>
      <c r="CX19" s="41"/>
      <c r="CY19" s="256"/>
      <c r="CZ19" s="308"/>
      <c r="DA19" s="308"/>
      <c r="DB19" s="420"/>
      <c r="DC19" s="41"/>
      <c r="DD19" s="41"/>
      <c r="DE19" s="256"/>
      <c r="DF19" s="41"/>
      <c r="DG19" s="41"/>
      <c r="DH19" s="391"/>
      <c r="DI19" s="41"/>
      <c r="DJ19" s="41"/>
      <c r="DK19" s="203"/>
      <c r="DL19" s="256"/>
      <c r="DM19" s="41"/>
      <c r="DN19" s="41"/>
      <c r="DO19" s="41"/>
      <c r="DP19" s="420"/>
      <c r="DQ19" s="41">
        <v>3</v>
      </c>
      <c r="DR19" s="41">
        <v>1</v>
      </c>
      <c r="DS19" s="203">
        <v>2</v>
      </c>
      <c r="DT19" s="256">
        <v>5000</v>
      </c>
      <c r="DU19" s="46"/>
      <c r="DV19" s="46"/>
      <c r="DW19" s="196"/>
      <c r="DX19" s="391"/>
      <c r="DY19" s="41"/>
      <c r="DZ19" s="41"/>
      <c r="EA19" s="41"/>
      <c r="EB19" s="69"/>
      <c r="EC19" s="41"/>
      <c r="ED19" s="41"/>
      <c r="EE19" s="41"/>
      <c r="EF19" s="420"/>
      <c r="EG19" s="41"/>
      <c r="EH19" s="41"/>
      <c r="EI19" s="41"/>
      <c r="EJ19" s="256"/>
      <c r="EK19" s="41"/>
      <c r="EL19" s="41"/>
      <c r="EM19" s="41"/>
      <c r="EN19" s="391"/>
    </row>
    <row r="20" spans="1:144" ht="25.5">
      <c r="A20" s="45">
        <v>13</v>
      </c>
      <c r="B20" s="53" t="s">
        <v>301</v>
      </c>
      <c r="C20" s="45">
        <v>1</v>
      </c>
      <c r="D20" s="55" t="s">
        <v>219</v>
      </c>
      <c r="E20" s="54">
        <v>39</v>
      </c>
      <c r="F20" s="54">
        <v>6</v>
      </c>
      <c r="G20" s="397">
        <f>48741.792/1000</f>
        <v>48.741792000000004</v>
      </c>
      <c r="H20" s="59">
        <v>13785.287999999999</v>
      </c>
      <c r="I20" s="59">
        <v>34956.504000000001</v>
      </c>
      <c r="J20" s="398">
        <v>76.660163999999995</v>
      </c>
      <c r="K20" s="414">
        <f t="shared" si="0"/>
        <v>125.401956</v>
      </c>
      <c r="L20" s="397"/>
      <c r="M20" s="397"/>
      <c r="N20" s="397">
        <f t="shared" si="1"/>
        <v>125.401956</v>
      </c>
      <c r="O20" s="399">
        <f t="shared" si="2"/>
        <v>120</v>
      </c>
      <c r="P20" s="196" t="s">
        <v>248</v>
      </c>
      <c r="Q20" s="46">
        <v>1</v>
      </c>
      <c r="R20" s="196" t="s">
        <v>758</v>
      </c>
      <c r="S20" s="257">
        <v>90000</v>
      </c>
      <c r="T20" s="196"/>
      <c r="U20" s="46"/>
      <c r="V20" s="46"/>
      <c r="W20" s="257"/>
      <c r="X20" s="46"/>
      <c r="Y20" s="46"/>
      <c r="Z20" s="46"/>
      <c r="AA20" s="257"/>
      <c r="AB20" s="196"/>
      <c r="AC20" s="46"/>
      <c r="AD20" s="46"/>
      <c r="AE20" s="257"/>
      <c r="AF20" s="196"/>
      <c r="AG20" s="46"/>
      <c r="AH20" s="46"/>
      <c r="AI20" s="196"/>
      <c r="AJ20" s="400"/>
      <c r="AK20" s="196"/>
      <c r="AL20" s="46"/>
      <c r="AM20" s="218"/>
      <c r="AN20" s="257"/>
      <c r="AO20" s="196"/>
      <c r="AP20" s="46"/>
      <c r="AQ20" s="257"/>
      <c r="AR20" s="196"/>
      <c r="AS20" s="46"/>
      <c r="AT20" s="257"/>
      <c r="AU20" s="196"/>
      <c r="AV20" s="46"/>
      <c r="AW20" s="257"/>
      <c r="AX20" s="196"/>
      <c r="AY20" s="46"/>
      <c r="AZ20" s="257"/>
      <c r="BA20" s="46"/>
      <c r="BB20" s="46"/>
      <c r="BC20" s="46"/>
      <c r="BD20" s="46"/>
      <c r="BE20" s="46"/>
      <c r="BF20" s="257"/>
      <c r="BG20" s="46"/>
      <c r="BH20" s="46"/>
      <c r="BI20" s="46"/>
      <c r="BJ20" s="196"/>
      <c r="BK20" s="46"/>
      <c r="BL20" s="46"/>
      <c r="BM20" s="46"/>
      <c r="BN20" s="46"/>
      <c r="BO20" s="257"/>
      <c r="BP20" s="196"/>
      <c r="BQ20" s="46"/>
      <c r="BR20" s="257"/>
      <c r="BS20" s="46"/>
      <c r="BT20" s="46"/>
      <c r="BU20" s="257"/>
      <c r="BV20" s="196"/>
      <c r="BW20" s="46"/>
      <c r="BX20" s="46"/>
      <c r="BY20" s="46"/>
      <c r="BZ20" s="46"/>
      <c r="CA20" s="257"/>
      <c r="CB20" s="196"/>
      <c r="CC20" s="46"/>
      <c r="CD20" s="257"/>
      <c r="CE20" s="46"/>
      <c r="CF20" s="46"/>
      <c r="CG20" s="257"/>
      <c r="CH20" s="46"/>
      <c r="CI20" s="46"/>
      <c r="CJ20" s="46"/>
      <c r="CK20" s="46"/>
      <c r="CL20" s="46"/>
      <c r="CM20" s="257"/>
      <c r="CN20" s="46"/>
      <c r="CO20" s="376"/>
      <c r="CP20" s="257"/>
      <c r="CQ20" s="196" t="s">
        <v>228</v>
      </c>
      <c r="CR20" s="191" t="s">
        <v>555</v>
      </c>
      <c r="CS20" s="257">
        <f t="shared" si="3"/>
        <v>30000</v>
      </c>
      <c r="CT20" s="196"/>
      <c r="CU20" s="317"/>
      <c r="CV20" s="391">
        <f t="shared" si="4"/>
        <v>0</v>
      </c>
      <c r="CW20" s="41"/>
      <c r="CX20" s="41"/>
      <c r="CY20" s="256"/>
      <c r="CZ20" s="308"/>
      <c r="DA20" s="308"/>
      <c r="DB20" s="420"/>
      <c r="DC20" s="41"/>
      <c r="DD20" s="41"/>
      <c r="DE20" s="256"/>
      <c r="DF20" s="41"/>
      <c r="DG20" s="41"/>
      <c r="DH20" s="391"/>
      <c r="DI20" s="41"/>
      <c r="DJ20" s="41"/>
      <c r="DK20" s="203"/>
      <c r="DL20" s="256"/>
      <c r="DM20" s="41"/>
      <c r="DN20" s="41"/>
      <c r="DO20" s="41"/>
      <c r="DP20" s="420"/>
      <c r="DQ20" s="41"/>
      <c r="DR20" s="41"/>
      <c r="DS20" s="203"/>
      <c r="DT20" s="256"/>
      <c r="DU20" s="46"/>
      <c r="DV20" s="46"/>
      <c r="DW20" s="196"/>
      <c r="DX20" s="391"/>
      <c r="DY20" s="41"/>
      <c r="DZ20" s="41"/>
      <c r="EA20" s="41"/>
      <c r="EB20" s="69"/>
      <c r="EC20" s="41"/>
      <c r="ED20" s="41"/>
      <c r="EE20" s="41"/>
      <c r="EF20" s="420"/>
      <c r="EG20" s="41">
        <v>9</v>
      </c>
      <c r="EH20" s="41">
        <v>2</v>
      </c>
      <c r="EI20" s="41">
        <v>1.2</v>
      </c>
      <c r="EJ20" s="256">
        <v>30000</v>
      </c>
      <c r="EK20" s="41"/>
      <c r="EL20" s="41"/>
      <c r="EM20" s="41"/>
      <c r="EN20" s="391"/>
    </row>
    <row r="21" spans="1:144" ht="25.5">
      <c r="A21" s="45">
        <v>14</v>
      </c>
      <c r="B21" s="53" t="s">
        <v>301</v>
      </c>
      <c r="C21" s="45">
        <v>1</v>
      </c>
      <c r="D21" s="55" t="s">
        <v>219</v>
      </c>
      <c r="E21" s="54">
        <v>40</v>
      </c>
      <c r="F21" s="54">
        <v>6</v>
      </c>
      <c r="G21" s="397">
        <f>108857.4/1000</f>
        <v>108.8574</v>
      </c>
      <c r="H21" s="59">
        <v>30787.350000000002</v>
      </c>
      <c r="I21" s="59">
        <v>78070.049999999988</v>
      </c>
      <c r="J21" s="398">
        <v>365.90207999999996</v>
      </c>
      <c r="K21" s="414">
        <f t="shared" si="0"/>
        <v>474.75947999999994</v>
      </c>
      <c r="L21" s="397"/>
      <c r="M21" s="397"/>
      <c r="N21" s="397">
        <f t="shared" si="1"/>
        <v>474.75947999999994</v>
      </c>
      <c r="O21" s="399">
        <f t="shared" si="2"/>
        <v>110</v>
      </c>
      <c r="P21" s="196" t="s">
        <v>248</v>
      </c>
      <c r="Q21" s="46">
        <v>1</v>
      </c>
      <c r="R21" s="196" t="s">
        <v>625</v>
      </c>
      <c r="S21" s="257">
        <v>110000</v>
      </c>
      <c r="T21" s="196"/>
      <c r="U21" s="46"/>
      <c r="V21" s="46"/>
      <c r="W21" s="257"/>
      <c r="X21" s="46"/>
      <c r="Y21" s="46"/>
      <c r="Z21" s="46"/>
      <c r="AA21" s="257"/>
      <c r="AB21" s="196"/>
      <c r="AC21" s="46"/>
      <c r="AD21" s="46"/>
      <c r="AE21" s="257"/>
      <c r="AF21" s="196"/>
      <c r="AG21" s="46"/>
      <c r="AH21" s="46"/>
      <c r="AI21" s="196"/>
      <c r="AJ21" s="400"/>
      <c r="AK21" s="196"/>
      <c r="AL21" s="46"/>
      <c r="AM21" s="218"/>
      <c r="AN21" s="257"/>
      <c r="AO21" s="196"/>
      <c r="AP21" s="46"/>
      <c r="AQ21" s="257"/>
      <c r="AR21" s="196"/>
      <c r="AS21" s="46"/>
      <c r="AT21" s="257"/>
      <c r="AU21" s="196"/>
      <c r="AV21" s="46"/>
      <c r="AW21" s="257"/>
      <c r="AX21" s="196"/>
      <c r="AY21" s="46"/>
      <c r="AZ21" s="257"/>
      <c r="BA21" s="46"/>
      <c r="BB21" s="46"/>
      <c r="BC21" s="46"/>
      <c r="BD21" s="46"/>
      <c r="BE21" s="46"/>
      <c r="BF21" s="257"/>
      <c r="BG21" s="46"/>
      <c r="BH21" s="46"/>
      <c r="BI21" s="46"/>
      <c r="BJ21" s="196"/>
      <c r="BK21" s="46"/>
      <c r="BL21" s="46"/>
      <c r="BM21" s="46"/>
      <c r="BN21" s="46"/>
      <c r="BO21" s="257"/>
      <c r="BP21" s="196"/>
      <c r="BQ21" s="46"/>
      <c r="BR21" s="257"/>
      <c r="BS21" s="46"/>
      <c r="BT21" s="46"/>
      <c r="BU21" s="257"/>
      <c r="BV21" s="196"/>
      <c r="BW21" s="46"/>
      <c r="BX21" s="46"/>
      <c r="BY21" s="46"/>
      <c r="BZ21" s="46"/>
      <c r="CA21" s="257"/>
      <c r="CB21" s="196"/>
      <c r="CC21" s="46"/>
      <c r="CD21" s="257"/>
      <c r="CE21" s="46"/>
      <c r="CF21" s="46"/>
      <c r="CG21" s="257"/>
      <c r="CH21" s="46"/>
      <c r="CI21" s="46"/>
      <c r="CJ21" s="46"/>
      <c r="CK21" s="46"/>
      <c r="CL21" s="46"/>
      <c r="CM21" s="257"/>
      <c r="CN21" s="46"/>
      <c r="CO21" s="376"/>
      <c r="CP21" s="257"/>
      <c r="CQ21" s="196"/>
      <c r="CR21" s="190"/>
      <c r="CS21" s="257">
        <f t="shared" si="3"/>
        <v>0</v>
      </c>
      <c r="CT21" s="196"/>
      <c r="CU21" s="317"/>
      <c r="CV21" s="391">
        <f t="shared" si="4"/>
        <v>0</v>
      </c>
      <c r="CW21" s="41"/>
      <c r="CX21" s="41"/>
      <c r="CY21" s="256"/>
      <c r="CZ21" s="308"/>
      <c r="DA21" s="308"/>
      <c r="DB21" s="420"/>
      <c r="DC21" s="41"/>
      <c r="DD21" s="41"/>
      <c r="DE21" s="256"/>
      <c r="DF21" s="41"/>
      <c r="DG21" s="41"/>
      <c r="DH21" s="391"/>
      <c r="DI21" s="41"/>
      <c r="DJ21" s="41"/>
      <c r="DK21" s="203"/>
      <c r="DL21" s="256"/>
      <c r="DM21" s="41"/>
      <c r="DN21" s="41"/>
      <c r="DO21" s="41"/>
      <c r="DP21" s="420"/>
      <c r="DQ21" s="41"/>
      <c r="DR21" s="41"/>
      <c r="DS21" s="203"/>
      <c r="DT21" s="256"/>
      <c r="DU21" s="46"/>
      <c r="DV21" s="46"/>
      <c r="DW21" s="196"/>
      <c r="DX21" s="391"/>
      <c r="DY21" s="41"/>
      <c r="DZ21" s="41"/>
      <c r="EA21" s="41"/>
      <c r="EB21" s="69"/>
      <c r="EC21" s="41"/>
      <c r="ED21" s="41"/>
      <c r="EE21" s="41"/>
      <c r="EF21" s="420"/>
      <c r="EG21" s="41"/>
      <c r="EH21" s="41"/>
      <c r="EI21" s="41"/>
      <c r="EJ21" s="256"/>
      <c r="EK21" s="41"/>
      <c r="EL21" s="41"/>
      <c r="EM21" s="41"/>
      <c r="EN21" s="391"/>
    </row>
    <row r="22" spans="1:144" ht="60">
      <c r="A22" s="45">
        <v>15</v>
      </c>
      <c r="B22" s="53" t="s">
        <v>301</v>
      </c>
      <c r="C22" s="45">
        <v>1</v>
      </c>
      <c r="D22" s="55" t="s">
        <v>219</v>
      </c>
      <c r="E22" s="54">
        <v>41</v>
      </c>
      <c r="F22" s="54">
        <v>6</v>
      </c>
      <c r="G22" s="397">
        <f>74461.752/1000</f>
        <v>74.46175199999999</v>
      </c>
      <c r="H22" s="59">
        <v>21059.477999999996</v>
      </c>
      <c r="I22" s="59">
        <v>53402.274000000005</v>
      </c>
      <c r="J22" s="398">
        <v>263.63379399999997</v>
      </c>
      <c r="K22" s="414">
        <f t="shared" si="0"/>
        <v>338.09554599999996</v>
      </c>
      <c r="L22" s="397"/>
      <c r="M22" s="397"/>
      <c r="N22" s="397">
        <f t="shared" si="1"/>
        <v>338.09554599999996</v>
      </c>
      <c r="O22" s="399">
        <f t="shared" si="2"/>
        <v>187.2</v>
      </c>
      <c r="P22" s="196" t="s">
        <v>248</v>
      </c>
      <c r="Q22" s="46">
        <v>2</v>
      </c>
      <c r="R22" s="218" t="s">
        <v>759</v>
      </c>
      <c r="S22" s="257">
        <f>2*20000+90000</f>
        <v>130000</v>
      </c>
      <c r="T22" s="196"/>
      <c r="U22" s="46"/>
      <c r="V22" s="46"/>
      <c r="W22" s="257"/>
      <c r="X22" s="46"/>
      <c r="Y22" s="46"/>
      <c r="Z22" s="46"/>
      <c r="AA22" s="257"/>
      <c r="AB22" s="196"/>
      <c r="AC22" s="46"/>
      <c r="AD22" s="46"/>
      <c r="AE22" s="257"/>
      <c r="AF22" s="196"/>
      <c r="AG22" s="46"/>
      <c r="AH22" s="46"/>
      <c r="AI22" s="196"/>
      <c r="AJ22" s="400"/>
      <c r="AK22" s="196"/>
      <c r="AL22" s="46"/>
      <c r="AM22" s="218"/>
      <c r="AN22" s="257"/>
      <c r="AO22" s="196"/>
      <c r="AP22" s="46"/>
      <c r="AQ22" s="257"/>
      <c r="AR22" s="196"/>
      <c r="AS22" s="46"/>
      <c r="AT22" s="257"/>
      <c r="AU22" s="196"/>
      <c r="AV22" s="46"/>
      <c r="AW22" s="257"/>
      <c r="AX22" s="196" t="s">
        <v>225</v>
      </c>
      <c r="AY22" s="46">
        <v>44</v>
      </c>
      <c r="AZ22" s="257">
        <f>AY22*1300</f>
        <v>57200</v>
      </c>
      <c r="BA22" s="46"/>
      <c r="BB22" s="46"/>
      <c r="BC22" s="46"/>
      <c r="BD22" s="46"/>
      <c r="BE22" s="46"/>
      <c r="BF22" s="257"/>
      <c r="BG22" s="46"/>
      <c r="BH22" s="46"/>
      <c r="BI22" s="46"/>
      <c r="BJ22" s="196"/>
      <c r="BK22" s="46"/>
      <c r="BL22" s="46"/>
      <c r="BM22" s="46"/>
      <c r="BN22" s="46"/>
      <c r="BO22" s="257"/>
      <c r="BP22" s="196"/>
      <c r="BQ22" s="46"/>
      <c r="BR22" s="257"/>
      <c r="BS22" s="46"/>
      <c r="BT22" s="46"/>
      <c r="BU22" s="257"/>
      <c r="BV22" s="196"/>
      <c r="BW22" s="46"/>
      <c r="BX22" s="46"/>
      <c r="BY22" s="46"/>
      <c r="BZ22" s="46"/>
      <c r="CA22" s="257"/>
      <c r="CB22" s="196"/>
      <c r="CC22" s="46"/>
      <c r="CD22" s="257"/>
      <c r="CE22" s="46"/>
      <c r="CF22" s="46"/>
      <c r="CG22" s="257"/>
      <c r="CH22" s="46"/>
      <c r="CI22" s="46"/>
      <c r="CJ22" s="46"/>
      <c r="CK22" s="46"/>
      <c r="CL22" s="46"/>
      <c r="CM22" s="257"/>
      <c r="CN22" s="46"/>
      <c r="CO22" s="376"/>
      <c r="CP22" s="257"/>
      <c r="CQ22" s="196"/>
      <c r="CR22" s="191"/>
      <c r="CS22" s="257">
        <f t="shared" si="3"/>
        <v>0</v>
      </c>
      <c r="CT22" s="196"/>
      <c r="CU22" s="317"/>
      <c r="CV22" s="391">
        <f t="shared" si="4"/>
        <v>0</v>
      </c>
      <c r="CW22" s="41"/>
      <c r="CX22" s="41"/>
      <c r="CY22" s="256"/>
      <c r="CZ22" s="308"/>
      <c r="DA22" s="308"/>
      <c r="DB22" s="420"/>
      <c r="DC22" s="41"/>
      <c r="DD22" s="41"/>
      <c r="DE22" s="256"/>
      <c r="DF22" s="41"/>
      <c r="DG22" s="41"/>
      <c r="DH22" s="391"/>
      <c r="DI22" s="41"/>
      <c r="DJ22" s="41"/>
      <c r="DK22" s="203"/>
      <c r="DL22" s="256"/>
      <c r="DM22" s="41"/>
      <c r="DN22" s="41"/>
      <c r="DO22" s="41"/>
      <c r="DP22" s="420"/>
      <c r="DQ22" s="41"/>
      <c r="DR22" s="41"/>
      <c r="DS22" s="203"/>
      <c r="DT22" s="256"/>
      <c r="DU22" s="46"/>
      <c r="DV22" s="46"/>
      <c r="DW22" s="196"/>
      <c r="DX22" s="391"/>
      <c r="DY22" s="41"/>
      <c r="DZ22" s="41"/>
      <c r="EA22" s="41"/>
      <c r="EB22" s="69"/>
      <c r="EC22" s="41"/>
      <c r="ED22" s="41"/>
      <c r="EE22" s="41"/>
      <c r="EF22" s="420"/>
      <c r="EG22" s="41"/>
      <c r="EH22" s="41"/>
      <c r="EI22" s="41"/>
      <c r="EJ22" s="256"/>
      <c r="EK22" s="41"/>
      <c r="EL22" s="41"/>
      <c r="EM22" s="41"/>
      <c r="EN22" s="391"/>
    </row>
    <row r="23" spans="1:144" ht="25.5">
      <c r="A23" s="45">
        <v>16</v>
      </c>
      <c r="B23" s="53" t="s">
        <v>301</v>
      </c>
      <c r="C23" s="45">
        <v>1</v>
      </c>
      <c r="D23" s="55" t="s">
        <v>219</v>
      </c>
      <c r="E23" s="54">
        <v>42</v>
      </c>
      <c r="F23" s="54">
        <v>6</v>
      </c>
      <c r="G23" s="397">
        <f>108550.296/1000</f>
        <v>108.550296</v>
      </c>
      <c r="H23" s="59">
        <v>30700.493999999999</v>
      </c>
      <c r="I23" s="59">
        <v>77849.801999999996</v>
      </c>
      <c r="J23" s="398">
        <v>384.45865199999997</v>
      </c>
      <c r="K23" s="414">
        <f t="shared" si="0"/>
        <v>493.00894799999998</v>
      </c>
      <c r="L23" s="397"/>
      <c r="M23" s="397"/>
      <c r="N23" s="397">
        <f t="shared" si="1"/>
        <v>493.00894799999998</v>
      </c>
      <c r="O23" s="399">
        <f t="shared" si="2"/>
        <v>140</v>
      </c>
      <c r="P23" s="196" t="s">
        <v>228</v>
      </c>
      <c r="Q23" s="46">
        <v>1</v>
      </c>
      <c r="R23" s="196" t="s">
        <v>224</v>
      </c>
      <c r="S23" s="257">
        <v>90000</v>
      </c>
      <c r="T23" s="196"/>
      <c r="U23" s="46"/>
      <c r="V23" s="46"/>
      <c r="W23" s="257"/>
      <c r="X23" s="46"/>
      <c r="Y23" s="46"/>
      <c r="Z23" s="46"/>
      <c r="AA23" s="257"/>
      <c r="AB23" s="196"/>
      <c r="AC23" s="46"/>
      <c r="AD23" s="46"/>
      <c r="AE23" s="257"/>
      <c r="AF23" s="196"/>
      <c r="AG23" s="46"/>
      <c r="AH23" s="46"/>
      <c r="AI23" s="196"/>
      <c r="AJ23" s="400"/>
      <c r="AK23" s="196"/>
      <c r="AL23" s="46"/>
      <c r="AM23" s="218"/>
      <c r="AN23" s="257"/>
      <c r="AO23" s="196"/>
      <c r="AP23" s="46"/>
      <c r="AQ23" s="257"/>
      <c r="AR23" s="196"/>
      <c r="AS23" s="46"/>
      <c r="AT23" s="257"/>
      <c r="AU23" s="196"/>
      <c r="AV23" s="46"/>
      <c r="AW23" s="257"/>
      <c r="AX23" s="196"/>
      <c r="AY23" s="46"/>
      <c r="AZ23" s="257"/>
      <c r="BA23" s="46"/>
      <c r="BB23" s="46"/>
      <c r="BC23" s="46"/>
      <c r="BD23" s="46"/>
      <c r="BE23" s="46"/>
      <c r="BF23" s="257"/>
      <c r="BG23" s="46"/>
      <c r="BH23" s="46"/>
      <c r="BI23" s="46"/>
      <c r="BJ23" s="196"/>
      <c r="BK23" s="46"/>
      <c r="BL23" s="46"/>
      <c r="BM23" s="46"/>
      <c r="BN23" s="46"/>
      <c r="BO23" s="257"/>
      <c r="BP23" s="196"/>
      <c r="BQ23" s="46"/>
      <c r="BR23" s="257"/>
      <c r="BS23" s="46"/>
      <c r="BT23" s="46"/>
      <c r="BU23" s="257"/>
      <c r="BV23" s="196"/>
      <c r="BW23" s="46"/>
      <c r="BX23" s="46"/>
      <c r="BY23" s="46"/>
      <c r="BZ23" s="46"/>
      <c r="CA23" s="257"/>
      <c r="CB23" s="196"/>
      <c r="CC23" s="46"/>
      <c r="CD23" s="257"/>
      <c r="CE23" s="46"/>
      <c r="CF23" s="46"/>
      <c r="CG23" s="257"/>
      <c r="CH23" s="46"/>
      <c r="CI23" s="46"/>
      <c r="CJ23" s="46"/>
      <c r="CK23" s="46"/>
      <c r="CL23" s="46"/>
      <c r="CM23" s="257"/>
      <c r="CN23" s="46"/>
      <c r="CO23" s="376"/>
      <c r="CP23" s="257"/>
      <c r="CQ23" s="196"/>
      <c r="CR23" s="191" t="s">
        <v>554</v>
      </c>
      <c r="CS23" s="257">
        <f>CY23+DE23+DL23+DT23+EB23+EJ23+50000</f>
        <v>50000</v>
      </c>
      <c r="CT23" s="196"/>
      <c r="CU23" s="317"/>
      <c r="CV23" s="391">
        <f t="shared" si="4"/>
        <v>0</v>
      </c>
      <c r="CW23" s="41"/>
      <c r="CX23" s="41"/>
      <c r="CY23" s="256"/>
      <c r="CZ23" s="308"/>
      <c r="DA23" s="308"/>
      <c r="DB23" s="420"/>
      <c r="DC23" s="41"/>
      <c r="DD23" s="41"/>
      <c r="DE23" s="256"/>
      <c r="DF23" s="41"/>
      <c r="DG23" s="41"/>
      <c r="DH23" s="391"/>
      <c r="DI23" s="41"/>
      <c r="DJ23" s="41"/>
      <c r="DK23" s="203"/>
      <c r="DL23" s="256"/>
      <c r="DM23" s="41"/>
      <c r="DN23" s="41"/>
      <c r="DO23" s="41"/>
      <c r="DP23" s="420"/>
      <c r="DQ23" s="41"/>
      <c r="DR23" s="41"/>
      <c r="DS23" s="203"/>
      <c r="DT23" s="256"/>
      <c r="DU23" s="46"/>
      <c r="DV23" s="46"/>
      <c r="DW23" s="196"/>
      <c r="DX23" s="391"/>
      <c r="DY23" s="41"/>
      <c r="DZ23" s="41"/>
      <c r="EA23" s="41"/>
      <c r="EB23" s="69"/>
      <c r="EC23" s="41"/>
      <c r="ED23" s="41"/>
      <c r="EE23" s="41"/>
      <c r="EF23" s="420"/>
      <c r="EG23" s="41"/>
      <c r="EH23" s="41"/>
      <c r="EI23" s="41"/>
      <c r="EJ23" s="256"/>
      <c r="EK23" s="41"/>
      <c r="EL23" s="41"/>
      <c r="EM23" s="41"/>
      <c r="EN23" s="391"/>
    </row>
    <row r="24" spans="1:144" ht="25.5">
      <c r="A24" s="45">
        <v>17</v>
      </c>
      <c r="B24" s="53" t="s">
        <v>301</v>
      </c>
      <c r="C24" s="45">
        <v>1</v>
      </c>
      <c r="D24" s="55" t="s">
        <v>219</v>
      </c>
      <c r="E24" s="54">
        <v>44</v>
      </c>
      <c r="F24" s="54">
        <v>6</v>
      </c>
      <c r="G24" s="397">
        <f>109889.4888/1000</f>
        <v>109.88948880000001</v>
      </c>
      <c r="H24" s="59">
        <v>31079.248200000002</v>
      </c>
      <c r="I24" s="59">
        <v>78810.240600000019</v>
      </c>
      <c r="J24" s="398">
        <v>289.67478260000001</v>
      </c>
      <c r="K24" s="414">
        <f t="shared" si="0"/>
        <v>399.56427140000005</v>
      </c>
      <c r="L24" s="397"/>
      <c r="M24" s="397"/>
      <c r="N24" s="397">
        <f t="shared" si="1"/>
        <v>399.56427140000005</v>
      </c>
      <c r="O24" s="399">
        <f t="shared" si="2"/>
        <v>380</v>
      </c>
      <c r="P24" s="196" t="s">
        <v>249</v>
      </c>
      <c r="Q24" s="46">
        <v>3</v>
      </c>
      <c r="R24" s="196" t="s">
        <v>529</v>
      </c>
      <c r="S24" s="257">
        <f>3*90000</f>
        <v>270000</v>
      </c>
      <c r="T24" s="196"/>
      <c r="U24" s="46"/>
      <c r="V24" s="46"/>
      <c r="W24" s="257"/>
      <c r="X24" s="46"/>
      <c r="Y24" s="46"/>
      <c r="Z24" s="46"/>
      <c r="AA24" s="257"/>
      <c r="AB24" s="196"/>
      <c r="AC24" s="46"/>
      <c r="AD24" s="46"/>
      <c r="AE24" s="257"/>
      <c r="AF24" s="196"/>
      <c r="AG24" s="46"/>
      <c r="AH24" s="46"/>
      <c r="AI24" s="196"/>
      <c r="AJ24" s="400"/>
      <c r="AK24" s="196"/>
      <c r="AL24" s="46"/>
      <c r="AM24" s="218"/>
      <c r="AN24" s="257"/>
      <c r="AO24" s="196"/>
      <c r="AP24" s="46"/>
      <c r="AQ24" s="257"/>
      <c r="AR24" s="196"/>
      <c r="AS24" s="46"/>
      <c r="AT24" s="257"/>
      <c r="AU24" s="196"/>
      <c r="AV24" s="46"/>
      <c r="AW24" s="257"/>
      <c r="AX24" s="196"/>
      <c r="AY24" s="46"/>
      <c r="AZ24" s="257"/>
      <c r="BA24" s="46"/>
      <c r="BB24" s="46"/>
      <c r="BC24" s="46"/>
      <c r="BD24" s="46"/>
      <c r="BE24" s="46"/>
      <c r="BF24" s="257"/>
      <c r="BG24" s="46"/>
      <c r="BH24" s="46"/>
      <c r="BI24" s="46"/>
      <c r="BJ24" s="196"/>
      <c r="BK24" s="46"/>
      <c r="BL24" s="46"/>
      <c r="BM24" s="46"/>
      <c r="BN24" s="46"/>
      <c r="BO24" s="257"/>
      <c r="BP24" s="196"/>
      <c r="BQ24" s="46"/>
      <c r="BR24" s="257"/>
      <c r="BS24" s="46"/>
      <c r="BT24" s="46"/>
      <c r="BU24" s="257"/>
      <c r="BV24" s="196"/>
      <c r="BW24" s="46"/>
      <c r="BX24" s="46"/>
      <c r="BY24" s="46"/>
      <c r="BZ24" s="46"/>
      <c r="CA24" s="257"/>
      <c r="CB24" s="196"/>
      <c r="CC24" s="46"/>
      <c r="CD24" s="257"/>
      <c r="CE24" s="46"/>
      <c r="CF24" s="46"/>
      <c r="CG24" s="257"/>
      <c r="CH24" s="46"/>
      <c r="CI24" s="46"/>
      <c r="CJ24" s="46"/>
      <c r="CK24" s="46"/>
      <c r="CL24" s="46"/>
      <c r="CM24" s="257"/>
      <c r="CN24" s="46"/>
      <c r="CO24" s="376"/>
      <c r="CP24" s="257"/>
      <c r="CQ24" s="196" t="s">
        <v>225</v>
      </c>
      <c r="CR24" s="190" t="s">
        <v>760</v>
      </c>
      <c r="CS24" s="257">
        <f>CY24+DE24+DL24+DT24+EB24+EJ24+50000</f>
        <v>110000</v>
      </c>
      <c r="CT24" s="196"/>
      <c r="CU24" s="317"/>
      <c r="CV24" s="391">
        <f t="shared" si="4"/>
        <v>0</v>
      </c>
      <c r="CW24" s="41"/>
      <c r="CX24" s="41"/>
      <c r="CY24" s="256"/>
      <c r="CZ24" s="308"/>
      <c r="DA24" s="308"/>
      <c r="DB24" s="420"/>
      <c r="DC24" s="41"/>
      <c r="DD24" s="41"/>
      <c r="DE24" s="256"/>
      <c r="DF24" s="41"/>
      <c r="DG24" s="41"/>
      <c r="DH24" s="391"/>
      <c r="DI24" s="41"/>
      <c r="DJ24" s="41"/>
      <c r="DK24" s="203"/>
      <c r="DL24" s="256"/>
      <c r="DM24" s="41"/>
      <c r="DN24" s="41"/>
      <c r="DO24" s="41"/>
      <c r="DP24" s="420"/>
      <c r="DQ24" s="41">
        <v>3</v>
      </c>
      <c r="DR24" s="41">
        <v>3</v>
      </c>
      <c r="DS24" s="203" t="s">
        <v>529</v>
      </c>
      <c r="DT24" s="256">
        <f>3*20000</f>
        <v>60000</v>
      </c>
      <c r="DU24" s="46"/>
      <c r="DV24" s="46"/>
      <c r="DW24" s="196"/>
      <c r="DX24" s="391"/>
      <c r="DY24" s="41"/>
      <c r="DZ24" s="41"/>
      <c r="EA24" s="41"/>
      <c r="EB24" s="69"/>
      <c r="EC24" s="41"/>
      <c r="ED24" s="41"/>
      <c r="EE24" s="41"/>
      <c r="EF24" s="420"/>
      <c r="EG24" s="41"/>
      <c r="EH24" s="41"/>
      <c r="EI24" s="41"/>
      <c r="EJ24" s="256"/>
      <c r="EK24" s="41"/>
      <c r="EL24" s="41"/>
      <c r="EM24" s="41"/>
      <c r="EN24" s="391"/>
    </row>
    <row r="25" spans="1:144" ht="25.5">
      <c r="A25" s="45">
        <v>18</v>
      </c>
      <c r="B25" s="53" t="s">
        <v>301</v>
      </c>
      <c r="C25" s="45">
        <v>1</v>
      </c>
      <c r="D25" s="55" t="s">
        <v>219</v>
      </c>
      <c r="E25" s="54">
        <v>45</v>
      </c>
      <c r="F25" s="54">
        <v>6</v>
      </c>
      <c r="G25" s="397">
        <f>77136.8472/1000</f>
        <v>77.136847200000005</v>
      </c>
      <c r="H25" s="59">
        <v>21816.055800000002</v>
      </c>
      <c r="I25" s="59">
        <v>55320.791400000002</v>
      </c>
      <c r="J25" s="398">
        <v>42.315947399999978</v>
      </c>
      <c r="K25" s="414">
        <f t="shared" si="0"/>
        <v>119.45279459999998</v>
      </c>
      <c r="L25" s="397"/>
      <c r="M25" s="397"/>
      <c r="N25" s="397">
        <f t="shared" si="1"/>
        <v>119.45279459999998</v>
      </c>
      <c r="O25" s="399">
        <f t="shared" si="2"/>
        <v>109.5</v>
      </c>
      <c r="P25" s="196" t="s">
        <v>249</v>
      </c>
      <c r="Q25" s="46">
        <v>1</v>
      </c>
      <c r="R25" s="196">
        <v>1</v>
      </c>
      <c r="S25" s="257">
        <v>90000</v>
      </c>
      <c r="T25" s="196"/>
      <c r="U25" s="46"/>
      <c r="V25" s="46"/>
      <c r="W25" s="257"/>
      <c r="X25" s="46"/>
      <c r="Y25" s="46"/>
      <c r="Z25" s="46"/>
      <c r="AA25" s="257"/>
      <c r="AB25" s="196"/>
      <c r="AC25" s="46"/>
      <c r="AD25" s="46"/>
      <c r="AE25" s="257"/>
      <c r="AF25" s="196" t="s">
        <v>229</v>
      </c>
      <c r="AG25" s="46" t="s">
        <v>335</v>
      </c>
      <c r="AH25" s="162">
        <v>15</v>
      </c>
      <c r="AI25" s="196" t="s">
        <v>552</v>
      </c>
      <c r="AJ25" s="400">
        <f>AH25*1300</f>
        <v>19500</v>
      </c>
      <c r="AK25" s="196"/>
      <c r="AL25" s="46"/>
      <c r="AM25" s="218"/>
      <c r="AN25" s="257"/>
      <c r="AO25" s="196"/>
      <c r="AP25" s="46"/>
      <c r="AQ25" s="257"/>
      <c r="AR25" s="196"/>
      <c r="AS25" s="46"/>
      <c r="AT25" s="257"/>
      <c r="AU25" s="196"/>
      <c r="AV25" s="46"/>
      <c r="AW25" s="257"/>
      <c r="AX25" s="196"/>
      <c r="AY25" s="46"/>
      <c r="AZ25" s="257"/>
      <c r="BA25" s="46"/>
      <c r="BB25" s="46"/>
      <c r="BC25" s="46"/>
      <c r="BD25" s="46"/>
      <c r="BE25" s="46"/>
      <c r="BF25" s="257"/>
      <c r="BG25" s="46"/>
      <c r="BH25" s="46"/>
      <c r="BI25" s="46"/>
      <c r="BJ25" s="196"/>
      <c r="BK25" s="46"/>
      <c r="BL25" s="46"/>
      <c r="BM25" s="46"/>
      <c r="BN25" s="46"/>
      <c r="BO25" s="257"/>
      <c r="BP25" s="196"/>
      <c r="BQ25" s="46"/>
      <c r="BR25" s="257"/>
      <c r="BS25" s="46"/>
      <c r="BT25" s="46"/>
      <c r="BU25" s="257"/>
      <c r="BV25" s="196"/>
      <c r="BW25" s="46"/>
      <c r="BX25" s="46"/>
      <c r="BY25" s="46"/>
      <c r="BZ25" s="46"/>
      <c r="CA25" s="257"/>
      <c r="CB25" s="196"/>
      <c r="CC25" s="46"/>
      <c r="CD25" s="257"/>
      <c r="CE25" s="46"/>
      <c r="CF25" s="46"/>
      <c r="CG25" s="257"/>
      <c r="CH25" s="46"/>
      <c r="CI25" s="46"/>
      <c r="CJ25" s="46"/>
      <c r="CK25" s="46"/>
      <c r="CL25" s="46"/>
      <c r="CM25" s="257"/>
      <c r="CN25" s="46"/>
      <c r="CO25" s="376"/>
      <c r="CP25" s="257"/>
      <c r="CQ25" s="196"/>
      <c r="CR25" s="191"/>
      <c r="CS25" s="257">
        <f t="shared" si="3"/>
        <v>0</v>
      </c>
      <c r="CT25" s="196"/>
      <c r="CU25" s="317"/>
      <c r="CV25" s="391">
        <f t="shared" si="4"/>
        <v>0</v>
      </c>
      <c r="CW25" s="41"/>
      <c r="CX25" s="41"/>
      <c r="CY25" s="256"/>
      <c r="CZ25" s="308"/>
      <c r="DA25" s="308"/>
      <c r="DB25" s="420"/>
      <c r="DC25" s="41"/>
      <c r="DD25" s="41"/>
      <c r="DE25" s="256"/>
      <c r="DF25" s="41"/>
      <c r="DG25" s="41"/>
      <c r="DH25" s="391"/>
      <c r="DI25" s="41"/>
      <c r="DJ25" s="41"/>
      <c r="DK25" s="203"/>
      <c r="DL25" s="256"/>
      <c r="DM25" s="41"/>
      <c r="DN25" s="41"/>
      <c r="DO25" s="41"/>
      <c r="DP25" s="420"/>
      <c r="DQ25" s="41"/>
      <c r="DR25" s="41"/>
      <c r="DS25" s="203"/>
      <c r="DT25" s="256"/>
      <c r="DU25" s="46"/>
      <c r="DV25" s="46"/>
      <c r="DW25" s="196"/>
      <c r="DX25" s="391"/>
      <c r="DY25" s="41"/>
      <c r="DZ25" s="41"/>
      <c r="EA25" s="41"/>
      <c r="EB25" s="69"/>
      <c r="EC25" s="41"/>
      <c r="ED25" s="41"/>
      <c r="EE25" s="41"/>
      <c r="EF25" s="420"/>
      <c r="EG25" s="41"/>
      <c r="EH25" s="41"/>
      <c r="EI25" s="41"/>
      <c r="EJ25" s="256"/>
      <c r="EK25" s="41"/>
      <c r="EL25" s="41"/>
      <c r="EM25" s="41"/>
      <c r="EN25" s="391"/>
    </row>
    <row r="26" spans="1:144" ht="25.5">
      <c r="A26" s="45">
        <v>19</v>
      </c>
      <c r="B26" s="53" t="s">
        <v>301</v>
      </c>
      <c r="C26" s="45">
        <v>1</v>
      </c>
      <c r="D26" s="55" t="s">
        <v>219</v>
      </c>
      <c r="E26" s="54">
        <v>46</v>
      </c>
      <c r="F26" s="54">
        <v>5</v>
      </c>
      <c r="G26" s="397">
        <f>83243.16/1000</f>
        <v>83.243160000000003</v>
      </c>
      <c r="H26" s="59">
        <v>83243.16</v>
      </c>
      <c r="I26" s="59">
        <v>0</v>
      </c>
      <c r="J26" s="398">
        <v>-187.64026000000004</v>
      </c>
      <c r="K26" s="414">
        <f t="shared" si="0"/>
        <v>-104.39710000000004</v>
      </c>
      <c r="L26" s="397"/>
      <c r="M26" s="397"/>
      <c r="N26" s="397">
        <f t="shared" si="1"/>
        <v>-104.39710000000004</v>
      </c>
      <c r="O26" s="399">
        <f t="shared" si="2"/>
        <v>0</v>
      </c>
      <c r="P26" s="196"/>
      <c r="Q26" s="46"/>
      <c r="R26" s="196"/>
      <c r="S26" s="257"/>
      <c r="T26" s="196"/>
      <c r="U26" s="46"/>
      <c r="V26" s="46"/>
      <c r="W26" s="257"/>
      <c r="X26" s="46"/>
      <c r="Y26" s="46"/>
      <c r="Z26" s="46"/>
      <c r="AA26" s="257"/>
      <c r="AB26" s="196"/>
      <c r="AC26" s="46"/>
      <c r="AD26" s="46"/>
      <c r="AE26" s="257"/>
      <c r="AF26" s="196"/>
      <c r="AG26" s="46"/>
      <c r="AH26" s="46"/>
      <c r="AI26" s="196"/>
      <c r="AJ26" s="400"/>
      <c r="AK26" s="196"/>
      <c r="AL26" s="46"/>
      <c r="AM26" s="218"/>
      <c r="AN26" s="257"/>
      <c r="AO26" s="196"/>
      <c r="AP26" s="46"/>
      <c r="AQ26" s="257"/>
      <c r="AR26" s="196"/>
      <c r="AS26" s="46"/>
      <c r="AT26" s="257"/>
      <c r="AU26" s="196"/>
      <c r="AV26" s="46"/>
      <c r="AW26" s="257"/>
      <c r="AX26" s="234"/>
      <c r="AY26" s="46"/>
      <c r="AZ26" s="257"/>
      <c r="BA26" s="46"/>
      <c r="BB26" s="46"/>
      <c r="BC26" s="46"/>
      <c r="BD26" s="46"/>
      <c r="BE26" s="46"/>
      <c r="BF26" s="257"/>
      <c r="BG26" s="46"/>
      <c r="BH26" s="46"/>
      <c r="BI26" s="46"/>
      <c r="BJ26" s="196"/>
      <c r="BK26" s="46"/>
      <c r="BL26" s="46"/>
      <c r="BM26" s="46"/>
      <c r="BN26" s="46"/>
      <c r="BO26" s="257"/>
      <c r="BP26" s="196"/>
      <c r="BQ26" s="46"/>
      <c r="BR26" s="257"/>
      <c r="BS26" s="46"/>
      <c r="BT26" s="46"/>
      <c r="BU26" s="257"/>
      <c r="BV26" s="196"/>
      <c r="BW26" s="46"/>
      <c r="BX26" s="46"/>
      <c r="BY26" s="46"/>
      <c r="BZ26" s="46"/>
      <c r="CA26" s="257"/>
      <c r="CB26" s="196"/>
      <c r="CC26" s="46"/>
      <c r="CD26" s="257"/>
      <c r="CE26" s="46"/>
      <c r="CF26" s="46"/>
      <c r="CG26" s="257"/>
      <c r="CH26" s="46"/>
      <c r="CI26" s="46"/>
      <c r="CJ26" s="46"/>
      <c r="CK26" s="46"/>
      <c r="CL26" s="46"/>
      <c r="CM26" s="257"/>
      <c r="CN26" s="46"/>
      <c r="CO26" s="376"/>
      <c r="CP26" s="257"/>
      <c r="CQ26" s="196"/>
      <c r="CR26" s="523"/>
      <c r="CS26" s="257">
        <f t="shared" si="3"/>
        <v>0</v>
      </c>
      <c r="CT26" s="196"/>
      <c r="CU26" s="317"/>
      <c r="CV26" s="391">
        <f t="shared" si="4"/>
        <v>0</v>
      </c>
      <c r="CW26" s="41"/>
      <c r="CX26" s="41"/>
      <c r="CY26" s="256"/>
      <c r="CZ26" s="308"/>
      <c r="DA26" s="308"/>
      <c r="DB26" s="420"/>
      <c r="DC26" s="41"/>
      <c r="DD26" s="41"/>
      <c r="DE26" s="256"/>
      <c r="DF26" s="41"/>
      <c r="DG26" s="41"/>
      <c r="DH26" s="391"/>
      <c r="DI26" s="41"/>
      <c r="DJ26" s="41"/>
      <c r="DK26" s="203"/>
      <c r="DL26" s="256"/>
      <c r="DM26" s="41"/>
      <c r="DN26" s="41"/>
      <c r="DO26" s="41"/>
      <c r="DP26" s="420"/>
      <c r="DQ26" s="41"/>
      <c r="DR26" s="41"/>
      <c r="DS26" s="203"/>
      <c r="DT26" s="256"/>
      <c r="DU26" s="46"/>
      <c r="DV26" s="46"/>
      <c r="DW26" s="196"/>
      <c r="DX26" s="391"/>
      <c r="DY26" s="41"/>
      <c r="DZ26" s="41"/>
      <c r="EA26" s="41"/>
      <c r="EB26" s="69"/>
      <c r="EC26" s="41"/>
      <c r="ED26" s="41"/>
      <c r="EE26" s="41"/>
      <c r="EF26" s="420"/>
      <c r="EG26" s="41"/>
      <c r="EH26" s="41"/>
      <c r="EI26" s="41"/>
      <c r="EJ26" s="256"/>
      <c r="EK26" s="41"/>
      <c r="EL26" s="41"/>
      <c r="EM26" s="41"/>
      <c r="EN26" s="391"/>
    </row>
    <row r="27" spans="1:144" ht="25.5">
      <c r="A27" s="45">
        <v>20</v>
      </c>
      <c r="B27" s="53" t="s">
        <v>301</v>
      </c>
      <c r="C27" s="45">
        <v>1</v>
      </c>
      <c r="D27" s="55" t="s">
        <v>219</v>
      </c>
      <c r="E27" s="54">
        <v>47</v>
      </c>
      <c r="F27" s="54">
        <v>5</v>
      </c>
      <c r="G27" s="397">
        <f>83284.74/1000</f>
        <v>83.284739999999999</v>
      </c>
      <c r="H27" s="59">
        <v>83284.739999999991</v>
      </c>
      <c r="I27" s="59">
        <v>0</v>
      </c>
      <c r="J27" s="398">
        <v>87.803180000000026</v>
      </c>
      <c r="K27" s="414">
        <f t="shared" si="0"/>
        <v>171.08792000000003</v>
      </c>
      <c r="L27" s="397"/>
      <c r="M27" s="397"/>
      <c r="N27" s="397">
        <f t="shared" si="1"/>
        <v>171.08792000000003</v>
      </c>
      <c r="O27" s="399">
        <f t="shared" si="2"/>
        <v>153.80000000000001</v>
      </c>
      <c r="P27" s="196"/>
      <c r="Q27" s="46"/>
      <c r="R27" s="196"/>
      <c r="S27" s="257"/>
      <c r="T27" s="196"/>
      <c r="U27" s="46"/>
      <c r="V27" s="46"/>
      <c r="W27" s="257"/>
      <c r="X27" s="46"/>
      <c r="Y27" s="46"/>
      <c r="Z27" s="46"/>
      <c r="AA27" s="257"/>
      <c r="AB27" s="196"/>
      <c r="AC27" s="46"/>
      <c r="AD27" s="46"/>
      <c r="AE27" s="257"/>
      <c r="AF27" s="196" t="s">
        <v>229</v>
      </c>
      <c r="AG27" s="46" t="s">
        <v>335</v>
      </c>
      <c r="AH27" s="46">
        <v>26</v>
      </c>
      <c r="AI27" s="196" t="s">
        <v>552</v>
      </c>
      <c r="AJ27" s="400">
        <f>AH27*1300</f>
        <v>33800</v>
      </c>
      <c r="AK27" s="196"/>
      <c r="AL27" s="46"/>
      <c r="AM27" s="218"/>
      <c r="AN27" s="257"/>
      <c r="AO27" s="196"/>
      <c r="AP27" s="46"/>
      <c r="AQ27" s="257"/>
      <c r="AR27" s="196"/>
      <c r="AS27" s="46"/>
      <c r="AT27" s="257"/>
      <c r="AU27" s="196"/>
      <c r="AV27" s="46"/>
      <c r="AW27" s="257"/>
      <c r="AX27" s="196"/>
      <c r="AY27" s="46"/>
      <c r="AZ27" s="257"/>
      <c r="BA27" s="46"/>
      <c r="BB27" s="46"/>
      <c r="BC27" s="46"/>
      <c r="BD27" s="46"/>
      <c r="BE27" s="46"/>
      <c r="BF27" s="257"/>
      <c r="BG27" s="46"/>
      <c r="BH27" s="46"/>
      <c r="BI27" s="46"/>
      <c r="BJ27" s="196"/>
      <c r="BK27" s="46"/>
      <c r="BL27" s="46"/>
      <c r="BM27" s="46"/>
      <c r="BN27" s="46"/>
      <c r="BO27" s="257"/>
      <c r="BP27" s="196"/>
      <c r="BQ27" s="46"/>
      <c r="BR27" s="257"/>
      <c r="BS27" s="46"/>
      <c r="BT27" s="46"/>
      <c r="BU27" s="257"/>
      <c r="BV27" s="196"/>
      <c r="BW27" s="46"/>
      <c r="BX27" s="46"/>
      <c r="BY27" s="46"/>
      <c r="BZ27" s="46"/>
      <c r="CA27" s="257"/>
      <c r="CB27" s="196"/>
      <c r="CC27" s="46"/>
      <c r="CD27" s="257"/>
      <c r="CE27" s="46"/>
      <c r="CF27" s="46"/>
      <c r="CG27" s="257"/>
      <c r="CH27" s="46"/>
      <c r="CI27" s="46"/>
      <c r="CJ27" s="46"/>
      <c r="CK27" s="46"/>
      <c r="CL27" s="46"/>
      <c r="CM27" s="257"/>
      <c r="CN27" s="46"/>
      <c r="CO27" s="376"/>
      <c r="CP27" s="257"/>
      <c r="CQ27" s="196" t="s">
        <v>254</v>
      </c>
      <c r="CR27" s="523" t="s">
        <v>626</v>
      </c>
      <c r="CS27" s="257">
        <f t="shared" si="3"/>
        <v>120000</v>
      </c>
      <c r="CT27" s="196"/>
      <c r="CU27" s="317"/>
      <c r="CV27" s="391">
        <f t="shared" si="4"/>
        <v>0</v>
      </c>
      <c r="CW27" s="41">
        <v>4</v>
      </c>
      <c r="CX27" s="41">
        <v>6</v>
      </c>
      <c r="CY27" s="256">
        <f>CX27*20000</f>
        <v>120000</v>
      </c>
      <c r="CZ27" s="308"/>
      <c r="DA27" s="308"/>
      <c r="DB27" s="420"/>
      <c r="DC27" s="41"/>
      <c r="DD27" s="41"/>
      <c r="DE27" s="256"/>
      <c r="DF27" s="41"/>
      <c r="DG27" s="41"/>
      <c r="DH27" s="391"/>
      <c r="DI27" s="41"/>
      <c r="DJ27" s="41"/>
      <c r="DK27" s="203"/>
      <c r="DL27" s="256"/>
      <c r="DM27" s="41"/>
      <c r="DN27" s="41"/>
      <c r="DO27" s="41"/>
      <c r="DP27" s="420"/>
      <c r="DQ27" s="41"/>
      <c r="DR27" s="41"/>
      <c r="DS27" s="203"/>
      <c r="DT27" s="256"/>
      <c r="DV27" s="46"/>
      <c r="DW27" s="196"/>
      <c r="DX27" s="391"/>
      <c r="DY27" s="41"/>
      <c r="DZ27" s="41"/>
      <c r="EA27" s="41"/>
      <c r="EB27" s="69"/>
      <c r="EC27" s="41"/>
      <c r="ED27" s="41"/>
      <c r="EE27" s="41"/>
      <c r="EF27" s="420"/>
      <c r="EG27" s="41"/>
      <c r="EH27" s="41"/>
      <c r="EI27" s="41"/>
      <c r="EJ27" s="256"/>
      <c r="EK27" s="41"/>
      <c r="EL27" s="41"/>
      <c r="EM27" s="41"/>
      <c r="EN27" s="391"/>
    </row>
    <row r="28" spans="1:144" ht="25.5">
      <c r="A28" s="45">
        <v>21</v>
      </c>
      <c r="B28" s="53" t="s">
        <v>301</v>
      </c>
      <c r="C28" s="45">
        <v>1</v>
      </c>
      <c r="D28" s="55" t="s">
        <v>219</v>
      </c>
      <c r="E28" s="54">
        <v>48</v>
      </c>
      <c r="F28" s="54">
        <v>5</v>
      </c>
      <c r="G28" s="397">
        <f>82927.152/1000</f>
        <v>82.927152000000007</v>
      </c>
      <c r="H28" s="59">
        <v>82927.152000000002</v>
      </c>
      <c r="I28" s="59">
        <v>0</v>
      </c>
      <c r="J28" s="398">
        <v>129.88974999999999</v>
      </c>
      <c r="K28" s="414">
        <f t="shared" si="0"/>
        <v>212.816902</v>
      </c>
      <c r="L28" s="397"/>
      <c r="M28" s="397"/>
      <c r="N28" s="397">
        <f t="shared" si="1"/>
        <v>212.816902</v>
      </c>
      <c r="O28" s="399">
        <f t="shared" si="2"/>
        <v>207</v>
      </c>
      <c r="P28" s="196"/>
      <c r="Q28" s="46"/>
      <c r="R28" s="196"/>
      <c r="S28" s="257"/>
      <c r="T28" s="196"/>
      <c r="U28" s="46"/>
      <c r="V28" s="46"/>
      <c r="W28" s="257"/>
      <c r="X28" s="46"/>
      <c r="Y28" s="46"/>
      <c r="Z28" s="46"/>
      <c r="AA28" s="257"/>
      <c r="AB28" s="196"/>
      <c r="AC28" s="46"/>
      <c r="AD28" s="46"/>
      <c r="AE28" s="257"/>
      <c r="AF28" s="196"/>
      <c r="AG28" s="46"/>
      <c r="AH28" s="46"/>
      <c r="AI28" s="196"/>
      <c r="AJ28" s="400"/>
      <c r="AK28" s="196"/>
      <c r="AL28" s="46"/>
      <c r="AM28" s="218"/>
      <c r="AN28" s="257"/>
      <c r="AO28" s="196"/>
      <c r="AP28" s="46"/>
      <c r="AQ28" s="257"/>
      <c r="AR28" s="196"/>
      <c r="AS28" s="46"/>
      <c r="AT28" s="257"/>
      <c r="AU28" s="196"/>
      <c r="AV28" s="46"/>
      <c r="AW28" s="257"/>
      <c r="AX28" s="196"/>
      <c r="AY28" s="46"/>
      <c r="AZ28" s="257"/>
      <c r="BA28" s="46"/>
      <c r="BB28" s="46"/>
      <c r="BC28" s="46"/>
      <c r="BD28" s="46"/>
      <c r="BE28" s="46"/>
      <c r="BF28" s="257"/>
      <c r="BG28" s="46"/>
      <c r="BH28" s="46"/>
      <c r="BI28" s="46"/>
      <c r="BJ28" s="196"/>
      <c r="BK28" s="46"/>
      <c r="BL28" s="46"/>
      <c r="BM28" s="46"/>
      <c r="BN28" s="46"/>
      <c r="BO28" s="257"/>
      <c r="BP28" s="196"/>
      <c r="BQ28" s="46"/>
      <c r="BR28" s="257"/>
      <c r="BS28" s="46"/>
      <c r="BT28" s="46"/>
      <c r="BU28" s="257"/>
      <c r="BV28" s="196"/>
      <c r="BW28" s="46"/>
      <c r="BX28" s="46"/>
      <c r="BY28" s="46"/>
      <c r="BZ28" s="46"/>
      <c r="CA28" s="257"/>
      <c r="CB28" s="196" t="s">
        <v>226</v>
      </c>
      <c r="CC28" s="46">
        <v>90</v>
      </c>
      <c r="CD28" s="257">
        <f>CC28*1800</f>
        <v>162000</v>
      </c>
      <c r="CE28" s="46"/>
      <c r="CF28" s="46"/>
      <c r="CG28" s="257"/>
      <c r="CH28" s="46"/>
      <c r="CI28" s="46"/>
      <c r="CJ28" s="46"/>
      <c r="CK28" s="46"/>
      <c r="CL28" s="46"/>
      <c r="CM28" s="257"/>
      <c r="CN28" s="46"/>
      <c r="CO28" s="376"/>
      <c r="CP28" s="257"/>
      <c r="CQ28" s="196" t="s">
        <v>254</v>
      </c>
      <c r="CR28" s="286" t="s">
        <v>627</v>
      </c>
      <c r="CS28" s="257">
        <f t="shared" si="3"/>
        <v>45000</v>
      </c>
      <c r="CT28" s="196"/>
      <c r="CU28" s="317"/>
      <c r="CV28" s="391">
        <f t="shared" si="4"/>
        <v>0</v>
      </c>
      <c r="CW28" s="41"/>
      <c r="CX28" s="41"/>
      <c r="CY28" s="256"/>
      <c r="CZ28" s="308"/>
      <c r="DA28" s="308"/>
      <c r="DB28" s="420"/>
      <c r="DC28" s="41"/>
      <c r="DD28" s="41"/>
      <c r="DE28" s="256"/>
      <c r="DF28" s="41"/>
      <c r="DG28" s="41"/>
      <c r="DH28" s="391"/>
      <c r="DI28" s="41"/>
      <c r="DJ28" s="41"/>
      <c r="DK28" s="203"/>
      <c r="DL28" s="256"/>
      <c r="DM28" s="41"/>
      <c r="DN28" s="41"/>
      <c r="DO28" s="41"/>
      <c r="DP28" s="420"/>
      <c r="DQ28" s="41">
        <v>4</v>
      </c>
      <c r="DR28" s="41">
        <v>3</v>
      </c>
      <c r="DS28" s="203" t="s">
        <v>529</v>
      </c>
      <c r="DT28" s="256">
        <v>45000</v>
      </c>
      <c r="DU28" s="46"/>
      <c r="DV28" s="46"/>
      <c r="DW28" s="196"/>
      <c r="DX28" s="391"/>
      <c r="DY28" s="41"/>
      <c r="DZ28" s="41"/>
      <c r="EA28" s="41"/>
      <c r="EB28" s="69"/>
      <c r="EC28" s="41"/>
      <c r="ED28" s="41"/>
      <c r="EE28" s="41"/>
      <c r="EF28" s="420"/>
      <c r="EG28" s="41"/>
      <c r="EH28" s="41"/>
      <c r="EI28" s="41"/>
      <c r="EJ28" s="256"/>
      <c r="EK28" s="41"/>
      <c r="EL28" s="41"/>
      <c r="EM28" s="41"/>
      <c r="EN28" s="391"/>
    </row>
    <row r="29" spans="1:144" ht="25.5">
      <c r="A29" s="45">
        <v>22</v>
      </c>
      <c r="B29" s="53" t="s">
        <v>301</v>
      </c>
      <c r="C29" s="45">
        <v>1</v>
      </c>
      <c r="D29" s="55" t="s">
        <v>219</v>
      </c>
      <c r="E29" s="54">
        <v>49</v>
      </c>
      <c r="F29" s="54">
        <v>5</v>
      </c>
      <c r="G29" s="397">
        <f>143143.308/1000</f>
        <v>143.14330799999999</v>
      </c>
      <c r="H29" s="59">
        <v>143143.30800000002</v>
      </c>
      <c r="I29" s="59">
        <v>0</v>
      </c>
      <c r="J29" s="398">
        <v>152.83074999999999</v>
      </c>
      <c r="K29" s="414">
        <f t="shared" si="0"/>
        <v>295.97405800000001</v>
      </c>
      <c r="L29" s="397"/>
      <c r="M29" s="397"/>
      <c r="N29" s="397">
        <f t="shared" si="1"/>
        <v>295.97405800000001</v>
      </c>
      <c r="O29" s="399">
        <f t="shared" si="2"/>
        <v>110</v>
      </c>
      <c r="P29" s="196" t="s">
        <v>228</v>
      </c>
      <c r="Q29" s="46">
        <v>1</v>
      </c>
      <c r="R29" s="196">
        <v>2</v>
      </c>
      <c r="S29" s="257">
        <v>110000</v>
      </c>
      <c r="T29" s="196"/>
      <c r="U29" s="46"/>
      <c r="V29" s="46"/>
      <c r="W29" s="257"/>
      <c r="X29" s="46"/>
      <c r="Y29" s="46"/>
      <c r="Z29" s="46"/>
      <c r="AA29" s="257"/>
      <c r="AB29" s="196"/>
      <c r="AC29" s="46"/>
      <c r="AD29" s="46"/>
      <c r="AE29" s="257"/>
      <c r="AF29" s="196"/>
      <c r="AG29" s="46"/>
      <c r="AH29" s="46"/>
      <c r="AI29" s="196"/>
      <c r="AJ29" s="400"/>
      <c r="AK29" s="196"/>
      <c r="AL29" s="46"/>
      <c r="AM29" s="218"/>
      <c r="AN29" s="257"/>
      <c r="AO29" s="218"/>
      <c r="AP29" s="167"/>
      <c r="AQ29" s="524"/>
      <c r="AR29" s="196"/>
      <c r="AS29" s="46"/>
      <c r="AT29" s="257"/>
      <c r="AU29" s="196"/>
      <c r="AV29" s="46"/>
      <c r="AW29" s="257"/>
      <c r="AX29" s="196"/>
      <c r="AY29" s="46"/>
      <c r="AZ29" s="257"/>
      <c r="BA29" s="46"/>
      <c r="BB29" s="46"/>
      <c r="BC29" s="46"/>
      <c r="BD29" s="46"/>
      <c r="BE29" s="46"/>
      <c r="BF29" s="257"/>
      <c r="BG29" s="46"/>
      <c r="BH29" s="46"/>
      <c r="BI29" s="46"/>
      <c r="BJ29" s="196"/>
      <c r="BK29" s="46"/>
      <c r="BL29" s="46"/>
      <c r="BM29" s="46"/>
      <c r="BN29" s="46"/>
      <c r="BO29" s="257"/>
      <c r="BP29" s="196"/>
      <c r="BQ29" s="46"/>
      <c r="BR29" s="257"/>
      <c r="BS29" s="46"/>
      <c r="BT29" s="46"/>
      <c r="BU29" s="257"/>
      <c r="BV29" s="196"/>
      <c r="BW29" s="46"/>
      <c r="BX29" s="46"/>
      <c r="BY29" s="46"/>
      <c r="BZ29" s="46"/>
      <c r="CA29" s="257"/>
      <c r="CB29" s="196"/>
      <c r="CC29" s="46"/>
      <c r="CD29" s="257"/>
      <c r="CE29" s="46"/>
      <c r="CF29" s="46"/>
      <c r="CG29" s="257"/>
      <c r="CH29" s="46"/>
      <c r="CI29" s="46"/>
      <c r="CJ29" s="46"/>
      <c r="CK29" s="46"/>
      <c r="CL29" s="46"/>
      <c r="CM29" s="257"/>
      <c r="CN29" s="46"/>
      <c r="CO29" s="376"/>
      <c r="CP29" s="257"/>
      <c r="CQ29" s="196"/>
      <c r="CR29" s="286"/>
      <c r="CS29" s="257">
        <f t="shared" si="3"/>
        <v>0</v>
      </c>
      <c r="CT29" s="196"/>
      <c r="CU29" s="317"/>
      <c r="CV29" s="391">
        <f t="shared" si="4"/>
        <v>0</v>
      </c>
      <c r="CW29" s="41"/>
      <c r="CX29" s="41"/>
      <c r="CY29" s="256"/>
      <c r="CZ29" s="308"/>
      <c r="DA29" s="308"/>
      <c r="DB29" s="420"/>
      <c r="DC29" s="41"/>
      <c r="DD29" s="41"/>
      <c r="DE29" s="256"/>
      <c r="DF29" s="41"/>
      <c r="DG29" s="41"/>
      <c r="DH29" s="391"/>
      <c r="DI29" s="41"/>
      <c r="DJ29" s="41"/>
      <c r="DK29" s="203"/>
      <c r="DL29" s="256"/>
      <c r="DM29" s="41"/>
      <c r="DN29" s="41"/>
      <c r="DO29" s="41"/>
      <c r="DP29" s="420"/>
      <c r="DQ29" s="41"/>
      <c r="DR29" s="41"/>
      <c r="DS29" s="203"/>
      <c r="DT29" s="256"/>
      <c r="DU29" s="46"/>
      <c r="DV29" s="46"/>
      <c r="DW29" s="196"/>
      <c r="DX29" s="391"/>
      <c r="DY29" s="41"/>
      <c r="DZ29" s="41"/>
      <c r="EA29" s="41"/>
      <c r="EB29" s="69"/>
      <c r="EC29" s="41"/>
      <c r="ED29" s="41"/>
      <c r="EE29" s="41"/>
      <c r="EF29" s="420"/>
      <c r="EG29" s="41"/>
      <c r="EH29" s="41"/>
      <c r="EI29" s="41"/>
      <c r="EJ29" s="256"/>
      <c r="EK29" s="41"/>
      <c r="EL29" s="41"/>
      <c r="EM29" s="41"/>
      <c r="EN29" s="391"/>
    </row>
    <row r="30" spans="1:144" ht="25.5">
      <c r="A30" s="45">
        <v>23</v>
      </c>
      <c r="B30" s="53" t="s">
        <v>301</v>
      </c>
      <c r="C30" s="45">
        <v>1</v>
      </c>
      <c r="D30" s="55" t="s">
        <v>219</v>
      </c>
      <c r="E30" s="54">
        <v>50</v>
      </c>
      <c r="F30" s="54">
        <v>5</v>
      </c>
      <c r="G30" s="397">
        <f>138370.7556/1000</f>
        <v>138.3707556</v>
      </c>
      <c r="H30" s="59">
        <v>138370.75559999997</v>
      </c>
      <c r="I30" s="59">
        <v>0</v>
      </c>
      <c r="J30" s="398">
        <v>92.710750000000004</v>
      </c>
      <c r="K30" s="414">
        <f t="shared" si="0"/>
        <v>231.08150560000001</v>
      </c>
      <c r="L30" s="397"/>
      <c r="M30" s="397"/>
      <c r="N30" s="397">
        <f t="shared" si="1"/>
        <v>231.08150560000001</v>
      </c>
      <c r="O30" s="399">
        <f t="shared" si="2"/>
        <v>200</v>
      </c>
      <c r="P30" s="196" t="s">
        <v>226</v>
      </c>
      <c r="Q30" s="46">
        <v>1</v>
      </c>
      <c r="R30" s="196">
        <v>2</v>
      </c>
      <c r="S30" s="257">
        <v>110000</v>
      </c>
      <c r="T30" s="196"/>
      <c r="U30" s="46"/>
      <c r="V30" s="46"/>
      <c r="W30" s="257"/>
      <c r="X30" s="46"/>
      <c r="Y30" s="46"/>
      <c r="Z30" s="46"/>
      <c r="AA30" s="257"/>
      <c r="AB30" s="196"/>
      <c r="AC30" s="46"/>
      <c r="AD30" s="46"/>
      <c r="AE30" s="257"/>
      <c r="AF30" s="196"/>
      <c r="AG30" s="46"/>
      <c r="AH30" s="46"/>
      <c r="AI30" s="196"/>
      <c r="AJ30" s="400"/>
      <c r="AK30" s="196"/>
      <c r="AL30" s="46"/>
      <c r="AM30" s="218"/>
      <c r="AN30" s="257"/>
      <c r="AO30" s="196"/>
      <c r="AP30" s="46"/>
      <c r="AQ30" s="257"/>
      <c r="AR30" s="196"/>
      <c r="AS30" s="46"/>
      <c r="AT30" s="257"/>
      <c r="AU30" s="196" t="s">
        <v>248</v>
      </c>
      <c r="AV30" s="46">
        <v>20</v>
      </c>
      <c r="AW30" s="257">
        <f>AV30*3000</f>
        <v>60000</v>
      </c>
      <c r="AX30" s="196"/>
      <c r="AY30" s="46"/>
      <c r="AZ30" s="257"/>
      <c r="BA30" s="46"/>
      <c r="BB30" s="46"/>
      <c r="BC30" s="46"/>
      <c r="BD30" s="46"/>
      <c r="BE30" s="46"/>
      <c r="BF30" s="257"/>
      <c r="BG30" s="46"/>
      <c r="BH30" s="46"/>
      <c r="BI30" s="46"/>
      <c r="BJ30" s="196"/>
      <c r="BK30" s="46"/>
      <c r="BL30" s="46"/>
      <c r="BM30" s="46"/>
      <c r="BN30" s="46"/>
      <c r="BO30" s="257"/>
      <c r="BP30" s="196"/>
      <c r="BQ30" s="46"/>
      <c r="BR30" s="257"/>
      <c r="BS30" s="46"/>
      <c r="BT30" s="46"/>
      <c r="BU30" s="257"/>
      <c r="BV30" s="196"/>
      <c r="BW30" s="46"/>
      <c r="BX30" s="46"/>
      <c r="BY30" s="46"/>
      <c r="BZ30" s="46"/>
      <c r="CA30" s="257"/>
      <c r="CB30" s="196"/>
      <c r="CC30" s="46"/>
      <c r="CD30" s="257"/>
      <c r="CE30" s="46"/>
      <c r="CF30" s="46"/>
      <c r="CG30" s="257"/>
      <c r="CH30" s="46"/>
      <c r="CI30" s="46"/>
      <c r="CJ30" s="46"/>
      <c r="CK30" s="46"/>
      <c r="CL30" s="46"/>
      <c r="CM30" s="257"/>
      <c r="CN30" s="46"/>
      <c r="CO30" s="376"/>
      <c r="CP30" s="257"/>
      <c r="CQ30" s="196" t="s">
        <v>228</v>
      </c>
      <c r="CR30" s="286" t="s">
        <v>555</v>
      </c>
      <c r="CS30" s="257">
        <f t="shared" si="3"/>
        <v>30000</v>
      </c>
      <c r="CT30" s="196"/>
      <c r="CU30" s="317"/>
      <c r="CV30" s="391">
        <f t="shared" si="4"/>
        <v>0</v>
      </c>
      <c r="CW30" s="41"/>
      <c r="CX30" s="41"/>
      <c r="CY30" s="256"/>
      <c r="CZ30" s="308"/>
      <c r="DA30" s="308"/>
      <c r="DB30" s="420"/>
      <c r="DC30" s="41"/>
      <c r="DD30" s="41"/>
      <c r="DE30" s="256"/>
      <c r="DF30" s="41"/>
      <c r="DG30" s="41"/>
      <c r="DH30" s="391"/>
      <c r="DI30" s="41"/>
      <c r="DJ30" s="41"/>
      <c r="DK30" s="203"/>
      <c r="DL30" s="256"/>
      <c r="DM30" s="41"/>
      <c r="DN30" s="41"/>
      <c r="DO30" s="41"/>
      <c r="DP30" s="420"/>
      <c r="DQ30" s="41"/>
      <c r="DR30" s="41"/>
      <c r="DS30" s="203"/>
      <c r="DT30" s="256"/>
      <c r="DU30" s="46"/>
      <c r="DV30" s="46"/>
      <c r="DW30" s="196"/>
      <c r="DX30" s="391"/>
      <c r="DY30" s="41"/>
      <c r="DZ30" s="41"/>
      <c r="EA30" s="41"/>
      <c r="EB30" s="69"/>
      <c r="EC30" s="41"/>
      <c r="ED30" s="41"/>
      <c r="EE30" s="41"/>
      <c r="EF30" s="420"/>
      <c r="EG30" s="41">
        <v>9</v>
      </c>
      <c r="EH30" s="41">
        <v>2</v>
      </c>
      <c r="EI30" s="41">
        <v>1.2</v>
      </c>
      <c r="EJ30" s="256">
        <v>30000</v>
      </c>
      <c r="EK30" s="41"/>
      <c r="EL30" s="41"/>
      <c r="EM30" s="41"/>
      <c r="EN30" s="391"/>
    </row>
    <row r="31" spans="1:144" ht="36.75">
      <c r="A31" s="45">
        <v>24</v>
      </c>
      <c r="B31" s="53" t="s">
        <v>301</v>
      </c>
      <c r="C31" s="45">
        <v>1</v>
      </c>
      <c r="D31" s="55" t="s">
        <v>219</v>
      </c>
      <c r="E31" s="54">
        <v>51</v>
      </c>
      <c r="F31" s="54">
        <v>5</v>
      </c>
      <c r="G31" s="397">
        <f>126769.104/1000</f>
        <v>126.76910400000001</v>
      </c>
      <c r="H31" s="59">
        <v>126769.10400000001</v>
      </c>
      <c r="I31" s="59">
        <v>0</v>
      </c>
      <c r="J31" s="398">
        <v>189.98293000000001</v>
      </c>
      <c r="K31" s="414">
        <f t="shared" si="0"/>
        <v>316.75203400000004</v>
      </c>
      <c r="L31" s="397"/>
      <c r="M31" s="397"/>
      <c r="N31" s="397">
        <f t="shared" si="1"/>
        <v>316.75203400000004</v>
      </c>
      <c r="O31" s="399">
        <f t="shared" si="2"/>
        <v>299.39999999999998</v>
      </c>
      <c r="P31" s="196" t="s">
        <v>224</v>
      </c>
      <c r="Q31" s="46">
        <v>1</v>
      </c>
      <c r="R31" s="218">
        <v>2</v>
      </c>
      <c r="S31" s="257">
        <v>135000</v>
      </c>
      <c r="T31" s="196"/>
      <c r="U31" s="46"/>
      <c r="V31" s="46"/>
      <c r="W31" s="257"/>
      <c r="X31" s="46"/>
      <c r="Y31" s="46"/>
      <c r="Z31" s="46"/>
      <c r="AA31" s="257"/>
      <c r="AB31" s="196"/>
      <c r="AC31" s="46"/>
      <c r="AD31" s="46"/>
      <c r="AE31" s="257"/>
      <c r="AF31" s="248"/>
      <c r="AG31" s="46"/>
      <c r="AH31" s="46"/>
      <c r="AI31" s="196"/>
      <c r="AJ31" s="400"/>
      <c r="AK31" s="196"/>
      <c r="AL31" s="46"/>
      <c r="AM31" s="218"/>
      <c r="AN31" s="257"/>
      <c r="AO31" s="196"/>
      <c r="AP31" s="46"/>
      <c r="AQ31" s="257"/>
      <c r="AR31" s="196"/>
      <c r="AS31" s="46"/>
      <c r="AT31" s="257"/>
      <c r="AU31" s="196" t="s">
        <v>254</v>
      </c>
      <c r="AV31" s="167" t="s">
        <v>628</v>
      </c>
      <c r="AW31" s="257">
        <f>60*500</f>
        <v>30000</v>
      </c>
      <c r="AX31" s="196"/>
      <c r="AY31" s="46"/>
      <c r="AZ31" s="257"/>
      <c r="BA31" s="46"/>
      <c r="BB31" s="46"/>
      <c r="BC31" s="46"/>
      <c r="BD31" s="46"/>
      <c r="BE31" s="46"/>
      <c r="BF31" s="257"/>
      <c r="BG31" s="46"/>
      <c r="BH31" s="46"/>
      <c r="BI31" s="46"/>
      <c r="BJ31" s="196"/>
      <c r="BK31" s="46"/>
      <c r="BL31" s="46"/>
      <c r="BM31" s="46"/>
      <c r="BN31" s="46"/>
      <c r="BO31" s="257"/>
      <c r="BP31" s="196"/>
      <c r="BQ31" s="167"/>
      <c r="BR31" s="257"/>
      <c r="BS31" s="46"/>
      <c r="BT31" s="167"/>
      <c r="BU31" s="257"/>
      <c r="BV31" s="196"/>
      <c r="BW31" s="46"/>
      <c r="BX31" s="46"/>
      <c r="BY31" s="46"/>
      <c r="BZ31" s="46"/>
      <c r="CA31" s="257"/>
      <c r="CB31" s="196"/>
      <c r="CC31" s="46"/>
      <c r="CD31" s="257"/>
      <c r="CE31" s="46"/>
      <c r="CF31" s="46"/>
      <c r="CG31" s="257"/>
      <c r="CH31" s="46"/>
      <c r="CI31" s="46"/>
      <c r="CJ31" s="46"/>
      <c r="CK31" s="46"/>
      <c r="CL31" s="46"/>
      <c r="CM31" s="257"/>
      <c r="CN31" s="46"/>
      <c r="CO31" s="376"/>
      <c r="CP31" s="257"/>
      <c r="CQ31" s="218" t="s">
        <v>254</v>
      </c>
      <c r="CR31" s="286" t="s">
        <v>629</v>
      </c>
      <c r="CS31" s="257">
        <f>CY31+DE31+DL31+DT31+EB31+EJ31+40000</f>
        <v>134400</v>
      </c>
      <c r="CT31" s="218"/>
      <c r="CU31" s="317"/>
      <c r="CV31" s="391">
        <f t="shared" si="4"/>
        <v>0</v>
      </c>
      <c r="CW31" s="41"/>
      <c r="CX31" s="41"/>
      <c r="CY31" s="256"/>
      <c r="CZ31" s="308"/>
      <c r="DA31" s="308"/>
      <c r="DB31" s="420"/>
      <c r="DC31" s="41">
        <v>4</v>
      </c>
      <c r="DD31" s="41">
        <v>93</v>
      </c>
      <c r="DE31" s="256">
        <f>DD31*800</f>
        <v>74400</v>
      </c>
      <c r="DF31" s="41"/>
      <c r="DG31" s="41"/>
      <c r="DH31" s="391"/>
      <c r="DI31" s="41">
        <v>4</v>
      </c>
      <c r="DJ31" s="41">
        <v>1</v>
      </c>
      <c r="DK31" s="203">
        <v>3</v>
      </c>
      <c r="DL31" s="256">
        <v>20000</v>
      </c>
      <c r="DM31" s="41"/>
      <c r="DN31" s="41"/>
      <c r="DO31" s="41"/>
      <c r="DP31" s="420"/>
      <c r="DQ31" s="41"/>
      <c r="DR31" s="41"/>
      <c r="DS31" s="203"/>
      <c r="DT31" s="256"/>
      <c r="DU31" s="46"/>
      <c r="DV31" s="46"/>
      <c r="DW31" s="196"/>
      <c r="DX31" s="391"/>
      <c r="DY31" s="41"/>
      <c r="DZ31" s="41"/>
      <c r="EA31" s="41"/>
      <c r="EB31" s="69"/>
      <c r="EC31" s="41"/>
      <c r="ED31" s="41"/>
      <c r="EE31" s="41"/>
      <c r="EF31" s="420"/>
      <c r="EG31" s="41"/>
      <c r="EH31" s="41"/>
      <c r="EI31" s="41"/>
      <c r="EJ31" s="256"/>
      <c r="EK31" s="41"/>
      <c r="EL31" s="41"/>
      <c r="EM31" s="41"/>
      <c r="EN31" s="391"/>
    </row>
    <row r="32" spans="1:144" ht="25.5">
      <c r="A32" s="45">
        <v>25</v>
      </c>
      <c r="B32" s="53" t="s">
        <v>301</v>
      </c>
      <c r="C32" s="45">
        <v>1</v>
      </c>
      <c r="D32" s="55" t="s">
        <v>577</v>
      </c>
      <c r="E32" s="54">
        <v>52</v>
      </c>
      <c r="F32" s="54">
        <v>5</v>
      </c>
      <c r="G32" s="397">
        <f>221155.704/1000</f>
        <v>221.15570399999999</v>
      </c>
      <c r="H32" s="59">
        <v>221155.70399999997</v>
      </c>
      <c r="I32" s="59">
        <v>0</v>
      </c>
      <c r="J32" s="398">
        <v>630.52298000000008</v>
      </c>
      <c r="K32" s="414">
        <f t="shared" si="0"/>
        <v>851.67868400000009</v>
      </c>
      <c r="L32" s="397"/>
      <c r="M32" s="397"/>
      <c r="N32" s="397">
        <f t="shared" si="1"/>
        <v>851.67868400000009</v>
      </c>
      <c r="O32" s="399">
        <f t="shared" si="2"/>
        <v>0</v>
      </c>
      <c r="P32" s="369" t="s">
        <v>1012</v>
      </c>
      <c r="Q32" s="46"/>
      <c r="R32" s="196"/>
      <c r="S32" s="257"/>
      <c r="T32" s="196"/>
      <c r="U32" s="46"/>
      <c r="V32" s="46"/>
      <c r="W32" s="257"/>
      <c r="X32" s="46"/>
      <c r="Y32" s="46"/>
      <c r="Z32" s="46"/>
      <c r="AA32" s="257"/>
      <c r="AB32" s="196"/>
      <c r="AC32" s="46"/>
      <c r="AD32" s="46"/>
      <c r="AE32" s="257"/>
      <c r="AF32" s="218"/>
      <c r="AG32" s="46"/>
      <c r="AH32" s="46"/>
      <c r="AI32" s="196"/>
      <c r="AJ32" s="400"/>
      <c r="AK32" s="196"/>
      <c r="AL32" s="46"/>
      <c r="AM32" s="218"/>
      <c r="AN32" s="257"/>
      <c r="AO32" s="196"/>
      <c r="AP32" s="46"/>
      <c r="AQ32" s="257"/>
      <c r="AR32" s="196"/>
      <c r="AS32" s="46"/>
      <c r="AT32" s="257"/>
      <c r="AU32" s="196"/>
      <c r="AV32" s="46"/>
      <c r="AW32" s="257"/>
      <c r="AX32" s="196"/>
      <c r="AY32" s="46"/>
      <c r="AZ32" s="257"/>
      <c r="BA32" s="46"/>
      <c r="BB32" s="46"/>
      <c r="BC32" s="46"/>
      <c r="BD32" s="46"/>
      <c r="BE32" s="46"/>
      <c r="BF32" s="257"/>
      <c r="BG32" s="46"/>
      <c r="BH32" s="46"/>
      <c r="BI32" s="46"/>
      <c r="BJ32" s="196"/>
      <c r="BK32" s="46"/>
      <c r="BL32" s="46"/>
      <c r="BM32" s="46"/>
      <c r="BN32" s="46"/>
      <c r="BO32" s="257"/>
      <c r="BP32" s="196"/>
      <c r="BQ32" s="167"/>
      <c r="BR32" s="257"/>
      <c r="BS32" s="46"/>
      <c r="BT32" s="46"/>
      <c r="BU32" s="257"/>
      <c r="BV32" s="196"/>
      <c r="BW32" s="46"/>
      <c r="BX32" s="46"/>
      <c r="BY32" s="46"/>
      <c r="BZ32" s="46"/>
      <c r="CA32" s="257"/>
      <c r="CB32" s="196"/>
      <c r="CC32" s="46"/>
      <c r="CD32" s="257"/>
      <c r="CE32" s="46"/>
      <c r="CF32" s="46"/>
      <c r="CG32" s="257"/>
      <c r="CH32" s="46"/>
      <c r="CI32" s="46"/>
      <c r="CJ32" s="46"/>
      <c r="CK32" s="46"/>
      <c r="CL32" s="46"/>
      <c r="CM32" s="257"/>
      <c r="CN32" s="46"/>
      <c r="CO32" s="376"/>
      <c r="CP32" s="257"/>
      <c r="CQ32" s="196"/>
      <c r="CR32" s="286"/>
      <c r="CS32" s="257">
        <f t="shared" si="3"/>
        <v>0</v>
      </c>
      <c r="CT32" s="218"/>
      <c r="CU32" s="317" t="s">
        <v>807</v>
      </c>
      <c r="CV32" s="391">
        <f t="shared" si="4"/>
        <v>0</v>
      </c>
      <c r="CW32" s="41"/>
      <c r="CX32" s="41"/>
      <c r="CY32" s="256"/>
      <c r="CZ32" s="308"/>
      <c r="DA32" s="308"/>
      <c r="DB32" s="420"/>
      <c r="DC32" s="41"/>
      <c r="DD32" s="41"/>
      <c r="DE32" s="256"/>
      <c r="DF32" s="41"/>
      <c r="DG32" s="41"/>
      <c r="DH32" s="391"/>
      <c r="DI32" s="41"/>
      <c r="DJ32" s="41"/>
      <c r="DK32" s="203"/>
      <c r="DL32" s="256"/>
      <c r="DM32" s="41"/>
      <c r="DN32" s="41"/>
      <c r="DO32" s="41"/>
      <c r="DP32" s="420"/>
      <c r="DQ32" s="41"/>
      <c r="DR32" s="41"/>
      <c r="DS32" s="203"/>
      <c r="DT32" s="256"/>
      <c r="DU32" s="46"/>
      <c r="DV32" s="46"/>
      <c r="DW32" s="196"/>
      <c r="DX32" s="391"/>
      <c r="DY32" s="41"/>
      <c r="DZ32" s="41"/>
      <c r="EA32" s="41"/>
      <c r="EB32" s="69"/>
      <c r="EC32" s="41"/>
      <c r="ED32" s="41"/>
      <c r="EE32" s="41"/>
      <c r="EF32" s="420"/>
      <c r="EG32" s="41"/>
      <c r="EH32" s="41"/>
      <c r="EI32" s="41"/>
      <c r="EJ32" s="256"/>
      <c r="EK32" s="41"/>
      <c r="EL32" s="41"/>
      <c r="EM32" s="41"/>
      <c r="EN32" s="391"/>
    </row>
    <row r="33" spans="1:144" ht="25.5">
      <c r="A33" s="45">
        <v>26</v>
      </c>
      <c r="B33" s="53" t="s">
        <v>301</v>
      </c>
      <c r="C33" s="45">
        <v>1</v>
      </c>
      <c r="D33" s="53" t="s">
        <v>220</v>
      </c>
      <c r="E33" s="54">
        <v>4</v>
      </c>
      <c r="F33" s="54">
        <v>7</v>
      </c>
      <c r="G33" s="397">
        <f>31907.358/1000</f>
        <v>31.907357999999999</v>
      </c>
      <c r="H33" s="59">
        <v>0</v>
      </c>
      <c r="I33" s="59">
        <v>31907.358</v>
      </c>
      <c r="J33" s="398">
        <v>-22.655650999999999</v>
      </c>
      <c r="K33" s="414">
        <f t="shared" si="0"/>
        <v>9.2517069999999997</v>
      </c>
      <c r="L33" s="397"/>
      <c r="M33" s="397"/>
      <c r="N33" s="397">
        <f t="shared" si="1"/>
        <v>9.2517069999999997</v>
      </c>
      <c r="O33" s="399">
        <f t="shared" si="2"/>
        <v>9</v>
      </c>
      <c r="P33" s="196"/>
      <c r="Q33" s="46"/>
      <c r="R33" s="196"/>
      <c r="S33" s="257"/>
      <c r="T33" s="196"/>
      <c r="U33" s="46"/>
      <c r="V33" s="46"/>
      <c r="W33" s="257"/>
      <c r="X33" s="46"/>
      <c r="Y33" s="46"/>
      <c r="Z33" s="46"/>
      <c r="AA33" s="257"/>
      <c r="AB33" s="196"/>
      <c r="AC33" s="46"/>
      <c r="AD33" s="46"/>
      <c r="AE33" s="257"/>
      <c r="AF33" s="196"/>
      <c r="AG33" s="46"/>
      <c r="AH33" s="46"/>
      <c r="AI33" s="196"/>
      <c r="AJ33" s="400"/>
      <c r="AK33" s="196"/>
      <c r="AL33" s="46"/>
      <c r="AM33" s="218"/>
      <c r="AN33" s="257"/>
      <c r="AO33" s="196"/>
      <c r="AP33" s="46"/>
      <c r="AQ33" s="257"/>
      <c r="AR33" s="196"/>
      <c r="AS33" s="46"/>
      <c r="AT33" s="257"/>
      <c r="AU33" s="196"/>
      <c r="AV33" s="46"/>
      <c r="AW33" s="257"/>
      <c r="AX33" s="196"/>
      <c r="AY33" s="46"/>
      <c r="AZ33" s="257"/>
      <c r="BA33" s="46"/>
      <c r="BB33" s="46"/>
      <c r="BC33" s="46"/>
      <c r="BD33" s="46"/>
      <c r="BE33" s="46"/>
      <c r="BF33" s="257"/>
      <c r="BG33" s="46"/>
      <c r="BH33" s="46"/>
      <c r="BI33" s="46"/>
      <c r="BJ33" s="196"/>
      <c r="BK33" s="46"/>
      <c r="BL33" s="46"/>
      <c r="BM33" s="46"/>
      <c r="BN33" s="46"/>
      <c r="BO33" s="257"/>
      <c r="BP33" s="196"/>
      <c r="BQ33" s="46"/>
      <c r="BR33" s="257"/>
      <c r="BS33" s="46"/>
      <c r="BT33" s="46"/>
      <c r="BU33" s="257"/>
      <c r="BV33" s="196"/>
      <c r="BW33" s="46"/>
      <c r="BX33" s="46"/>
      <c r="BY33" s="46"/>
      <c r="BZ33" s="46"/>
      <c r="CA33" s="257"/>
      <c r="CB33" s="196"/>
      <c r="CC33" s="46"/>
      <c r="CD33" s="257"/>
      <c r="CE33" s="46"/>
      <c r="CF33" s="46"/>
      <c r="CG33" s="257"/>
      <c r="CH33" s="46"/>
      <c r="CI33" s="46"/>
      <c r="CJ33" s="46"/>
      <c r="CK33" s="46"/>
      <c r="CL33" s="46"/>
      <c r="CM33" s="257"/>
      <c r="CN33" s="46"/>
      <c r="CO33" s="376"/>
      <c r="CP33" s="257"/>
      <c r="CQ33" s="196"/>
      <c r="CR33" s="191" t="s">
        <v>521</v>
      </c>
      <c r="CS33" s="257">
        <f>CY33+DE33+DL33+DT33+EB33+EJ33+9000</f>
        <v>9000</v>
      </c>
      <c r="CT33" s="196"/>
      <c r="CU33" s="317"/>
      <c r="CV33" s="391">
        <f t="shared" si="4"/>
        <v>0</v>
      </c>
      <c r="CW33" s="41"/>
      <c r="CX33" s="41"/>
      <c r="CY33" s="256"/>
      <c r="CZ33" s="308"/>
      <c r="DA33" s="308"/>
      <c r="DB33" s="420"/>
      <c r="DC33" s="41"/>
      <c r="DD33" s="41"/>
      <c r="DE33" s="256"/>
      <c r="DF33" s="41"/>
      <c r="DG33" s="41"/>
      <c r="DH33" s="391"/>
      <c r="DI33" s="41"/>
      <c r="DJ33" s="41"/>
      <c r="DK33" s="203"/>
      <c r="DL33" s="256"/>
      <c r="DM33" s="41"/>
      <c r="DN33" s="41"/>
      <c r="DO33" s="41"/>
      <c r="DP33" s="420"/>
      <c r="DQ33" s="41"/>
      <c r="DR33" s="41"/>
      <c r="DS33" s="203"/>
      <c r="DT33" s="256"/>
      <c r="DU33" s="46"/>
      <c r="DV33" s="46"/>
      <c r="DW33" s="196"/>
      <c r="DX33" s="391"/>
      <c r="DY33" s="41"/>
      <c r="DZ33" s="41"/>
      <c r="EA33" s="41"/>
      <c r="EB33" s="69"/>
      <c r="EC33" s="41"/>
      <c r="ED33" s="41"/>
      <c r="EE33" s="41"/>
      <c r="EF33" s="420"/>
      <c r="EG33" s="41"/>
      <c r="EH33" s="41"/>
      <c r="EI33" s="41"/>
      <c r="EJ33" s="256"/>
      <c r="EK33" s="41"/>
      <c r="EL33" s="41"/>
      <c r="EM33" s="41"/>
      <c r="EN33" s="391"/>
    </row>
    <row r="34" spans="1:144" ht="25.5">
      <c r="A34" s="45">
        <v>27</v>
      </c>
      <c r="B34" s="53" t="s">
        <v>301</v>
      </c>
      <c r="C34" s="45">
        <v>1</v>
      </c>
      <c r="D34" s="53" t="s">
        <v>220</v>
      </c>
      <c r="E34" s="54">
        <v>5</v>
      </c>
      <c r="F34" s="54">
        <v>7</v>
      </c>
      <c r="G34" s="397">
        <f>63177.8238/1000</f>
        <v>63.177823799999999</v>
      </c>
      <c r="H34" s="59">
        <v>0</v>
      </c>
      <c r="I34" s="59">
        <v>63177.823799999998</v>
      </c>
      <c r="J34" s="398">
        <v>55.684787</v>
      </c>
      <c r="K34" s="414">
        <f t="shared" si="0"/>
        <v>118.8626108</v>
      </c>
      <c r="L34" s="397"/>
      <c r="M34" s="397"/>
      <c r="N34" s="397">
        <f t="shared" si="1"/>
        <v>118.8626108</v>
      </c>
      <c r="O34" s="399">
        <f t="shared" si="2"/>
        <v>110</v>
      </c>
      <c r="P34" s="196"/>
      <c r="Q34" s="46"/>
      <c r="R34" s="196"/>
      <c r="S34" s="257"/>
      <c r="T34" s="196"/>
      <c r="U34" s="46"/>
      <c r="V34" s="46"/>
      <c r="W34" s="257"/>
      <c r="X34" s="46"/>
      <c r="Y34" s="46"/>
      <c r="Z34" s="46"/>
      <c r="AA34" s="257"/>
      <c r="AB34" s="196"/>
      <c r="AC34" s="46"/>
      <c r="AD34" s="46"/>
      <c r="AE34" s="257"/>
      <c r="AF34" s="196"/>
      <c r="AG34" s="46"/>
      <c r="AH34" s="46"/>
      <c r="AI34" s="196"/>
      <c r="AJ34" s="400"/>
      <c r="AK34" s="196"/>
      <c r="AL34" s="46"/>
      <c r="AM34" s="218"/>
      <c r="AN34" s="257"/>
      <c r="AO34" s="196"/>
      <c r="AP34" s="46"/>
      <c r="AQ34" s="257"/>
      <c r="AR34" s="196"/>
      <c r="AS34" s="46"/>
      <c r="AT34" s="257"/>
      <c r="AU34" s="196"/>
      <c r="AV34" s="46"/>
      <c r="AW34" s="257"/>
      <c r="AX34" s="196"/>
      <c r="AY34" s="46"/>
      <c r="AZ34" s="257"/>
      <c r="BA34" s="46"/>
      <c r="BB34" s="46"/>
      <c r="BC34" s="46"/>
      <c r="BD34" s="46"/>
      <c r="BE34" s="46"/>
      <c r="BF34" s="257"/>
      <c r="BG34" s="46"/>
      <c r="BH34" s="46"/>
      <c r="BI34" s="46"/>
      <c r="BJ34" s="196"/>
      <c r="BK34" s="46"/>
      <c r="BL34" s="46"/>
      <c r="BM34" s="46"/>
      <c r="BN34" s="46"/>
      <c r="BO34" s="257"/>
      <c r="BP34" s="196"/>
      <c r="BQ34" s="46"/>
      <c r="BR34" s="257"/>
      <c r="BS34" s="46"/>
      <c r="BT34" s="46"/>
      <c r="BU34" s="257"/>
      <c r="BV34" s="196"/>
      <c r="BW34" s="46"/>
      <c r="BX34" s="46"/>
      <c r="BY34" s="46"/>
      <c r="BZ34" s="46"/>
      <c r="CA34" s="257"/>
      <c r="CB34" s="196"/>
      <c r="CC34" s="46"/>
      <c r="CD34" s="257"/>
      <c r="CE34" s="46"/>
      <c r="CF34" s="46"/>
      <c r="CG34" s="257"/>
      <c r="CH34" s="46"/>
      <c r="CI34" s="46"/>
      <c r="CJ34" s="46"/>
      <c r="CK34" s="46"/>
      <c r="CL34" s="46"/>
      <c r="CM34" s="257"/>
      <c r="CN34" s="46"/>
      <c r="CO34" s="376"/>
      <c r="CP34" s="257"/>
      <c r="CQ34" s="196"/>
      <c r="CR34" s="191" t="s">
        <v>554</v>
      </c>
      <c r="CS34" s="257">
        <f>CY34+DE34+DL34+DT34+EB34+EJ34+110000</f>
        <v>110000</v>
      </c>
      <c r="CT34" s="196"/>
      <c r="CU34" s="317"/>
      <c r="CV34" s="391">
        <f t="shared" si="4"/>
        <v>0</v>
      </c>
      <c r="CW34" s="41"/>
      <c r="CX34" s="41"/>
      <c r="CY34" s="256"/>
      <c r="CZ34" s="308"/>
      <c r="DA34" s="308"/>
      <c r="DB34" s="420"/>
      <c r="DC34" s="41"/>
      <c r="DD34" s="41"/>
      <c r="DE34" s="256"/>
      <c r="DF34" s="41"/>
      <c r="DG34" s="41"/>
      <c r="DH34" s="391"/>
      <c r="DI34" s="41"/>
      <c r="DJ34" s="41"/>
      <c r="DK34" s="203"/>
      <c r="DL34" s="256"/>
      <c r="DM34" s="41"/>
      <c r="DN34" s="41"/>
      <c r="DO34" s="41"/>
      <c r="DP34" s="420"/>
      <c r="DQ34" s="41"/>
      <c r="DR34" s="41"/>
      <c r="DS34" s="203"/>
      <c r="DT34" s="256"/>
      <c r="DU34" s="46"/>
      <c r="DV34" s="46"/>
      <c r="DW34" s="196"/>
      <c r="DX34" s="391"/>
      <c r="DY34" s="41"/>
      <c r="DZ34" s="41"/>
      <c r="EA34" s="41"/>
      <c r="EB34" s="69"/>
      <c r="EC34" s="41"/>
      <c r="ED34" s="41"/>
      <c r="EE34" s="41"/>
      <c r="EF34" s="420"/>
      <c r="EG34" s="41"/>
      <c r="EH34" s="41"/>
      <c r="EI34" s="41"/>
      <c r="EJ34" s="256"/>
      <c r="EK34" s="41"/>
      <c r="EL34" s="41"/>
      <c r="EM34" s="41"/>
      <c r="EN34" s="391"/>
    </row>
    <row r="35" spans="1:144" ht="30">
      <c r="A35" s="45">
        <v>28</v>
      </c>
      <c r="B35" s="53" t="s">
        <v>301</v>
      </c>
      <c r="C35" s="45">
        <v>1</v>
      </c>
      <c r="D35" s="55" t="s">
        <v>221</v>
      </c>
      <c r="E35" s="54">
        <v>1</v>
      </c>
      <c r="F35" s="54">
        <v>5</v>
      </c>
      <c r="G35" s="397">
        <f>272739.852/1000</f>
        <v>272.73985200000004</v>
      </c>
      <c r="H35" s="59">
        <v>272739.85199999996</v>
      </c>
      <c r="I35" s="59">
        <v>0</v>
      </c>
      <c r="J35" s="398">
        <v>634.58167000000003</v>
      </c>
      <c r="K35" s="414">
        <f t="shared" si="0"/>
        <v>907.32152200000007</v>
      </c>
      <c r="L35" s="397"/>
      <c r="M35" s="397"/>
      <c r="N35" s="397">
        <f t="shared" si="1"/>
        <v>907.32152200000007</v>
      </c>
      <c r="O35" s="399">
        <f t="shared" si="2"/>
        <v>698</v>
      </c>
      <c r="P35" s="196" t="s">
        <v>247</v>
      </c>
      <c r="Q35" s="46">
        <v>3</v>
      </c>
      <c r="R35" s="218" t="s">
        <v>761</v>
      </c>
      <c r="S35" s="257">
        <f>3*80000</f>
        <v>240000</v>
      </c>
      <c r="T35" s="196"/>
      <c r="U35" s="46"/>
      <c r="V35" s="46"/>
      <c r="W35" s="257"/>
      <c r="X35" s="46"/>
      <c r="Y35" s="46"/>
      <c r="Z35" s="46"/>
      <c r="AA35" s="257"/>
      <c r="AB35" s="196"/>
      <c r="AC35" s="46"/>
      <c r="AD35" s="46"/>
      <c r="AE35" s="257"/>
      <c r="AF35" s="248" t="s">
        <v>225</v>
      </c>
      <c r="AG35" s="46" t="s">
        <v>335</v>
      </c>
      <c r="AH35" s="46">
        <v>260</v>
      </c>
      <c r="AI35" s="218" t="s">
        <v>522</v>
      </c>
      <c r="AJ35" s="400">
        <f>AH35*1300</f>
        <v>338000</v>
      </c>
      <c r="AK35" s="196"/>
      <c r="AL35" s="46"/>
      <c r="AM35" s="218"/>
      <c r="AN35" s="257"/>
      <c r="AO35" s="248"/>
      <c r="AP35" s="46"/>
      <c r="AQ35" s="257"/>
      <c r="AR35" s="248"/>
      <c r="AS35" s="46"/>
      <c r="AT35" s="257"/>
      <c r="AU35" s="248"/>
      <c r="AV35" s="46"/>
      <c r="AW35" s="257"/>
      <c r="AX35" s="248"/>
      <c r="AY35" s="46"/>
      <c r="AZ35" s="257"/>
      <c r="BA35" s="46"/>
      <c r="BB35" s="46"/>
      <c r="BC35" s="46"/>
      <c r="BD35" s="46"/>
      <c r="BE35" s="46"/>
      <c r="BF35" s="257"/>
      <c r="BG35" s="46"/>
      <c r="BH35" s="46"/>
      <c r="BI35" s="46"/>
      <c r="BJ35" s="196"/>
      <c r="BK35" s="46"/>
      <c r="BL35" s="46"/>
      <c r="BM35" s="46"/>
      <c r="BN35" s="46"/>
      <c r="BO35" s="257"/>
      <c r="BP35" s="248"/>
      <c r="BQ35" s="46"/>
      <c r="BR35" s="257"/>
      <c r="BS35" s="46"/>
      <c r="BT35" s="46"/>
      <c r="BU35" s="257"/>
      <c r="BV35" s="196"/>
      <c r="BW35" s="46"/>
      <c r="BX35" s="46"/>
      <c r="BY35" s="46"/>
      <c r="BZ35" s="46"/>
      <c r="CA35" s="257"/>
      <c r="CB35" s="196"/>
      <c r="CC35" s="46"/>
      <c r="CD35" s="257"/>
      <c r="CE35" s="46"/>
      <c r="CF35" s="46"/>
      <c r="CG35" s="257"/>
      <c r="CH35" s="46"/>
      <c r="CI35" s="46"/>
      <c r="CJ35" s="46"/>
      <c r="CK35" s="46"/>
      <c r="CL35" s="46"/>
      <c r="CM35" s="257"/>
      <c r="CN35" s="46"/>
      <c r="CO35" s="376"/>
      <c r="CP35" s="257"/>
      <c r="CQ35" s="196" t="s">
        <v>247</v>
      </c>
      <c r="CR35" s="286" t="s">
        <v>762</v>
      </c>
      <c r="CS35" s="257">
        <f t="shared" si="3"/>
        <v>120000</v>
      </c>
      <c r="CT35" s="196"/>
      <c r="CU35" s="317"/>
      <c r="CV35" s="391">
        <f t="shared" si="4"/>
        <v>0</v>
      </c>
      <c r="CW35" s="41"/>
      <c r="CX35" s="41"/>
      <c r="CY35" s="256"/>
      <c r="CZ35" s="308"/>
      <c r="DA35" s="308"/>
      <c r="DB35" s="420"/>
      <c r="DC35" s="41"/>
      <c r="DD35" s="41"/>
      <c r="DE35" s="256"/>
      <c r="DF35" s="41"/>
      <c r="DG35" s="41"/>
      <c r="DH35" s="391"/>
      <c r="DI35" s="41">
        <v>6</v>
      </c>
      <c r="DJ35" s="41">
        <v>4</v>
      </c>
      <c r="DK35" s="203" t="s">
        <v>632</v>
      </c>
      <c r="DL35" s="256">
        <f>4*15000</f>
        <v>60000</v>
      </c>
      <c r="DM35" s="41"/>
      <c r="DN35" s="41"/>
      <c r="DO35" s="41"/>
      <c r="DP35" s="420"/>
      <c r="DQ35" s="41">
        <v>6</v>
      </c>
      <c r="DR35" s="41">
        <v>4</v>
      </c>
      <c r="DS35" s="203" t="s">
        <v>632</v>
      </c>
      <c r="DT35" s="256">
        <f>4*15000</f>
        <v>60000</v>
      </c>
      <c r="DU35" s="46"/>
      <c r="DV35" s="46"/>
      <c r="DW35" s="196"/>
      <c r="DX35" s="391"/>
      <c r="DY35" s="41"/>
      <c r="DZ35" s="41"/>
      <c r="EA35" s="41"/>
      <c r="EB35" s="69"/>
      <c r="EC35" s="41"/>
      <c r="ED35" s="41"/>
      <c r="EE35" s="41"/>
      <c r="EF35" s="420"/>
      <c r="EG35" s="41"/>
      <c r="EH35" s="41"/>
      <c r="EI35" s="41"/>
      <c r="EJ35" s="256"/>
      <c r="EK35" s="41"/>
      <c r="EL35" s="41"/>
      <c r="EM35" s="41"/>
      <c r="EN35" s="391"/>
    </row>
    <row r="36" spans="1:144" ht="60">
      <c r="A36" s="45">
        <v>29</v>
      </c>
      <c r="B36" s="53" t="s">
        <v>301</v>
      </c>
      <c r="C36" s="45">
        <v>1</v>
      </c>
      <c r="D36" s="55" t="s">
        <v>221</v>
      </c>
      <c r="E36" s="54">
        <v>2</v>
      </c>
      <c r="F36" s="54">
        <v>5</v>
      </c>
      <c r="G36" s="397">
        <f>268082.892/1000</f>
        <v>268.08289200000002</v>
      </c>
      <c r="H36" s="59">
        <v>268082.89199999999</v>
      </c>
      <c r="I36" s="59">
        <v>0</v>
      </c>
      <c r="J36" s="398">
        <v>328.68733000000014</v>
      </c>
      <c r="K36" s="414">
        <f t="shared" si="0"/>
        <v>596.7702220000001</v>
      </c>
      <c r="L36" s="397"/>
      <c r="M36" s="397"/>
      <c r="N36" s="397">
        <f t="shared" si="1"/>
        <v>596.7702220000001</v>
      </c>
      <c r="O36" s="399">
        <f t="shared" si="2"/>
        <v>530</v>
      </c>
      <c r="P36" s="196" t="s">
        <v>229</v>
      </c>
      <c r="Q36" s="46">
        <v>3</v>
      </c>
      <c r="R36" s="218" t="s">
        <v>631</v>
      </c>
      <c r="S36" s="257">
        <f>80000+180000+(80000*2)</f>
        <v>420000</v>
      </c>
      <c r="T36" s="196"/>
      <c r="U36" s="46"/>
      <c r="V36" s="46"/>
      <c r="W36" s="257"/>
      <c r="X36" s="46"/>
      <c r="Y36" s="46"/>
      <c r="Z36" s="46"/>
      <c r="AA36" s="257"/>
      <c r="AB36" s="196"/>
      <c r="AC36" s="46"/>
      <c r="AD36" s="46"/>
      <c r="AE36" s="257"/>
      <c r="AF36" s="196"/>
      <c r="AG36" s="46"/>
      <c r="AH36" s="46"/>
      <c r="AI36" s="196"/>
      <c r="AJ36" s="400"/>
      <c r="AK36" s="196"/>
      <c r="AL36" s="46"/>
      <c r="AM36" s="218"/>
      <c r="AN36" s="257"/>
      <c r="AO36" s="196"/>
      <c r="AP36" s="46"/>
      <c r="AQ36" s="257"/>
      <c r="AR36" s="196"/>
      <c r="AS36" s="46"/>
      <c r="AT36" s="257"/>
      <c r="AU36" s="196"/>
      <c r="AV36" s="46"/>
      <c r="AW36" s="257"/>
      <c r="AX36" s="196"/>
      <c r="AY36" s="46"/>
      <c r="AZ36" s="257"/>
      <c r="BA36" s="46"/>
      <c r="BB36" s="46"/>
      <c r="BC36" s="46"/>
      <c r="BD36" s="46"/>
      <c r="BE36" s="46"/>
      <c r="BF36" s="257"/>
      <c r="BG36" s="46"/>
      <c r="BH36" s="46"/>
      <c r="BI36" s="46"/>
      <c r="BJ36" s="196"/>
      <c r="BK36" s="46"/>
      <c r="BL36" s="46"/>
      <c r="BM36" s="46"/>
      <c r="BN36" s="46"/>
      <c r="BO36" s="257"/>
      <c r="BP36" s="196" t="s">
        <v>254</v>
      </c>
      <c r="BQ36" s="46" t="s">
        <v>630</v>
      </c>
      <c r="BR36" s="257">
        <v>110000</v>
      </c>
      <c r="BS36" s="46"/>
      <c r="BT36" s="46"/>
      <c r="BU36" s="257"/>
      <c r="BV36" s="196"/>
      <c r="BW36" s="46"/>
      <c r="BX36" s="46"/>
      <c r="BY36" s="46"/>
      <c r="BZ36" s="46"/>
      <c r="CA36" s="257"/>
      <c r="CB36" s="196"/>
      <c r="CC36" s="46"/>
      <c r="CD36" s="257"/>
      <c r="CE36" s="46"/>
      <c r="CF36" s="46"/>
      <c r="CG36" s="257"/>
      <c r="CH36" s="46"/>
      <c r="CI36" s="46"/>
      <c r="CJ36" s="46"/>
      <c r="CK36" s="46"/>
      <c r="CL36" s="46"/>
      <c r="CM36" s="257"/>
      <c r="CN36" s="46"/>
      <c r="CO36" s="376"/>
      <c r="CP36" s="257"/>
      <c r="CQ36" s="196"/>
      <c r="CR36" s="523"/>
      <c r="CS36" s="257">
        <f t="shared" si="3"/>
        <v>0</v>
      </c>
      <c r="CT36" s="218"/>
      <c r="CU36" s="317"/>
      <c r="CV36" s="391">
        <f t="shared" si="4"/>
        <v>0</v>
      </c>
      <c r="CW36" s="41"/>
      <c r="CX36" s="41"/>
      <c r="CY36" s="256"/>
      <c r="CZ36" s="308"/>
      <c r="DA36" s="308"/>
      <c r="DB36" s="420"/>
      <c r="DC36" s="41"/>
      <c r="DD36" s="41"/>
      <c r="DE36" s="256"/>
      <c r="DF36" s="41"/>
      <c r="DG36" s="41"/>
      <c r="DH36" s="391"/>
      <c r="DI36" s="41"/>
      <c r="DJ36" s="41"/>
      <c r="DK36" s="203"/>
      <c r="DL36" s="256"/>
      <c r="DM36" s="41"/>
      <c r="DN36" s="41"/>
      <c r="DO36" s="41"/>
      <c r="DP36" s="420"/>
      <c r="DQ36" s="41"/>
      <c r="DR36" s="41"/>
      <c r="DS36" s="203"/>
      <c r="DT36" s="256"/>
      <c r="DU36" s="46"/>
      <c r="DV36" s="46"/>
      <c r="DW36" s="196"/>
      <c r="DX36" s="391"/>
      <c r="DY36" s="41"/>
      <c r="DZ36" s="41"/>
      <c r="EA36" s="41"/>
      <c r="EB36" s="69"/>
      <c r="EC36" s="41"/>
      <c r="ED36" s="41"/>
      <c r="EE36" s="41"/>
      <c r="EF36" s="420"/>
      <c r="EG36" s="41"/>
      <c r="EH36" s="41"/>
      <c r="EI36" s="41"/>
      <c r="EJ36" s="256"/>
      <c r="EK36" s="41"/>
      <c r="EL36" s="41"/>
      <c r="EM36" s="41"/>
      <c r="EN36" s="391"/>
    </row>
    <row r="37" spans="1:144" ht="25.5">
      <c r="A37" s="45">
        <v>30</v>
      </c>
      <c r="B37" s="53" t="s">
        <v>301</v>
      </c>
      <c r="C37" s="45">
        <v>1</v>
      </c>
      <c r="D37" s="55" t="s">
        <v>221</v>
      </c>
      <c r="E37" s="54">
        <v>4</v>
      </c>
      <c r="F37" s="54">
        <v>5</v>
      </c>
      <c r="G37" s="397">
        <f>212665.068/1000</f>
        <v>212.66506799999999</v>
      </c>
      <c r="H37" s="59">
        <v>212665.068</v>
      </c>
      <c r="I37" s="59">
        <v>0</v>
      </c>
      <c r="J37" s="398">
        <v>107.24096</v>
      </c>
      <c r="K37" s="414">
        <f t="shared" si="0"/>
        <v>319.90602799999999</v>
      </c>
      <c r="L37" s="397"/>
      <c r="M37" s="397"/>
      <c r="N37" s="397">
        <f t="shared" si="1"/>
        <v>319.90602799999999</v>
      </c>
      <c r="O37" s="399">
        <f t="shared" si="2"/>
        <v>308</v>
      </c>
      <c r="P37" s="196"/>
      <c r="Q37" s="46"/>
      <c r="R37" s="196"/>
      <c r="S37" s="257"/>
      <c r="T37" s="196"/>
      <c r="U37" s="46"/>
      <c r="V37" s="46"/>
      <c r="W37" s="257"/>
      <c r="X37" s="46"/>
      <c r="Y37" s="46"/>
      <c r="Z37" s="46"/>
      <c r="AA37" s="257"/>
      <c r="AB37" s="196"/>
      <c r="AC37" s="46"/>
      <c r="AD37" s="46"/>
      <c r="AE37" s="257"/>
      <c r="AF37" s="196"/>
      <c r="AG37" s="46"/>
      <c r="AH37" s="46"/>
      <c r="AI37" s="196"/>
      <c r="AJ37" s="400"/>
      <c r="AK37" s="196"/>
      <c r="AL37" s="46"/>
      <c r="AM37" s="218"/>
      <c r="AN37" s="257"/>
      <c r="AO37" s="196"/>
      <c r="AP37" s="46"/>
      <c r="AQ37" s="257"/>
      <c r="AR37" s="196"/>
      <c r="AS37" s="46"/>
      <c r="AT37" s="257"/>
      <c r="AU37" s="196"/>
      <c r="AV37" s="46"/>
      <c r="AW37" s="257"/>
      <c r="AX37" s="196"/>
      <c r="AY37" s="46"/>
      <c r="AZ37" s="257"/>
      <c r="BA37" s="46"/>
      <c r="BB37" s="46"/>
      <c r="BC37" s="46"/>
      <c r="BD37" s="46"/>
      <c r="BE37" s="46"/>
      <c r="BF37" s="257"/>
      <c r="BG37" s="46"/>
      <c r="BH37" s="46"/>
      <c r="BI37" s="46"/>
      <c r="BJ37" s="196"/>
      <c r="BK37" s="46"/>
      <c r="BL37" s="46"/>
      <c r="BM37" s="46"/>
      <c r="BN37" s="46"/>
      <c r="BO37" s="257"/>
      <c r="BP37" s="196"/>
      <c r="BQ37" s="46"/>
      <c r="BR37" s="257"/>
      <c r="BS37" s="46"/>
      <c r="BT37" s="46"/>
      <c r="BU37" s="257"/>
      <c r="BV37" s="196"/>
      <c r="BW37" s="46"/>
      <c r="BX37" s="46"/>
      <c r="BY37" s="46"/>
      <c r="BZ37" s="46"/>
      <c r="CA37" s="257"/>
      <c r="CB37" s="196" t="s">
        <v>247</v>
      </c>
      <c r="CC37" s="46">
        <v>60</v>
      </c>
      <c r="CD37" s="257">
        <f>CC37*1800</f>
        <v>108000</v>
      </c>
      <c r="CE37" s="46"/>
      <c r="CF37" s="46"/>
      <c r="CG37" s="257"/>
      <c r="CH37" s="46"/>
      <c r="CI37" s="46"/>
      <c r="CJ37" s="46"/>
      <c r="CK37" s="46"/>
      <c r="CL37" s="46"/>
      <c r="CM37" s="257"/>
      <c r="CN37" s="46"/>
      <c r="CO37" s="376"/>
      <c r="CP37" s="257"/>
      <c r="CQ37" s="196" t="s">
        <v>248</v>
      </c>
      <c r="CR37" s="286" t="s">
        <v>692</v>
      </c>
      <c r="CS37" s="257">
        <f t="shared" si="3"/>
        <v>200000</v>
      </c>
      <c r="CT37" s="196"/>
      <c r="CU37" s="317"/>
      <c r="CV37" s="391">
        <f t="shared" si="4"/>
        <v>0</v>
      </c>
      <c r="CW37" s="41">
        <v>8</v>
      </c>
      <c r="CX37" s="41">
        <v>8</v>
      </c>
      <c r="CY37" s="256">
        <f>CX37*25000</f>
        <v>200000</v>
      </c>
      <c r="CZ37" s="308"/>
      <c r="DA37" s="308"/>
      <c r="DB37" s="420"/>
      <c r="DC37" s="41"/>
      <c r="DD37" s="41"/>
      <c r="DE37" s="256"/>
      <c r="DF37" s="41"/>
      <c r="DG37" s="41"/>
      <c r="DH37" s="391"/>
      <c r="DI37" s="41"/>
      <c r="DJ37" s="41"/>
      <c r="DK37" s="203"/>
      <c r="DL37" s="256"/>
      <c r="DM37" s="41"/>
      <c r="DN37" s="41"/>
      <c r="DO37" s="41"/>
      <c r="DP37" s="420"/>
      <c r="DQ37" s="41"/>
      <c r="DR37" s="41"/>
      <c r="DS37" s="203"/>
      <c r="DT37" s="256"/>
      <c r="DU37" s="46"/>
      <c r="DV37" s="46"/>
      <c r="DW37" s="196"/>
      <c r="DX37" s="391"/>
      <c r="DY37" s="41"/>
      <c r="DZ37" s="41"/>
      <c r="EA37" s="41"/>
      <c r="EB37" s="69"/>
      <c r="EC37" s="41"/>
      <c r="ED37" s="41"/>
      <c r="EE37" s="41"/>
      <c r="EF37" s="420"/>
      <c r="EG37" s="41"/>
      <c r="EH37" s="41"/>
      <c r="EI37" s="41"/>
      <c r="EJ37" s="256"/>
      <c r="EK37" s="41"/>
      <c r="EL37" s="41"/>
      <c r="EM37" s="41"/>
      <c r="EN37" s="391"/>
    </row>
    <row r="38" spans="1:144" ht="36.75">
      <c r="A38" s="45">
        <v>31</v>
      </c>
      <c r="B38" s="53" t="s">
        <v>301</v>
      </c>
      <c r="C38" s="45">
        <v>1</v>
      </c>
      <c r="D38" s="55" t="s">
        <v>221</v>
      </c>
      <c r="E38" s="54">
        <v>5</v>
      </c>
      <c r="F38" s="54">
        <v>5</v>
      </c>
      <c r="G38" s="397">
        <f>214860.492/1000</f>
        <v>214.86049199999999</v>
      </c>
      <c r="H38" s="59">
        <v>214860.49199999997</v>
      </c>
      <c r="I38" s="59">
        <v>0</v>
      </c>
      <c r="J38" s="398">
        <v>123.23958999999999</v>
      </c>
      <c r="K38" s="414">
        <f t="shared" si="0"/>
        <v>338.10008199999999</v>
      </c>
      <c r="L38" s="397"/>
      <c r="M38" s="397"/>
      <c r="N38" s="397">
        <f t="shared" si="1"/>
        <v>338.10008199999999</v>
      </c>
      <c r="O38" s="399">
        <f t="shared" si="2"/>
        <v>253</v>
      </c>
      <c r="P38" s="196" t="s">
        <v>225</v>
      </c>
      <c r="Q38" s="46">
        <v>1</v>
      </c>
      <c r="R38" s="196" t="s">
        <v>523</v>
      </c>
      <c r="S38" s="257">
        <v>145000</v>
      </c>
      <c r="T38" s="196"/>
      <c r="U38" s="46"/>
      <c r="V38" s="46"/>
      <c r="W38" s="257"/>
      <c r="X38" s="46"/>
      <c r="Y38" s="46"/>
      <c r="Z38" s="46"/>
      <c r="AA38" s="257"/>
      <c r="AB38" s="196"/>
      <c r="AC38" s="46"/>
      <c r="AD38" s="46"/>
      <c r="AE38" s="257"/>
      <c r="AF38" s="196"/>
      <c r="AG38" s="46"/>
      <c r="AH38" s="46"/>
      <c r="AI38" s="196"/>
      <c r="AJ38" s="400"/>
      <c r="AK38" s="196"/>
      <c r="AL38" s="46"/>
      <c r="AM38" s="218"/>
      <c r="AN38" s="257"/>
      <c r="AO38" s="196"/>
      <c r="AP38" s="46"/>
      <c r="AQ38" s="257"/>
      <c r="AR38" s="196"/>
      <c r="AS38" s="46"/>
      <c r="AT38" s="257"/>
      <c r="AU38" s="196"/>
      <c r="AV38" s="46"/>
      <c r="AW38" s="257"/>
      <c r="AX38" s="196"/>
      <c r="AY38" s="46"/>
      <c r="AZ38" s="257"/>
      <c r="BA38" s="46"/>
      <c r="BB38" s="46"/>
      <c r="BC38" s="46"/>
      <c r="BD38" s="46"/>
      <c r="BE38" s="46"/>
      <c r="BF38" s="257"/>
      <c r="BG38" s="46"/>
      <c r="BH38" s="46"/>
      <c r="BI38" s="46"/>
      <c r="BJ38" s="196"/>
      <c r="BK38" s="46"/>
      <c r="BL38" s="46"/>
      <c r="BM38" s="46"/>
      <c r="BN38" s="46"/>
      <c r="BO38" s="257"/>
      <c r="BP38" s="196"/>
      <c r="BQ38" s="46"/>
      <c r="BR38" s="257"/>
      <c r="BS38" s="46"/>
      <c r="BT38" s="46"/>
      <c r="BU38" s="257"/>
      <c r="BV38" s="196"/>
      <c r="BW38" s="46"/>
      <c r="BX38" s="46"/>
      <c r="BY38" s="46"/>
      <c r="BZ38" s="46"/>
      <c r="CA38" s="257"/>
      <c r="CB38" s="196"/>
      <c r="CC38" s="46"/>
      <c r="CD38" s="257"/>
      <c r="CE38" s="46"/>
      <c r="CF38" s="46"/>
      <c r="CG38" s="257"/>
      <c r="CH38" s="46"/>
      <c r="CI38" s="46"/>
      <c r="CJ38" s="46"/>
      <c r="CK38" s="46"/>
      <c r="CL38" s="46"/>
      <c r="CM38" s="257"/>
      <c r="CN38" s="46"/>
      <c r="CO38" s="376"/>
      <c r="CP38" s="257"/>
      <c r="CQ38" s="196" t="s">
        <v>247</v>
      </c>
      <c r="CR38" s="286" t="s">
        <v>763</v>
      </c>
      <c r="CS38" s="257">
        <f>CY38+DE38+DL38+DT38+EB38+EJ38+50000</f>
        <v>108000</v>
      </c>
      <c r="CT38" s="218"/>
      <c r="CU38" s="317"/>
      <c r="CV38" s="391">
        <f t="shared" si="4"/>
        <v>0</v>
      </c>
      <c r="CW38" s="41"/>
      <c r="CX38" s="41"/>
      <c r="CY38" s="256"/>
      <c r="CZ38" s="308"/>
      <c r="DA38" s="308"/>
      <c r="DB38" s="420"/>
      <c r="DC38" s="41"/>
      <c r="DD38" s="41"/>
      <c r="DE38" s="256"/>
      <c r="DF38" s="41"/>
      <c r="DG38" s="41"/>
      <c r="DH38" s="391"/>
      <c r="DI38" s="41">
        <v>6</v>
      </c>
      <c r="DJ38" s="41">
        <v>4</v>
      </c>
      <c r="DK38" s="203" t="s">
        <v>632</v>
      </c>
      <c r="DL38" s="256">
        <v>32000</v>
      </c>
      <c r="DM38" s="41"/>
      <c r="DN38" s="41"/>
      <c r="DO38" s="41"/>
      <c r="DP38" s="420"/>
      <c r="DQ38" s="41">
        <v>6</v>
      </c>
      <c r="DR38" s="41">
        <v>4</v>
      </c>
      <c r="DS38" s="203" t="s">
        <v>632</v>
      </c>
      <c r="DT38" s="256">
        <v>26000</v>
      </c>
      <c r="DU38" s="46"/>
      <c r="DV38" s="46"/>
      <c r="DW38" s="196"/>
      <c r="DX38" s="391"/>
      <c r="DY38" s="41"/>
      <c r="DZ38" s="41"/>
      <c r="EA38" s="41"/>
      <c r="EB38" s="69"/>
      <c r="EC38" s="41"/>
      <c r="ED38" s="41"/>
      <c r="EE38" s="41"/>
      <c r="EF38" s="420"/>
      <c r="EG38" s="41"/>
      <c r="EH38" s="41"/>
      <c r="EI38" s="41"/>
      <c r="EJ38" s="256"/>
      <c r="EK38" s="60"/>
      <c r="EL38" s="60"/>
      <c r="EM38" s="60"/>
      <c r="EN38" s="391"/>
    </row>
    <row r="39" spans="1:144" ht="48.75">
      <c r="A39" s="45">
        <v>32</v>
      </c>
      <c r="B39" s="53" t="s">
        <v>301</v>
      </c>
      <c r="C39" s="45">
        <v>1</v>
      </c>
      <c r="D39" s="55" t="s">
        <v>221</v>
      </c>
      <c r="E39" s="54">
        <v>6</v>
      </c>
      <c r="F39" s="54">
        <v>5</v>
      </c>
      <c r="G39" s="397">
        <f>210461.328/1000</f>
        <v>210.46132800000001</v>
      </c>
      <c r="H39" s="59">
        <v>210461.32799999998</v>
      </c>
      <c r="I39" s="59">
        <v>0</v>
      </c>
      <c r="J39" s="398">
        <v>189.24892999999997</v>
      </c>
      <c r="K39" s="414">
        <f t="shared" si="0"/>
        <v>399.71025799999995</v>
      </c>
      <c r="L39" s="397"/>
      <c r="M39" s="397"/>
      <c r="N39" s="397">
        <f t="shared" si="1"/>
        <v>399.71025799999995</v>
      </c>
      <c r="O39" s="399">
        <f t="shared" si="2"/>
        <v>175.8</v>
      </c>
      <c r="P39" s="196"/>
      <c r="Q39" s="46"/>
      <c r="R39" s="196"/>
      <c r="S39" s="257"/>
      <c r="T39" s="196"/>
      <c r="U39" s="46"/>
      <c r="V39" s="46"/>
      <c r="W39" s="257"/>
      <c r="X39" s="46"/>
      <c r="Y39" s="46"/>
      <c r="Z39" s="46"/>
      <c r="AA39" s="257"/>
      <c r="AB39" s="196"/>
      <c r="AC39" s="46"/>
      <c r="AD39" s="196"/>
      <c r="AE39" s="257"/>
      <c r="AF39" s="196"/>
      <c r="AG39" s="46"/>
      <c r="AH39" s="46"/>
      <c r="AI39" s="196"/>
      <c r="AJ39" s="400"/>
      <c r="AK39" s="196"/>
      <c r="AL39" s="46"/>
      <c r="AM39" s="218"/>
      <c r="AN39" s="257"/>
      <c r="AO39" s="196"/>
      <c r="AP39" s="46"/>
      <c r="AQ39" s="257"/>
      <c r="AR39" s="196"/>
      <c r="AS39" s="46"/>
      <c r="AT39" s="257"/>
      <c r="AU39" s="196"/>
      <c r="AV39" s="46"/>
      <c r="AW39" s="257"/>
      <c r="AX39" s="196"/>
      <c r="AY39" s="46"/>
      <c r="AZ39" s="257"/>
      <c r="BA39" s="46"/>
      <c r="BB39" s="46"/>
      <c r="BC39" s="46"/>
      <c r="BD39" s="46"/>
      <c r="BE39" s="46"/>
      <c r="BF39" s="257"/>
      <c r="BG39" s="46"/>
      <c r="BH39" s="46"/>
      <c r="BI39" s="46"/>
      <c r="BJ39" s="196"/>
      <c r="BK39" s="46"/>
      <c r="BL39" s="46"/>
      <c r="BM39" s="46"/>
      <c r="BN39" s="46"/>
      <c r="BO39" s="257"/>
      <c r="BP39" s="196"/>
      <c r="BQ39" s="46"/>
      <c r="BR39" s="257"/>
      <c r="BS39" s="46"/>
      <c r="BT39" s="46"/>
      <c r="BU39" s="257"/>
      <c r="BV39" s="196"/>
      <c r="BW39" s="46"/>
      <c r="BX39" s="46"/>
      <c r="BY39" s="46"/>
      <c r="BZ39" s="46"/>
      <c r="CA39" s="257"/>
      <c r="CB39" s="196"/>
      <c r="CC39" s="46"/>
      <c r="CD39" s="257"/>
      <c r="CE39" s="46"/>
      <c r="CF39" s="46"/>
      <c r="CG39" s="257"/>
      <c r="CH39" s="46"/>
      <c r="CI39" s="46"/>
      <c r="CJ39" s="46"/>
      <c r="CK39" s="46"/>
      <c r="CL39" s="46"/>
      <c r="CM39" s="257"/>
      <c r="CN39" s="46"/>
      <c r="CO39" s="376"/>
      <c r="CP39" s="257"/>
      <c r="CQ39" s="218" t="s">
        <v>226</v>
      </c>
      <c r="CR39" s="286" t="s">
        <v>633</v>
      </c>
      <c r="CS39" s="257">
        <f>CY39+DE39+DL39+DT39+EB39+EJ39+25000</f>
        <v>175800</v>
      </c>
      <c r="CT39" s="218"/>
      <c r="CU39" s="317"/>
      <c r="CV39" s="391">
        <f t="shared" si="4"/>
        <v>0</v>
      </c>
      <c r="CW39" s="41"/>
      <c r="CX39" s="41"/>
      <c r="CY39" s="256"/>
      <c r="CZ39" s="308"/>
      <c r="DA39" s="308"/>
      <c r="DB39" s="420"/>
      <c r="DC39" s="41">
        <v>5</v>
      </c>
      <c r="DD39" s="41">
        <v>116</v>
      </c>
      <c r="DE39" s="256">
        <f>DD39*800</f>
        <v>92800</v>
      </c>
      <c r="DF39" s="41"/>
      <c r="DG39" s="41"/>
      <c r="DH39" s="391"/>
      <c r="DI39" s="41">
        <v>5</v>
      </c>
      <c r="DJ39" s="41">
        <v>4</v>
      </c>
      <c r="DK39" s="203" t="s">
        <v>632</v>
      </c>
      <c r="DL39" s="256">
        <f>4*8000</f>
        <v>32000</v>
      </c>
      <c r="DM39" s="41"/>
      <c r="DN39" s="41"/>
      <c r="DO39" s="41"/>
      <c r="DP39" s="420"/>
      <c r="DQ39" s="41">
        <v>5</v>
      </c>
      <c r="DR39" s="41">
        <v>4</v>
      </c>
      <c r="DS39" s="203" t="s">
        <v>632</v>
      </c>
      <c r="DT39" s="256">
        <f>DR39*6500</f>
        <v>26000</v>
      </c>
      <c r="DU39" s="46"/>
      <c r="DV39" s="46"/>
      <c r="DW39" s="196"/>
      <c r="DX39" s="391"/>
      <c r="DY39" s="41"/>
      <c r="DZ39" s="41"/>
      <c r="EA39" s="41"/>
      <c r="EB39" s="69"/>
      <c r="EC39" s="41"/>
      <c r="ED39" s="41"/>
      <c r="EE39" s="41"/>
      <c r="EF39" s="420"/>
      <c r="EG39" s="41"/>
      <c r="EH39" s="41"/>
      <c r="EI39" s="41"/>
      <c r="EJ39" s="256"/>
      <c r="EK39" s="41"/>
      <c r="EL39" s="41"/>
      <c r="EM39" s="41"/>
      <c r="EN39" s="391"/>
    </row>
    <row r="40" spans="1:144" ht="34.5">
      <c r="A40" s="45">
        <v>33</v>
      </c>
      <c r="B40" s="53"/>
      <c r="C40" s="45">
        <v>1</v>
      </c>
      <c r="D40" s="55" t="s">
        <v>222</v>
      </c>
      <c r="E40" s="54">
        <v>3</v>
      </c>
      <c r="F40" s="54">
        <v>3</v>
      </c>
      <c r="G40" s="397">
        <f>327420/1000</f>
        <v>327.42</v>
      </c>
      <c r="H40" s="59">
        <v>327420</v>
      </c>
      <c r="I40" s="59">
        <v>0</v>
      </c>
      <c r="J40" s="398"/>
      <c r="K40" s="414">
        <f t="shared" si="0"/>
        <v>327.42</v>
      </c>
      <c r="L40" s="397"/>
      <c r="M40" s="397"/>
      <c r="N40" s="397"/>
      <c r="O40" s="399">
        <f t="shared" si="2"/>
        <v>318.10000000000002</v>
      </c>
      <c r="P40" s="196"/>
      <c r="Q40" s="46"/>
      <c r="R40" s="196"/>
      <c r="S40" s="257"/>
      <c r="T40" s="196"/>
      <c r="U40" s="46"/>
      <c r="V40" s="46"/>
      <c r="W40" s="257"/>
      <c r="X40" s="46"/>
      <c r="Y40" s="46"/>
      <c r="Z40" s="46"/>
      <c r="AA40" s="257"/>
      <c r="AB40" s="196"/>
      <c r="AC40" s="46"/>
      <c r="AD40" s="196"/>
      <c r="AE40" s="257"/>
      <c r="AF40" s="196"/>
      <c r="AG40" s="46"/>
      <c r="AH40" s="46"/>
      <c r="AI40" s="196"/>
      <c r="AJ40" s="400"/>
      <c r="AK40" s="196"/>
      <c r="AL40" s="46"/>
      <c r="AM40" s="218"/>
      <c r="AN40" s="257"/>
      <c r="AO40" s="196" t="s">
        <v>249</v>
      </c>
      <c r="AP40" s="190" t="s">
        <v>636</v>
      </c>
      <c r="AQ40" s="257">
        <f>18*2000</f>
        <v>36000</v>
      </c>
      <c r="AR40" s="196" t="s">
        <v>254</v>
      </c>
      <c r="AS40" s="190" t="s">
        <v>638</v>
      </c>
      <c r="AT40" s="257">
        <f>3*2500</f>
        <v>7500</v>
      </c>
      <c r="AU40" s="196" t="s">
        <v>226</v>
      </c>
      <c r="AV40" s="190" t="s">
        <v>634</v>
      </c>
      <c r="AW40" s="257">
        <f>150000+24*3000</f>
        <v>222000</v>
      </c>
      <c r="AX40" s="196" t="s">
        <v>254</v>
      </c>
      <c r="AY40" s="190" t="s">
        <v>635</v>
      </c>
      <c r="AZ40" s="257">
        <f>6*1300</f>
        <v>7800</v>
      </c>
      <c r="BA40" s="46"/>
      <c r="BB40" s="46"/>
      <c r="BC40" s="46"/>
      <c r="BD40" s="46"/>
      <c r="BE40" s="46"/>
      <c r="BF40" s="257"/>
      <c r="BG40" s="46"/>
      <c r="BH40" s="46"/>
      <c r="BI40" s="46"/>
      <c r="BJ40" s="196"/>
      <c r="BK40" s="46"/>
      <c r="BL40" s="46"/>
      <c r="BM40" s="46"/>
      <c r="BN40" s="46"/>
      <c r="BO40" s="257"/>
      <c r="BP40" s="196" t="s">
        <v>254</v>
      </c>
      <c r="BQ40" s="190" t="s">
        <v>637</v>
      </c>
      <c r="BR40" s="257">
        <f>32*1400</f>
        <v>44800</v>
      </c>
      <c r="BS40" s="46"/>
      <c r="BT40" s="46"/>
      <c r="BU40" s="257"/>
      <c r="BV40" s="196"/>
      <c r="BW40" s="46"/>
      <c r="BX40" s="46"/>
      <c r="BY40" s="46"/>
      <c r="BZ40" s="46"/>
      <c r="CA40" s="257"/>
      <c r="CB40" s="196"/>
      <c r="CC40" s="46"/>
      <c r="CD40" s="257"/>
      <c r="CE40" s="46"/>
      <c r="CF40" s="46"/>
      <c r="CG40" s="257"/>
      <c r="CH40" s="46"/>
      <c r="CI40" s="46"/>
      <c r="CJ40" s="46"/>
      <c r="CK40" s="46"/>
      <c r="CL40" s="46"/>
      <c r="CM40" s="257"/>
      <c r="CN40" s="46"/>
      <c r="CO40" s="376"/>
      <c r="CP40" s="257"/>
      <c r="CQ40" s="218"/>
      <c r="CR40" s="286"/>
      <c r="CS40" s="257">
        <f t="shared" si="3"/>
        <v>0</v>
      </c>
      <c r="CT40" s="218"/>
      <c r="CU40" s="317"/>
      <c r="CV40" s="391">
        <f t="shared" si="4"/>
        <v>0</v>
      </c>
      <c r="CW40" s="41"/>
      <c r="CX40" s="41"/>
      <c r="CY40" s="256"/>
      <c r="CZ40" s="308"/>
      <c r="DA40" s="308"/>
      <c r="DB40" s="420"/>
      <c r="DC40" s="41"/>
      <c r="DD40" s="41"/>
      <c r="DE40" s="256"/>
      <c r="DF40" s="41"/>
      <c r="DG40" s="41"/>
      <c r="DH40" s="391"/>
      <c r="DI40" s="41"/>
      <c r="DJ40" s="41"/>
      <c r="DK40" s="203"/>
      <c r="DL40" s="256"/>
      <c r="DM40" s="41"/>
      <c r="DN40" s="41"/>
      <c r="DO40" s="41"/>
      <c r="DP40" s="420"/>
      <c r="DQ40" s="41"/>
      <c r="DR40" s="41"/>
      <c r="DS40" s="203"/>
      <c r="DT40" s="256"/>
      <c r="DU40" s="46"/>
      <c r="DV40" s="46"/>
      <c r="DW40" s="196"/>
      <c r="DX40" s="391"/>
      <c r="DY40" s="41"/>
      <c r="DZ40" s="41"/>
      <c r="EA40" s="41"/>
      <c r="EB40" s="69"/>
      <c r="EC40" s="41"/>
      <c r="ED40" s="41"/>
      <c r="EE40" s="41"/>
      <c r="EF40" s="420"/>
      <c r="EG40" s="41"/>
      <c r="EH40" s="41"/>
      <c r="EI40" s="41"/>
      <c r="EJ40" s="256"/>
      <c r="EK40" s="41"/>
      <c r="EL40" s="41"/>
      <c r="EM40" s="41"/>
      <c r="EN40" s="391"/>
    </row>
    <row r="41" spans="1:144" ht="48.75">
      <c r="A41" s="45">
        <v>34</v>
      </c>
      <c r="B41" s="53" t="s">
        <v>301</v>
      </c>
      <c r="C41" s="45">
        <v>1</v>
      </c>
      <c r="D41" s="55" t="s">
        <v>222</v>
      </c>
      <c r="E41" s="54">
        <v>5</v>
      </c>
      <c r="F41" s="54">
        <v>5</v>
      </c>
      <c r="G41" s="397">
        <f>343575.54/1000</f>
        <v>343.57553999999999</v>
      </c>
      <c r="H41" s="59">
        <v>343575.54</v>
      </c>
      <c r="I41" s="59">
        <v>0</v>
      </c>
      <c r="J41" s="398">
        <v>779.40733</v>
      </c>
      <c r="K41" s="414">
        <f t="shared" si="0"/>
        <v>1122.98287</v>
      </c>
      <c r="L41" s="397"/>
      <c r="M41" s="397"/>
      <c r="N41" s="397">
        <f t="shared" si="1"/>
        <v>1122.98287</v>
      </c>
      <c r="O41" s="399">
        <f t="shared" si="2"/>
        <v>318.5</v>
      </c>
      <c r="P41" s="196"/>
      <c r="Q41" s="46"/>
      <c r="R41" s="218"/>
      <c r="S41" s="257"/>
      <c r="T41" s="196"/>
      <c r="U41" s="46"/>
      <c r="V41" s="46"/>
      <c r="W41" s="257"/>
      <c r="X41" s="46"/>
      <c r="Y41" s="46"/>
      <c r="Z41" s="46"/>
      <c r="AA41" s="257"/>
      <c r="AB41" s="196"/>
      <c r="AC41" s="46"/>
      <c r="AD41" s="46"/>
      <c r="AE41" s="257"/>
      <c r="AF41" s="196"/>
      <c r="AG41" s="46"/>
      <c r="AH41" s="46"/>
      <c r="AI41" s="196"/>
      <c r="AJ41" s="400"/>
      <c r="AK41" s="196"/>
      <c r="AL41" s="46"/>
      <c r="AM41" s="218"/>
      <c r="AN41" s="257"/>
      <c r="AO41" s="196"/>
      <c r="AP41" s="46"/>
      <c r="AQ41" s="257"/>
      <c r="AR41" s="196"/>
      <c r="AS41" s="46"/>
      <c r="AT41" s="257"/>
      <c r="AU41" s="196" t="s">
        <v>254</v>
      </c>
      <c r="AV41" s="190" t="s">
        <v>640</v>
      </c>
      <c r="AW41" s="257">
        <v>9000</v>
      </c>
      <c r="AX41" s="196" t="s">
        <v>225</v>
      </c>
      <c r="AY41" s="46">
        <v>15</v>
      </c>
      <c r="AZ41" s="257">
        <f>AY41*1300</f>
        <v>19500</v>
      </c>
      <c r="BA41" s="46"/>
      <c r="BB41" s="46"/>
      <c r="BC41" s="46"/>
      <c r="BD41" s="46"/>
      <c r="BE41" s="46"/>
      <c r="BF41" s="257"/>
      <c r="BG41" s="46"/>
      <c r="BH41" s="46"/>
      <c r="BI41" s="46"/>
      <c r="BJ41" s="196"/>
      <c r="BK41" s="46"/>
      <c r="BL41" s="46"/>
      <c r="BM41" s="46"/>
      <c r="BN41" s="46"/>
      <c r="BO41" s="257"/>
      <c r="BP41" s="196"/>
      <c r="BQ41" s="46"/>
      <c r="BR41" s="257"/>
      <c r="BS41" s="46"/>
      <c r="BT41" s="46"/>
      <c r="BU41" s="257"/>
      <c r="BV41" s="196"/>
      <c r="BW41" s="46"/>
      <c r="BX41" s="46"/>
      <c r="BY41" s="46"/>
      <c r="BZ41" s="46"/>
      <c r="CA41" s="257"/>
      <c r="CB41" s="196"/>
      <c r="CC41" s="46"/>
      <c r="CD41" s="257"/>
      <c r="CE41" s="46"/>
      <c r="CF41" s="46"/>
      <c r="CG41" s="257"/>
      <c r="CH41" s="46"/>
      <c r="CI41" s="46"/>
      <c r="CJ41" s="46"/>
      <c r="CK41" s="46"/>
      <c r="CL41" s="46"/>
      <c r="CM41" s="257"/>
      <c r="CN41" s="46"/>
      <c r="CO41" s="376"/>
      <c r="CP41" s="257"/>
      <c r="CQ41" s="196" t="s">
        <v>227</v>
      </c>
      <c r="CR41" s="286" t="s">
        <v>639</v>
      </c>
      <c r="CS41" s="257">
        <f>CY41+DE41+DL41+DT41+EB41+EJ41+10000</f>
        <v>290000</v>
      </c>
      <c r="CT41" s="525"/>
      <c r="CU41" s="317"/>
      <c r="CV41" s="391">
        <f t="shared" si="4"/>
        <v>0</v>
      </c>
      <c r="CW41" s="41"/>
      <c r="CX41" s="41"/>
      <c r="CY41" s="256"/>
      <c r="CZ41" s="308"/>
      <c r="DA41" s="308"/>
      <c r="DB41" s="420"/>
      <c r="DC41" s="41"/>
      <c r="DD41" s="41"/>
      <c r="DE41" s="256"/>
      <c r="DF41" s="41"/>
      <c r="DG41" s="41"/>
      <c r="DH41" s="391"/>
      <c r="DI41" s="41">
        <v>7</v>
      </c>
      <c r="DJ41" s="41">
        <v>4</v>
      </c>
      <c r="DK41" s="203" t="s">
        <v>632</v>
      </c>
      <c r="DL41" s="256">
        <v>80000</v>
      </c>
      <c r="DM41" s="41"/>
      <c r="DN41" s="41"/>
      <c r="DO41" s="41"/>
      <c r="DP41" s="420"/>
      <c r="DQ41" s="41">
        <v>7</v>
      </c>
      <c r="DR41" s="41">
        <v>4</v>
      </c>
      <c r="DS41" s="203" t="s">
        <v>632</v>
      </c>
      <c r="DT41" s="256">
        <f>4*50000</f>
        <v>200000</v>
      </c>
      <c r="DU41" s="46"/>
      <c r="DV41" s="46"/>
      <c r="DW41" s="196"/>
      <c r="DX41" s="391"/>
      <c r="DY41" s="41"/>
      <c r="DZ41" s="41"/>
      <c r="EA41" s="41"/>
      <c r="EB41" s="69"/>
      <c r="EC41" s="41"/>
      <c r="ED41" s="41"/>
      <c r="EE41" s="41"/>
      <c r="EF41" s="420"/>
      <c r="EG41" s="41"/>
      <c r="EH41" s="41"/>
      <c r="EI41" s="41"/>
      <c r="EJ41" s="256"/>
      <c r="EK41" s="41"/>
      <c r="EL41" s="41"/>
      <c r="EM41" s="41"/>
      <c r="EN41" s="391"/>
    </row>
    <row r="42" spans="1:144" ht="25.5">
      <c r="A42" s="45">
        <v>35</v>
      </c>
      <c r="B42" s="53" t="s">
        <v>301</v>
      </c>
      <c r="C42" s="45">
        <v>1</v>
      </c>
      <c r="D42" s="55" t="s">
        <v>222</v>
      </c>
      <c r="E42" s="54">
        <v>6</v>
      </c>
      <c r="F42" s="54">
        <v>5</v>
      </c>
      <c r="G42" s="397">
        <f>279475.812/1000</f>
        <v>279.47581199999996</v>
      </c>
      <c r="H42" s="59">
        <v>279475.81199999998</v>
      </c>
      <c r="I42" s="59">
        <v>0</v>
      </c>
      <c r="J42" s="398">
        <v>353.88763000000006</v>
      </c>
      <c r="K42" s="414">
        <f t="shared" si="0"/>
        <v>633.36344200000008</v>
      </c>
      <c r="L42" s="397"/>
      <c r="M42" s="397"/>
      <c r="N42" s="397">
        <f t="shared" si="1"/>
        <v>633.36344200000008</v>
      </c>
      <c r="O42" s="399">
        <f t="shared" si="2"/>
        <v>0</v>
      </c>
      <c r="P42" s="196" t="s">
        <v>623</v>
      </c>
      <c r="Q42" s="46"/>
      <c r="R42" s="196"/>
      <c r="S42" s="257"/>
      <c r="T42" s="196"/>
      <c r="U42" s="46"/>
      <c r="V42" s="46"/>
      <c r="W42" s="257"/>
      <c r="X42" s="46"/>
      <c r="Y42" s="46"/>
      <c r="Z42" s="46"/>
      <c r="AA42" s="257"/>
      <c r="AB42" s="196"/>
      <c r="AC42" s="46"/>
      <c r="AD42" s="46"/>
      <c r="AE42" s="257"/>
      <c r="AF42" s="196"/>
      <c r="AG42" s="46"/>
      <c r="AH42" s="46"/>
      <c r="AI42" s="196"/>
      <c r="AJ42" s="400"/>
      <c r="AK42" s="196"/>
      <c r="AL42" s="46"/>
      <c r="AM42" s="218"/>
      <c r="AN42" s="257"/>
      <c r="AO42" s="196"/>
      <c r="AP42" s="46"/>
      <c r="AQ42" s="257"/>
      <c r="AR42" s="196"/>
      <c r="AS42" s="46"/>
      <c r="AT42" s="257"/>
      <c r="AU42" s="196"/>
      <c r="AV42" s="46"/>
      <c r="AW42" s="257"/>
      <c r="AX42" s="196"/>
      <c r="AY42" s="46"/>
      <c r="AZ42" s="257"/>
      <c r="BA42" s="46"/>
      <c r="BB42" s="46"/>
      <c r="BC42" s="46"/>
      <c r="BD42" s="46"/>
      <c r="BE42" s="46"/>
      <c r="BF42" s="257"/>
      <c r="BG42" s="46"/>
      <c r="BH42" s="46"/>
      <c r="BI42" s="46"/>
      <c r="BJ42" s="196"/>
      <c r="BK42" s="46"/>
      <c r="BL42" s="46"/>
      <c r="BM42" s="46"/>
      <c r="BN42" s="46"/>
      <c r="BO42" s="257"/>
      <c r="BP42" s="196"/>
      <c r="BQ42" s="46"/>
      <c r="BR42" s="257"/>
      <c r="BS42" s="46"/>
      <c r="BT42" s="46"/>
      <c r="BU42" s="257"/>
      <c r="BV42" s="196"/>
      <c r="BW42" s="46"/>
      <c r="BX42" s="46"/>
      <c r="BY42" s="46"/>
      <c r="BZ42" s="46"/>
      <c r="CA42" s="257"/>
      <c r="CB42" s="196"/>
      <c r="CC42" s="46"/>
      <c r="CD42" s="257"/>
      <c r="CE42" s="46"/>
      <c r="CF42" s="46"/>
      <c r="CG42" s="257"/>
      <c r="CH42" s="46"/>
      <c r="CI42" s="46"/>
      <c r="CJ42" s="46"/>
      <c r="CK42" s="46"/>
      <c r="CL42" s="46"/>
      <c r="CM42" s="257"/>
      <c r="CN42" s="46"/>
      <c r="CO42" s="376"/>
      <c r="CP42" s="257"/>
      <c r="CQ42" s="196"/>
      <c r="CR42" s="286"/>
      <c r="CS42" s="257">
        <f t="shared" si="3"/>
        <v>0</v>
      </c>
      <c r="CT42" s="196"/>
      <c r="CU42" s="317"/>
      <c r="CV42" s="391">
        <f t="shared" si="4"/>
        <v>0</v>
      </c>
      <c r="CW42" s="41"/>
      <c r="CX42" s="41"/>
      <c r="CY42" s="256"/>
      <c r="CZ42" s="308"/>
      <c r="DA42" s="308"/>
      <c r="DB42" s="420"/>
      <c r="DC42" s="41"/>
      <c r="DD42" s="41"/>
      <c r="DE42" s="256"/>
      <c r="DF42" s="41"/>
      <c r="DG42" s="41"/>
      <c r="DH42" s="391"/>
      <c r="DI42" s="41"/>
      <c r="DJ42" s="41"/>
      <c r="DK42" s="203"/>
      <c r="DL42" s="256"/>
      <c r="DM42" s="41"/>
      <c r="DN42" s="41"/>
      <c r="DO42" s="41"/>
      <c r="DP42" s="420"/>
      <c r="DQ42" s="41"/>
      <c r="DR42" s="41"/>
      <c r="DS42" s="203"/>
      <c r="DT42" s="256"/>
      <c r="DU42" s="46"/>
      <c r="DV42" s="46"/>
      <c r="DW42" s="196"/>
      <c r="DX42" s="391"/>
      <c r="DY42" s="41"/>
      <c r="DZ42" s="41"/>
      <c r="EA42" s="41"/>
      <c r="EB42" s="69"/>
      <c r="EC42" s="41"/>
      <c r="ED42" s="41"/>
      <c r="EE42" s="41"/>
      <c r="EF42" s="420"/>
      <c r="EG42" s="41"/>
      <c r="EH42" s="41"/>
      <c r="EI42" s="41"/>
      <c r="EJ42" s="256"/>
      <c r="EK42" s="41"/>
      <c r="EL42" s="41"/>
      <c r="EM42" s="41"/>
      <c r="EN42" s="391"/>
    </row>
    <row r="43" spans="1:144" ht="25.5">
      <c r="A43" s="45">
        <v>36</v>
      </c>
      <c r="B43" s="53" t="s">
        <v>301</v>
      </c>
      <c r="C43" s="45">
        <v>1</v>
      </c>
      <c r="D43" s="55" t="s">
        <v>765</v>
      </c>
      <c r="E43" s="54">
        <v>7</v>
      </c>
      <c r="F43" s="54">
        <v>5</v>
      </c>
      <c r="G43" s="397">
        <f>280340.676/1000</f>
        <v>280.34067599999997</v>
      </c>
      <c r="H43" s="59">
        <v>280340.67599999998</v>
      </c>
      <c r="I43" s="59">
        <v>0</v>
      </c>
      <c r="J43" s="398">
        <v>599.03291999999976</v>
      </c>
      <c r="K43" s="414">
        <f t="shared" si="0"/>
        <v>879.37359599999968</v>
      </c>
      <c r="L43" s="397"/>
      <c r="M43" s="397"/>
      <c r="N43" s="397">
        <f t="shared" si="1"/>
        <v>879.37359599999968</v>
      </c>
      <c r="O43" s="399">
        <f t="shared" si="2"/>
        <v>703.8</v>
      </c>
      <c r="P43" s="196" t="s">
        <v>228</v>
      </c>
      <c r="Q43" s="46">
        <v>2</v>
      </c>
      <c r="R43" s="196">
        <v>3.4</v>
      </c>
      <c r="S43" s="257">
        <v>360000</v>
      </c>
      <c r="T43" s="196"/>
      <c r="U43" s="46"/>
      <c r="V43" s="46"/>
      <c r="W43" s="257"/>
      <c r="X43" s="46"/>
      <c r="Y43" s="46"/>
      <c r="Z43" s="46"/>
      <c r="AA43" s="257"/>
      <c r="AB43" s="196"/>
      <c r="AC43" s="46"/>
      <c r="AD43" s="46"/>
      <c r="AE43" s="257"/>
      <c r="AF43" s="196"/>
      <c r="AG43" s="46"/>
      <c r="AH43" s="46"/>
      <c r="AI43" s="196"/>
      <c r="AJ43" s="400"/>
      <c r="AK43" s="196"/>
      <c r="AL43" s="46"/>
      <c r="AM43" s="218"/>
      <c r="AN43" s="257"/>
      <c r="AO43" s="196"/>
      <c r="AP43" s="46"/>
      <c r="AQ43" s="257"/>
      <c r="AR43" s="196"/>
      <c r="AS43" s="46"/>
      <c r="AT43" s="257"/>
      <c r="AU43" s="196"/>
      <c r="AV43" s="46"/>
      <c r="AW43" s="257"/>
      <c r="AX43" s="196"/>
      <c r="AY43" s="46"/>
      <c r="AZ43" s="257"/>
      <c r="BA43" s="46"/>
      <c r="BB43" s="46"/>
      <c r="BC43" s="46"/>
      <c r="BD43" s="46"/>
      <c r="BE43" s="46"/>
      <c r="BF43" s="257"/>
      <c r="BG43" s="46"/>
      <c r="BH43" s="46"/>
      <c r="BI43" s="46"/>
      <c r="BJ43" s="196"/>
      <c r="BK43" s="46"/>
      <c r="BL43" s="46"/>
      <c r="BM43" s="46"/>
      <c r="BN43" s="46"/>
      <c r="BO43" s="257"/>
      <c r="BP43" s="196"/>
      <c r="BQ43" s="46"/>
      <c r="BR43" s="257"/>
      <c r="BS43" s="46"/>
      <c r="BT43" s="46"/>
      <c r="BU43" s="257"/>
      <c r="BV43" s="196"/>
      <c r="BW43" s="46"/>
      <c r="BX43" s="46"/>
      <c r="BY43" s="46"/>
      <c r="BZ43" s="46"/>
      <c r="CA43" s="257"/>
      <c r="CB43" s="196" t="s">
        <v>226</v>
      </c>
      <c r="CC43" s="46">
        <v>166</v>
      </c>
      <c r="CD43" s="257">
        <f>CC43*1800</f>
        <v>298800</v>
      </c>
      <c r="CE43" s="46"/>
      <c r="CF43" s="46"/>
      <c r="CG43" s="257"/>
      <c r="CH43" s="46"/>
      <c r="CI43" s="46"/>
      <c r="CJ43" s="46"/>
      <c r="CK43" s="46"/>
      <c r="CL43" s="46"/>
      <c r="CM43" s="257"/>
      <c r="CN43" s="46"/>
      <c r="CO43" s="376"/>
      <c r="CP43" s="257"/>
      <c r="CQ43" s="218" t="s">
        <v>228</v>
      </c>
      <c r="CR43" s="286" t="s">
        <v>764</v>
      </c>
      <c r="CS43" s="257">
        <f t="shared" si="3"/>
        <v>45000</v>
      </c>
      <c r="CT43" s="196"/>
      <c r="CU43" s="317"/>
      <c r="CV43" s="391">
        <f t="shared" si="4"/>
        <v>0</v>
      </c>
      <c r="CW43" s="41"/>
      <c r="CX43" s="41"/>
      <c r="CY43" s="256"/>
      <c r="CZ43" s="308"/>
      <c r="DA43" s="308"/>
      <c r="DB43" s="420"/>
      <c r="DC43" s="41"/>
      <c r="DD43" s="41"/>
      <c r="DE43" s="256"/>
      <c r="DF43" s="41"/>
      <c r="DG43" s="41"/>
      <c r="DH43" s="391"/>
      <c r="DI43" s="41">
        <v>9</v>
      </c>
      <c r="DJ43" s="41">
        <v>3</v>
      </c>
      <c r="DK43" s="203" t="s">
        <v>529</v>
      </c>
      <c r="DL43" s="256">
        <v>45000</v>
      </c>
      <c r="DM43" s="41"/>
      <c r="DN43" s="41"/>
      <c r="DO43" s="41"/>
      <c r="DP43" s="420"/>
      <c r="DQ43" s="41"/>
      <c r="DR43" s="41"/>
      <c r="DS43" s="203"/>
      <c r="DT43" s="256"/>
      <c r="DU43" s="46"/>
      <c r="DV43" s="46"/>
      <c r="DW43" s="196"/>
      <c r="DX43" s="391"/>
      <c r="DY43" s="41"/>
      <c r="DZ43" s="41"/>
      <c r="EA43" s="41"/>
      <c r="EB43" s="69"/>
      <c r="EC43" s="41"/>
      <c r="ED43" s="41"/>
      <c r="EE43" s="41"/>
      <c r="EF43" s="420"/>
      <c r="EG43" s="41"/>
      <c r="EH43" s="41"/>
      <c r="EI43" s="41"/>
      <c r="EJ43" s="256"/>
      <c r="EK43" s="41"/>
      <c r="EL43" s="41"/>
      <c r="EM43" s="41"/>
      <c r="EN43" s="391"/>
    </row>
    <row r="44" spans="1:144" ht="137.65" customHeight="1">
      <c r="A44" s="45">
        <v>37</v>
      </c>
      <c r="B44" s="53" t="s">
        <v>301</v>
      </c>
      <c r="C44" s="45">
        <v>1</v>
      </c>
      <c r="D44" s="55" t="s">
        <v>223</v>
      </c>
      <c r="E44" s="54">
        <v>1</v>
      </c>
      <c r="F44" s="54">
        <v>2</v>
      </c>
      <c r="G44" s="397">
        <f>457278.624/1000</f>
        <v>457.27862400000004</v>
      </c>
      <c r="H44" s="59">
        <v>457278.62400000013</v>
      </c>
      <c r="I44" s="59">
        <v>0</v>
      </c>
      <c r="J44" s="398">
        <v>640.5631400000002</v>
      </c>
      <c r="K44" s="414">
        <f t="shared" si="0"/>
        <v>1097.8417640000002</v>
      </c>
      <c r="L44" s="397"/>
      <c r="M44" s="397"/>
      <c r="N44" s="397">
        <f t="shared" si="1"/>
        <v>1097.8417640000002</v>
      </c>
      <c r="O44" s="399">
        <f t="shared" si="2"/>
        <v>786.8</v>
      </c>
      <c r="P44" s="196"/>
      <c r="Q44" s="46"/>
      <c r="R44" s="196"/>
      <c r="S44" s="257"/>
      <c r="T44" s="46"/>
      <c r="U44" s="46"/>
      <c r="V44" s="46"/>
      <c r="W44" s="257"/>
      <c r="X44" s="46"/>
      <c r="Y44" s="46"/>
      <c r="Z44" s="46"/>
      <c r="AA44" s="257"/>
      <c r="AB44" s="196"/>
      <c r="AC44" s="46"/>
      <c r="AD44" s="196"/>
      <c r="AE44" s="257"/>
      <c r="AF44" s="196"/>
      <c r="AG44" s="46"/>
      <c r="AH44" s="46"/>
      <c r="AI44" s="196"/>
      <c r="AJ44" s="400"/>
      <c r="AK44" s="196"/>
      <c r="AL44" s="46"/>
      <c r="AM44" s="218"/>
      <c r="AN44" s="257"/>
      <c r="AO44" s="248" t="s">
        <v>254</v>
      </c>
      <c r="AP44" s="46" t="s">
        <v>679</v>
      </c>
      <c r="AQ44" s="257">
        <f>15*2000</f>
        <v>30000</v>
      </c>
      <c r="AR44" s="237"/>
      <c r="AS44" s="46"/>
      <c r="AT44" s="257"/>
      <c r="AU44" s="196"/>
      <c r="AV44" s="249"/>
      <c r="AW44" s="257"/>
      <c r="AX44" s="237"/>
      <c r="AY44" s="46"/>
      <c r="AZ44" s="257"/>
      <c r="BA44" s="46"/>
      <c r="BB44" s="46"/>
      <c r="BC44" s="46"/>
      <c r="BD44" s="46"/>
      <c r="BE44" s="46"/>
      <c r="BF44" s="257"/>
      <c r="BG44" s="46"/>
      <c r="BH44" s="46"/>
      <c r="BI44" s="46"/>
      <c r="BJ44" s="196"/>
      <c r="BK44" s="46"/>
      <c r="BL44" s="46"/>
      <c r="BM44" s="46"/>
      <c r="BN44" s="46"/>
      <c r="BO44" s="257"/>
      <c r="BP44" s="196" t="s">
        <v>225</v>
      </c>
      <c r="BQ44" s="167" t="s">
        <v>678</v>
      </c>
      <c r="BR44" s="257">
        <f>200*500</f>
        <v>100000</v>
      </c>
      <c r="BS44" s="46"/>
      <c r="BT44" s="46"/>
      <c r="BU44" s="257"/>
      <c r="BV44" s="196"/>
      <c r="BW44" s="46"/>
      <c r="BX44" s="46"/>
      <c r="BY44" s="46"/>
      <c r="BZ44" s="46"/>
      <c r="CA44" s="257"/>
      <c r="CB44" s="196" t="s">
        <v>254</v>
      </c>
      <c r="CC44" s="46">
        <v>106</v>
      </c>
      <c r="CD44" s="257">
        <f>CC44*1800</f>
        <v>190800</v>
      </c>
      <c r="CE44" s="46"/>
      <c r="CF44" s="46"/>
      <c r="CG44" s="257"/>
      <c r="CH44" s="46"/>
      <c r="CI44" s="46"/>
      <c r="CJ44" s="46"/>
      <c r="CK44" s="46"/>
      <c r="CL44" s="46"/>
      <c r="CM44" s="257"/>
      <c r="CN44" s="46"/>
      <c r="CO44" s="376"/>
      <c r="CP44" s="257"/>
      <c r="CQ44" s="218" t="s">
        <v>248</v>
      </c>
      <c r="CR44" s="286" t="s">
        <v>677</v>
      </c>
      <c r="CS44" s="257">
        <f>CY44+DE44+DL44+DT44+EB44+EJ44+25000+36000+5000+50000</f>
        <v>466000</v>
      </c>
      <c r="CT44" s="526" t="s">
        <v>523</v>
      </c>
      <c r="CU44" s="328" t="s">
        <v>780</v>
      </c>
      <c r="CV44" s="391">
        <f>DB44+DH44+DP44+DX44+EF44+EN44+10474.93</f>
        <v>10474.93</v>
      </c>
      <c r="CW44" s="41"/>
      <c r="CX44" s="41"/>
      <c r="CY44" s="256"/>
      <c r="CZ44" s="308"/>
      <c r="DA44" s="308"/>
      <c r="DB44" s="420"/>
      <c r="DC44" s="41">
        <v>8</v>
      </c>
      <c r="DD44" s="72" t="s">
        <v>676</v>
      </c>
      <c r="DE44" s="256">
        <v>300000</v>
      </c>
      <c r="DF44" s="41"/>
      <c r="DG44" s="41"/>
      <c r="DH44" s="391"/>
      <c r="DI44" s="41"/>
      <c r="DJ44" s="41"/>
      <c r="DK44" s="206"/>
      <c r="DL44" s="256"/>
      <c r="DM44" s="41"/>
      <c r="DN44" s="41"/>
      <c r="DO44" s="41"/>
      <c r="DP44" s="420"/>
      <c r="DQ44" s="41"/>
      <c r="DR44" s="41"/>
      <c r="DS44" s="203"/>
      <c r="DT44" s="256"/>
      <c r="DU44" s="46"/>
      <c r="DV44" s="46"/>
      <c r="DW44" s="196"/>
      <c r="DX44" s="391"/>
      <c r="DY44" s="41">
        <v>8</v>
      </c>
      <c r="DZ44" s="41">
        <v>2</v>
      </c>
      <c r="EA44" s="72">
        <v>36.69</v>
      </c>
      <c r="EB44" s="69">
        <v>50000</v>
      </c>
      <c r="EC44" s="41"/>
      <c r="ED44" s="41"/>
      <c r="EE44" s="41"/>
      <c r="EF44" s="420"/>
      <c r="EG44" s="41"/>
      <c r="EH44" s="41"/>
      <c r="EI44" s="41"/>
      <c r="EJ44" s="256"/>
      <c r="EK44" s="41"/>
      <c r="EL44" s="41"/>
      <c r="EM44" s="41"/>
      <c r="EN44" s="391"/>
    </row>
    <row r="45" spans="1:144">
      <c r="A45" s="45">
        <v>38</v>
      </c>
      <c r="B45" s="53" t="s">
        <v>360</v>
      </c>
      <c r="C45" s="45">
        <v>1</v>
      </c>
      <c r="D45" s="55" t="s">
        <v>223</v>
      </c>
      <c r="E45" s="54">
        <v>2</v>
      </c>
      <c r="F45" s="54">
        <v>2</v>
      </c>
      <c r="G45" s="397">
        <f>505813.824/1000</f>
        <v>505.81382400000001</v>
      </c>
      <c r="H45" s="59">
        <v>505813.82400000002</v>
      </c>
      <c r="I45" s="59">
        <v>0</v>
      </c>
      <c r="J45" s="398">
        <v>682.50714999999968</v>
      </c>
      <c r="K45" s="414">
        <f t="shared" si="0"/>
        <v>1188.3209739999998</v>
      </c>
      <c r="L45" s="397"/>
      <c r="M45" s="397"/>
      <c r="N45" s="397">
        <f t="shared" si="1"/>
        <v>1188.3209739999998</v>
      </c>
      <c r="O45" s="399">
        <f t="shared" si="2"/>
        <v>1171</v>
      </c>
      <c r="P45" s="196"/>
      <c r="Q45" s="46"/>
      <c r="R45" s="196"/>
      <c r="S45" s="257"/>
      <c r="T45" s="196"/>
      <c r="U45" s="46"/>
      <c r="V45" s="46"/>
      <c r="W45" s="257"/>
      <c r="X45" s="46"/>
      <c r="Y45" s="46"/>
      <c r="Z45" s="46"/>
      <c r="AA45" s="257"/>
      <c r="AB45" s="196"/>
      <c r="AC45" s="46"/>
      <c r="AD45" s="46"/>
      <c r="AE45" s="257"/>
      <c r="AF45" s="196" t="s">
        <v>247</v>
      </c>
      <c r="AG45" s="46" t="s">
        <v>310</v>
      </c>
      <c r="AH45" s="46">
        <v>250</v>
      </c>
      <c r="AI45" s="196" t="s">
        <v>680</v>
      </c>
      <c r="AJ45" s="400">
        <f>AH45*1700</f>
        <v>425000</v>
      </c>
      <c r="AK45" s="196"/>
      <c r="AL45" s="46"/>
      <c r="AM45" s="218"/>
      <c r="AN45" s="257"/>
      <c r="AO45" s="218"/>
      <c r="AP45" s="167"/>
      <c r="AQ45" s="524"/>
      <c r="AR45" s="196" t="s">
        <v>228</v>
      </c>
      <c r="AS45" s="46">
        <v>44</v>
      </c>
      <c r="AT45" s="257">
        <f>AS45*2500</f>
        <v>110000</v>
      </c>
      <c r="AU45" s="196" t="s">
        <v>227</v>
      </c>
      <c r="AV45" s="46">
        <v>212</v>
      </c>
      <c r="AW45" s="257">
        <f>AV45*3000</f>
        <v>636000</v>
      </c>
      <c r="AX45" s="196"/>
      <c r="AY45" s="46"/>
      <c r="AZ45" s="257"/>
      <c r="BA45" s="46"/>
      <c r="BB45" s="46"/>
      <c r="BC45" s="46"/>
      <c r="BD45" s="46"/>
      <c r="BE45" s="46"/>
      <c r="BF45" s="257"/>
      <c r="BG45" s="46"/>
      <c r="BH45" s="46"/>
      <c r="BI45" s="46"/>
      <c r="BJ45" s="196"/>
      <c r="BK45" s="46"/>
      <c r="BL45" s="46"/>
      <c r="BM45" s="46"/>
      <c r="BN45" s="46"/>
      <c r="BO45" s="257"/>
      <c r="BP45" s="196"/>
      <c r="BQ45" s="46"/>
      <c r="BR45" s="257"/>
      <c r="BS45" s="46"/>
      <c r="BT45" s="46"/>
      <c r="BU45" s="257"/>
      <c r="BV45" s="196"/>
      <c r="BW45" s="46"/>
      <c r="BX45" s="46"/>
      <c r="BY45" s="46"/>
      <c r="BZ45" s="46"/>
      <c r="CA45" s="257"/>
      <c r="CB45" s="196"/>
      <c r="CC45" s="46"/>
      <c r="CD45" s="257"/>
      <c r="CE45" s="46"/>
      <c r="CF45" s="46"/>
      <c r="CG45" s="257"/>
      <c r="CH45" s="46"/>
      <c r="CI45" s="46"/>
      <c r="CJ45" s="46"/>
      <c r="CK45" s="46"/>
      <c r="CL45" s="46"/>
      <c r="CM45" s="257"/>
      <c r="CN45" s="46"/>
      <c r="CO45" s="376"/>
      <c r="CP45" s="257"/>
      <c r="CQ45" s="218"/>
      <c r="CR45" s="286"/>
      <c r="CS45" s="257">
        <f t="shared" si="3"/>
        <v>0</v>
      </c>
      <c r="CT45" s="526"/>
      <c r="CU45" s="328"/>
      <c r="CV45" s="391">
        <f t="shared" si="4"/>
        <v>0</v>
      </c>
      <c r="CW45" s="41"/>
      <c r="CX45" s="41"/>
      <c r="CY45" s="256"/>
      <c r="CZ45" s="308"/>
      <c r="DA45" s="308"/>
      <c r="DB45" s="420"/>
      <c r="DC45" s="41"/>
      <c r="DD45" s="41"/>
      <c r="DE45" s="256"/>
      <c r="DF45" s="41"/>
      <c r="DG45" s="41"/>
      <c r="DH45" s="391"/>
      <c r="DI45" s="41"/>
      <c r="DJ45" s="41"/>
      <c r="DK45" s="203"/>
      <c r="DL45" s="256"/>
      <c r="DM45" s="41"/>
      <c r="DN45" s="41"/>
      <c r="DO45" s="41"/>
      <c r="DP45" s="420"/>
      <c r="DQ45" s="41"/>
      <c r="DR45" s="41"/>
      <c r="DS45" s="203"/>
      <c r="DT45" s="256"/>
      <c r="DU45" s="46"/>
      <c r="DV45" s="46"/>
      <c r="DW45" s="196"/>
      <c r="DX45" s="391"/>
      <c r="DY45" s="41"/>
      <c r="DZ45" s="41"/>
      <c r="EA45" s="41"/>
      <c r="EB45" s="69"/>
      <c r="EC45" s="41"/>
      <c r="ED45" s="41"/>
      <c r="EE45" s="41"/>
      <c r="EF45" s="420"/>
      <c r="EG45" s="41"/>
      <c r="EH45" s="41"/>
      <c r="EI45" s="41"/>
      <c r="EJ45" s="256"/>
      <c r="EK45" s="41"/>
      <c r="EL45" s="41"/>
      <c r="EM45" s="41"/>
      <c r="EN45" s="391"/>
    </row>
    <row r="46" spans="1:144" ht="72.75">
      <c r="A46" s="45">
        <v>39</v>
      </c>
      <c r="B46" s="53" t="s">
        <v>301</v>
      </c>
      <c r="C46" s="45">
        <v>1</v>
      </c>
      <c r="D46" s="55" t="s">
        <v>223</v>
      </c>
      <c r="E46" s="54">
        <v>3</v>
      </c>
      <c r="F46" s="54">
        <v>2</v>
      </c>
      <c r="G46" s="397">
        <f>599258.208/1000</f>
        <v>599.25820799999997</v>
      </c>
      <c r="H46" s="59">
        <v>599258.20799999987</v>
      </c>
      <c r="I46" s="59">
        <v>0</v>
      </c>
      <c r="J46" s="398">
        <v>1124.6669199999999</v>
      </c>
      <c r="K46" s="414">
        <f t="shared" si="0"/>
        <v>1723.9251279999999</v>
      </c>
      <c r="L46" s="397"/>
      <c r="M46" s="397"/>
      <c r="N46" s="397">
        <f t="shared" si="1"/>
        <v>1723.9251279999999</v>
      </c>
      <c r="O46" s="399">
        <f t="shared" si="2"/>
        <v>1614</v>
      </c>
      <c r="P46" s="196" t="s">
        <v>523</v>
      </c>
      <c r="Q46" s="46">
        <v>3</v>
      </c>
      <c r="R46" s="196" t="s">
        <v>529</v>
      </c>
      <c r="S46" s="257">
        <f>450000*3</f>
        <v>1350000</v>
      </c>
      <c r="T46" s="196"/>
      <c r="U46" s="46"/>
      <c r="V46" s="46"/>
      <c r="W46" s="257"/>
      <c r="X46" s="46"/>
      <c r="Y46" s="46"/>
      <c r="Z46" s="46"/>
      <c r="AA46" s="257"/>
      <c r="AB46" s="196"/>
      <c r="AC46" s="46"/>
      <c r="AD46" s="196"/>
      <c r="AE46" s="257"/>
      <c r="AF46" s="196"/>
      <c r="AG46" s="46"/>
      <c r="AH46" s="46"/>
      <c r="AI46" s="196"/>
      <c r="AJ46" s="400"/>
      <c r="AK46" s="196"/>
      <c r="AL46" s="46"/>
      <c r="AM46" s="218"/>
      <c r="AN46" s="257"/>
      <c r="AO46" s="248"/>
      <c r="AP46" s="46"/>
      <c r="AQ46" s="257"/>
      <c r="AR46" s="248"/>
      <c r="AS46" s="46"/>
      <c r="AT46" s="257"/>
      <c r="AU46" s="248"/>
      <c r="AV46" s="46"/>
      <c r="AW46" s="257"/>
      <c r="AX46" s="248"/>
      <c r="AY46" s="46"/>
      <c r="AZ46" s="257"/>
      <c r="BA46" s="46"/>
      <c r="BB46" s="46"/>
      <c r="BC46" s="46"/>
      <c r="BD46" s="46"/>
      <c r="BE46" s="46"/>
      <c r="BF46" s="257"/>
      <c r="BG46" s="46"/>
      <c r="BH46" s="46"/>
      <c r="BI46" s="46"/>
      <c r="BJ46" s="196"/>
      <c r="BK46" s="46"/>
      <c r="BL46" s="46"/>
      <c r="BM46" s="46"/>
      <c r="BN46" s="46"/>
      <c r="BO46" s="257"/>
      <c r="BP46" s="248"/>
      <c r="BQ46" s="167"/>
      <c r="BR46" s="257"/>
      <c r="BS46" s="46"/>
      <c r="BT46" s="46"/>
      <c r="BU46" s="257"/>
      <c r="BV46" s="196"/>
      <c r="BW46" s="46"/>
      <c r="BX46" s="46"/>
      <c r="BY46" s="46"/>
      <c r="BZ46" s="46"/>
      <c r="CA46" s="257"/>
      <c r="CB46" s="196"/>
      <c r="CC46" s="46"/>
      <c r="CD46" s="257"/>
      <c r="CE46" s="46"/>
      <c r="CF46" s="46"/>
      <c r="CG46" s="257"/>
      <c r="CH46" s="46"/>
      <c r="CI46" s="46"/>
      <c r="CJ46" s="46"/>
      <c r="CK46" s="46"/>
      <c r="CL46" s="46"/>
      <c r="CM46" s="257"/>
      <c r="CN46" s="46"/>
      <c r="CO46" s="286"/>
      <c r="CP46" s="257"/>
      <c r="CQ46" s="196" t="s">
        <v>791</v>
      </c>
      <c r="CR46" s="286" t="s">
        <v>681</v>
      </c>
      <c r="CS46" s="257">
        <f>CY46+DE46+DL46+DT46+EB46+EJ46+70*2000+3*18000</f>
        <v>264000</v>
      </c>
      <c r="CT46" s="218"/>
      <c r="CU46" s="317"/>
      <c r="CV46" s="391">
        <f t="shared" si="4"/>
        <v>0</v>
      </c>
      <c r="CW46" s="41"/>
      <c r="CX46" s="41"/>
      <c r="CY46" s="256"/>
      <c r="CZ46" s="308"/>
      <c r="DA46" s="308"/>
      <c r="DB46" s="420"/>
      <c r="DC46" s="41"/>
      <c r="DD46" s="41"/>
      <c r="DE46" s="256"/>
      <c r="DF46" s="41"/>
      <c r="DG46" s="41"/>
      <c r="DH46" s="391"/>
      <c r="DI46" s="41"/>
      <c r="DJ46" s="41"/>
      <c r="DK46" s="203"/>
      <c r="DL46" s="256"/>
      <c r="DM46" s="41"/>
      <c r="DN46" s="41"/>
      <c r="DO46" s="41"/>
      <c r="DP46" s="420"/>
      <c r="DQ46" s="41">
        <v>5</v>
      </c>
      <c r="DR46" s="41">
        <v>3</v>
      </c>
      <c r="DS46" s="203" t="s">
        <v>529</v>
      </c>
      <c r="DT46" s="256">
        <v>45000</v>
      </c>
      <c r="DU46" s="46"/>
      <c r="DV46" s="46"/>
      <c r="DW46" s="196"/>
      <c r="DX46" s="391"/>
      <c r="DY46" s="41">
        <v>9</v>
      </c>
      <c r="DZ46" s="41">
        <v>1</v>
      </c>
      <c r="EA46" s="41">
        <v>107</v>
      </c>
      <c r="EB46" s="69">
        <v>25000</v>
      </c>
      <c r="EC46" s="41"/>
      <c r="ED46" s="41"/>
      <c r="EE46" s="41"/>
      <c r="EF46" s="420"/>
      <c r="EG46" s="41"/>
      <c r="EH46" s="41"/>
      <c r="EI46" s="41"/>
      <c r="EJ46" s="256"/>
      <c r="EK46" s="41"/>
      <c r="EL46" s="41"/>
      <c r="EM46" s="41"/>
      <c r="EN46" s="391"/>
    </row>
    <row r="47" spans="1:144" ht="146.25" customHeight="1">
      <c r="A47" s="45">
        <v>40</v>
      </c>
      <c r="B47" s="53" t="s">
        <v>301</v>
      </c>
      <c r="C47" s="45">
        <v>1</v>
      </c>
      <c r="D47" s="55" t="s">
        <v>223</v>
      </c>
      <c r="E47" s="54">
        <v>7</v>
      </c>
      <c r="F47" s="54">
        <v>2</v>
      </c>
      <c r="G47" s="397">
        <f>400782.624/1000</f>
        <v>400.782624</v>
      </c>
      <c r="H47" s="59">
        <v>400782.62399999995</v>
      </c>
      <c r="I47" s="59">
        <v>0</v>
      </c>
      <c r="J47" s="398">
        <v>-62.132849999999848</v>
      </c>
      <c r="K47" s="414">
        <f t="shared" si="0"/>
        <v>338.64977400000015</v>
      </c>
      <c r="L47" s="397"/>
      <c r="M47" s="397"/>
      <c r="N47" s="397">
        <f t="shared" si="1"/>
        <v>338.64977400000015</v>
      </c>
      <c r="O47" s="399">
        <f t="shared" si="2"/>
        <v>330</v>
      </c>
      <c r="P47" s="196"/>
      <c r="Q47" s="46"/>
      <c r="R47" s="196"/>
      <c r="S47" s="257"/>
      <c r="T47" s="196"/>
      <c r="U47" s="46"/>
      <c r="V47" s="46"/>
      <c r="W47" s="257"/>
      <c r="X47" s="46"/>
      <c r="Y47" s="46"/>
      <c r="Z47" s="46"/>
      <c r="AA47" s="257"/>
      <c r="AB47" s="196"/>
      <c r="AC47" s="46"/>
      <c r="AD47" s="46"/>
      <c r="AE47" s="257"/>
      <c r="AF47" s="196"/>
      <c r="AG47" s="46"/>
      <c r="AH47" s="46"/>
      <c r="AI47" s="196"/>
      <c r="AJ47" s="400"/>
      <c r="AK47" s="196"/>
      <c r="AL47" s="46"/>
      <c r="AM47" s="218"/>
      <c r="AN47" s="257"/>
      <c r="AO47" s="196"/>
      <c r="AP47" s="46"/>
      <c r="AQ47" s="257"/>
      <c r="AR47" s="196" t="s">
        <v>226</v>
      </c>
      <c r="AS47" s="190" t="s">
        <v>559</v>
      </c>
      <c r="AT47" s="257">
        <v>250000</v>
      </c>
      <c r="AU47" s="196"/>
      <c r="AV47" s="46"/>
      <c r="AW47" s="257"/>
      <c r="AX47" s="196"/>
      <c r="AY47" s="46"/>
      <c r="AZ47" s="257"/>
      <c r="BA47" s="46"/>
      <c r="BB47" s="46"/>
      <c r="BC47" s="46"/>
      <c r="BD47" s="46"/>
      <c r="BE47" s="46"/>
      <c r="BF47" s="257"/>
      <c r="BG47" s="46"/>
      <c r="BH47" s="46"/>
      <c r="BI47" s="46"/>
      <c r="BJ47" s="196"/>
      <c r="BK47" s="46"/>
      <c r="BL47" s="46"/>
      <c r="BM47" s="46"/>
      <c r="BN47" s="46"/>
      <c r="BO47" s="257"/>
      <c r="BP47" s="196" t="s">
        <v>225</v>
      </c>
      <c r="BQ47" s="190" t="s">
        <v>682</v>
      </c>
      <c r="BR47" s="257">
        <f>200*400</f>
        <v>80000</v>
      </c>
      <c r="BS47" s="46"/>
      <c r="BT47" s="46"/>
      <c r="BU47" s="257"/>
      <c r="BV47" s="196"/>
      <c r="BW47" s="46"/>
      <c r="BX47" s="46"/>
      <c r="BY47" s="46"/>
      <c r="BZ47" s="46"/>
      <c r="CA47" s="257"/>
      <c r="CB47" s="196"/>
      <c r="CC47" s="46"/>
      <c r="CD47" s="257"/>
      <c r="CE47" s="46"/>
      <c r="CF47" s="46"/>
      <c r="CG47" s="257"/>
      <c r="CH47" s="46"/>
      <c r="CI47" s="46"/>
      <c r="CJ47" s="46"/>
      <c r="CK47" s="46"/>
      <c r="CL47" s="46"/>
      <c r="CM47" s="257"/>
      <c r="CN47" s="46"/>
      <c r="CO47" s="376"/>
      <c r="CP47" s="257"/>
      <c r="CQ47" s="196"/>
      <c r="CS47" s="257">
        <f t="shared" si="3"/>
        <v>0</v>
      </c>
      <c r="CT47" s="387"/>
      <c r="CU47" s="317"/>
      <c r="CV47" s="391">
        <f t="shared" si="4"/>
        <v>0</v>
      </c>
      <c r="CW47" s="41"/>
      <c r="CX47" s="41"/>
      <c r="CY47" s="256"/>
      <c r="CZ47" s="308"/>
      <c r="DA47" s="308"/>
      <c r="DB47" s="420"/>
      <c r="DC47" s="41"/>
      <c r="DD47" s="41"/>
      <c r="DE47" s="256"/>
      <c r="DF47" s="41"/>
      <c r="DG47" s="41"/>
      <c r="DH47" s="391"/>
      <c r="DI47" s="41"/>
      <c r="DJ47" s="41"/>
      <c r="DK47" s="203"/>
      <c r="DL47" s="256"/>
      <c r="DM47" s="41"/>
      <c r="DN47" s="41"/>
      <c r="DO47" s="41"/>
      <c r="DP47" s="420"/>
      <c r="DQ47" s="41"/>
      <c r="DR47" s="41"/>
      <c r="DS47" s="203"/>
      <c r="DT47" s="256"/>
      <c r="DU47" s="46"/>
      <c r="DV47" s="46"/>
      <c r="DW47" s="196"/>
      <c r="DX47" s="391"/>
      <c r="DY47" s="41"/>
      <c r="DZ47" s="41"/>
      <c r="EA47" s="41"/>
      <c r="EB47" s="69"/>
      <c r="EC47" s="41"/>
      <c r="ED47" s="41"/>
      <c r="EE47" s="41"/>
      <c r="EF47" s="420"/>
      <c r="EG47" s="41"/>
      <c r="EH47" s="41"/>
      <c r="EI47" s="41"/>
      <c r="EJ47" s="256"/>
      <c r="EK47" s="41"/>
      <c r="EL47" s="41"/>
      <c r="EM47" s="41"/>
      <c r="EN47" s="391"/>
    </row>
    <row r="48" spans="1:144" ht="25.5">
      <c r="A48" s="45">
        <v>41</v>
      </c>
      <c r="B48" s="53" t="s">
        <v>301</v>
      </c>
      <c r="C48" s="45">
        <v>1</v>
      </c>
      <c r="D48" s="55" t="s">
        <v>223</v>
      </c>
      <c r="E48" s="54">
        <v>9</v>
      </c>
      <c r="F48" s="54">
        <v>2</v>
      </c>
      <c r="G48" s="397">
        <f>408774.24/1000</f>
        <v>408.77423999999996</v>
      </c>
      <c r="H48" s="59">
        <v>408774.24000000005</v>
      </c>
      <c r="I48" s="59">
        <v>0</v>
      </c>
      <c r="J48" s="398">
        <v>314.84960999999998</v>
      </c>
      <c r="K48" s="414">
        <f t="shared" si="0"/>
        <v>723.62384999999995</v>
      </c>
      <c r="L48" s="397"/>
      <c r="M48" s="397"/>
      <c r="N48" s="397">
        <f t="shared" si="1"/>
        <v>723.62384999999995</v>
      </c>
      <c r="O48" s="399">
        <f t="shared" si="2"/>
        <v>730</v>
      </c>
      <c r="P48" s="196" t="s">
        <v>701</v>
      </c>
      <c r="Q48" s="46">
        <v>2</v>
      </c>
      <c r="R48" s="368" t="s">
        <v>683</v>
      </c>
      <c r="S48" s="257">
        <f>450000+200000</f>
        <v>650000</v>
      </c>
      <c r="T48" s="196"/>
      <c r="U48" s="46"/>
      <c r="V48" s="46"/>
      <c r="W48" s="257"/>
      <c r="X48" s="46"/>
      <c r="Y48" s="46"/>
      <c r="Z48" s="46"/>
      <c r="AA48" s="257"/>
      <c r="AB48" s="196"/>
      <c r="AC48" s="46"/>
      <c r="AD48" s="46"/>
      <c r="AE48" s="257"/>
      <c r="AF48" s="196"/>
      <c r="AG48" s="46"/>
      <c r="AH48" s="46"/>
      <c r="AI48" s="196"/>
      <c r="AJ48" s="400"/>
      <c r="AK48" s="196"/>
      <c r="AL48" s="46"/>
      <c r="AM48" s="218"/>
      <c r="AN48" s="257"/>
      <c r="AO48" s="196"/>
      <c r="AP48" s="46"/>
      <c r="AQ48" s="257"/>
      <c r="AR48" s="196"/>
      <c r="AS48" s="46"/>
      <c r="AT48" s="257"/>
      <c r="AU48" s="196"/>
      <c r="AV48" s="167"/>
      <c r="AW48" s="257"/>
      <c r="AX48" s="196"/>
      <c r="AY48" s="46"/>
      <c r="AZ48" s="257"/>
      <c r="BA48" s="46"/>
      <c r="BB48" s="46"/>
      <c r="BC48" s="46"/>
      <c r="BD48" s="46"/>
      <c r="BE48" s="46"/>
      <c r="BF48" s="257"/>
      <c r="BG48" s="46"/>
      <c r="BH48" s="46"/>
      <c r="BI48" s="46"/>
      <c r="BJ48" s="196"/>
      <c r="BK48" s="46"/>
      <c r="BL48" s="46"/>
      <c r="BM48" s="46"/>
      <c r="BN48" s="46"/>
      <c r="BO48" s="257"/>
      <c r="BP48" s="196"/>
      <c r="BQ48" s="46"/>
      <c r="BR48" s="257"/>
      <c r="BS48" s="46"/>
      <c r="BT48" s="46"/>
      <c r="BU48" s="257"/>
      <c r="BV48" s="196"/>
      <c r="BW48" s="46"/>
      <c r="BX48" s="46"/>
      <c r="BY48" s="46"/>
      <c r="BZ48" s="46"/>
      <c r="CA48" s="257"/>
      <c r="CB48" s="196"/>
      <c r="CC48" s="46"/>
      <c r="CD48" s="257"/>
      <c r="CE48" s="46"/>
      <c r="CF48" s="46"/>
      <c r="CG48" s="257"/>
      <c r="CH48" s="46"/>
      <c r="CI48" s="46"/>
      <c r="CJ48" s="46"/>
      <c r="CK48" s="46"/>
      <c r="CL48" s="46"/>
      <c r="CM48" s="257"/>
      <c r="CN48" s="46"/>
      <c r="CO48" s="376"/>
      <c r="CP48" s="257"/>
      <c r="CQ48" s="196"/>
      <c r="CR48" s="286" t="s">
        <v>554</v>
      </c>
      <c r="CS48" s="257">
        <f>CY48+DE48+DL48+DT48+EB48+EJ48+80000</f>
        <v>80000</v>
      </c>
      <c r="CT48" s="218" t="s">
        <v>523</v>
      </c>
      <c r="CU48" s="317" t="s">
        <v>603</v>
      </c>
      <c r="CV48" s="391">
        <f>DB48+DH48+DP48+DX48+EF48+EN48+26342.3</f>
        <v>26342.3</v>
      </c>
      <c r="CW48" s="41"/>
      <c r="CX48" s="41"/>
      <c r="CY48" s="256"/>
      <c r="CZ48" s="308"/>
      <c r="DA48" s="308"/>
      <c r="DB48" s="420"/>
      <c r="DC48" s="41"/>
      <c r="DD48" s="41"/>
      <c r="DE48" s="256"/>
      <c r="DF48" s="41"/>
      <c r="DG48" s="41"/>
      <c r="DH48" s="391"/>
      <c r="DI48" s="41"/>
      <c r="DJ48" s="41"/>
      <c r="DK48" s="203"/>
      <c r="DL48" s="256"/>
      <c r="DM48" s="41"/>
      <c r="DN48" s="41"/>
      <c r="DO48" s="41"/>
      <c r="DP48" s="420"/>
      <c r="DQ48" s="41"/>
      <c r="DR48" s="41"/>
      <c r="DS48" s="203"/>
      <c r="DT48" s="256"/>
      <c r="DU48" s="46"/>
      <c r="DV48" s="46"/>
      <c r="DW48" s="196"/>
      <c r="DX48" s="391"/>
      <c r="DY48" s="41"/>
      <c r="DZ48" s="41"/>
      <c r="EA48" s="41"/>
      <c r="EB48" s="69"/>
      <c r="EC48" s="41"/>
      <c r="ED48" s="41"/>
      <c r="EE48" s="41"/>
      <c r="EF48" s="420"/>
      <c r="EG48" s="41"/>
      <c r="EH48" s="41"/>
      <c r="EI48" s="41"/>
      <c r="EJ48" s="256"/>
      <c r="EK48" s="41"/>
      <c r="EL48" s="41"/>
      <c r="EM48" s="41"/>
      <c r="EN48" s="391"/>
    </row>
    <row r="49" spans="1:144" ht="126.75" customHeight="1">
      <c r="A49" s="45">
        <v>42</v>
      </c>
      <c r="B49" s="53" t="s">
        <v>301</v>
      </c>
      <c r="C49" s="45">
        <v>1</v>
      </c>
      <c r="D49" s="55" t="s">
        <v>223</v>
      </c>
      <c r="E49" s="54">
        <v>14</v>
      </c>
      <c r="F49" s="54">
        <v>2</v>
      </c>
      <c r="G49" s="397">
        <f>397320.96/1000</f>
        <v>397.32096000000001</v>
      </c>
      <c r="H49" s="59">
        <v>397320.96000000002</v>
      </c>
      <c r="I49" s="59">
        <v>0</v>
      </c>
      <c r="J49" s="398">
        <v>767.86146000000008</v>
      </c>
      <c r="K49" s="414">
        <f t="shared" si="0"/>
        <v>1165.1824200000001</v>
      </c>
      <c r="L49" s="397"/>
      <c r="M49" s="397"/>
      <c r="N49" s="397">
        <f t="shared" si="1"/>
        <v>1165.1824200000001</v>
      </c>
      <c r="O49" s="399">
        <f t="shared" si="2"/>
        <v>932.4</v>
      </c>
      <c r="P49" s="196"/>
      <c r="Q49" s="46"/>
      <c r="R49" s="218"/>
      <c r="S49" s="257"/>
      <c r="T49" s="196"/>
      <c r="U49" s="46"/>
      <c r="V49" s="46"/>
      <c r="W49" s="257"/>
      <c r="X49" s="46"/>
      <c r="Y49" s="46"/>
      <c r="Z49" s="46"/>
      <c r="AA49" s="257"/>
      <c r="AB49" s="196"/>
      <c r="AC49" s="46"/>
      <c r="AD49" s="46"/>
      <c r="AE49" s="257"/>
      <c r="AF49" s="196" t="s">
        <v>227</v>
      </c>
      <c r="AG49" s="46" t="s">
        <v>310</v>
      </c>
      <c r="AH49" s="46">
        <v>400</v>
      </c>
      <c r="AI49" s="196" t="s">
        <v>522</v>
      </c>
      <c r="AJ49" s="400">
        <f>AH49*1700</f>
        <v>680000</v>
      </c>
      <c r="AK49" s="196"/>
      <c r="AL49" s="46"/>
      <c r="AM49" s="218"/>
      <c r="AN49" s="257"/>
      <c r="AO49" s="196"/>
      <c r="AP49" s="46"/>
      <c r="AQ49" s="257"/>
      <c r="AR49" s="196"/>
      <c r="AS49" s="46"/>
      <c r="AT49" s="257"/>
      <c r="AU49" s="196"/>
      <c r="AV49" s="46"/>
      <c r="AW49" s="257"/>
      <c r="AX49" s="196"/>
      <c r="AY49" s="46"/>
      <c r="AZ49" s="257"/>
      <c r="BA49" s="46"/>
      <c r="BB49" s="46"/>
      <c r="BC49" s="46"/>
      <c r="BD49" s="46"/>
      <c r="BE49" s="46"/>
      <c r="BF49" s="257"/>
      <c r="BG49" s="46"/>
      <c r="BH49" s="46"/>
      <c r="BI49" s="46"/>
      <c r="BJ49" s="196"/>
      <c r="BK49" s="46"/>
      <c r="BL49" s="46"/>
      <c r="BM49" s="46"/>
      <c r="BN49" s="46"/>
      <c r="BO49" s="257"/>
      <c r="BP49" s="196" t="s">
        <v>225</v>
      </c>
      <c r="BQ49" s="46" t="s">
        <v>522</v>
      </c>
      <c r="BR49" s="257">
        <v>100000</v>
      </c>
      <c r="BS49" s="46"/>
      <c r="BT49" s="46"/>
      <c r="BU49" s="257"/>
      <c r="BV49" s="196"/>
      <c r="BW49" s="46"/>
      <c r="BX49" s="46"/>
      <c r="BY49" s="46"/>
      <c r="BZ49" s="46"/>
      <c r="CA49" s="257"/>
      <c r="CB49" s="196"/>
      <c r="CC49" s="46"/>
      <c r="CD49" s="257"/>
      <c r="CE49" s="46"/>
      <c r="CF49" s="46"/>
      <c r="CG49" s="257"/>
      <c r="CH49" s="46"/>
      <c r="CI49" s="46"/>
      <c r="CJ49" s="46"/>
      <c r="CK49" s="46"/>
      <c r="CL49" s="46"/>
      <c r="CM49" s="257"/>
      <c r="CN49" s="46"/>
      <c r="CO49" s="376"/>
      <c r="CP49" s="257"/>
      <c r="CQ49" s="218" t="s">
        <v>228</v>
      </c>
      <c r="CR49" s="286" t="s">
        <v>684</v>
      </c>
      <c r="CS49" s="257">
        <f>CY49+DE49+DL49+DT49+EB49+EJ49+20000+15000+18000+9*1600+2*2500+30*2500</f>
        <v>152400</v>
      </c>
      <c r="CT49" s="218"/>
      <c r="CU49" s="317"/>
      <c r="CV49" s="391">
        <f t="shared" si="4"/>
        <v>0</v>
      </c>
      <c r="CW49" s="41"/>
      <c r="CX49" s="41"/>
      <c r="CY49" s="256"/>
      <c r="CZ49" s="308"/>
      <c r="DA49" s="308"/>
      <c r="DB49" s="420"/>
      <c r="DC49" s="41"/>
      <c r="DD49" s="41"/>
      <c r="DE49" s="256"/>
      <c r="DF49" s="41"/>
      <c r="DG49" s="41"/>
      <c r="DH49" s="391"/>
      <c r="DI49" s="41"/>
      <c r="DJ49" s="41"/>
      <c r="DK49" s="203"/>
      <c r="DL49" s="256"/>
      <c r="DM49" s="41"/>
      <c r="DN49" s="41"/>
      <c r="DO49" s="41"/>
      <c r="DP49" s="420"/>
      <c r="DQ49" s="41"/>
      <c r="DR49" s="41"/>
      <c r="DS49" s="203"/>
      <c r="DT49" s="256"/>
      <c r="DU49" s="46"/>
      <c r="DV49" s="46"/>
      <c r="DW49" s="196"/>
      <c r="DX49" s="391"/>
      <c r="DY49" s="41"/>
      <c r="DZ49" s="41"/>
      <c r="EA49" s="41"/>
      <c r="EB49" s="69"/>
      <c r="EC49" s="41"/>
      <c r="ED49" s="41"/>
      <c r="EE49" s="41"/>
      <c r="EF49" s="420"/>
      <c r="EG49" s="41">
        <v>9</v>
      </c>
      <c r="EH49" s="41">
        <v>1</v>
      </c>
      <c r="EI49" s="41">
        <v>1</v>
      </c>
      <c r="EJ49" s="256">
        <v>5000</v>
      </c>
      <c r="EK49" s="41"/>
      <c r="EL49" s="41"/>
      <c r="EM49" s="41"/>
      <c r="EN49" s="391"/>
    </row>
    <row r="50" spans="1:144" ht="36.75">
      <c r="A50" s="45">
        <v>43</v>
      </c>
      <c r="B50" s="53" t="s">
        <v>301</v>
      </c>
      <c r="C50" s="45">
        <v>1</v>
      </c>
      <c r="D50" s="55" t="s">
        <v>223</v>
      </c>
      <c r="E50" s="54">
        <v>15</v>
      </c>
      <c r="F50" s="54">
        <v>2</v>
      </c>
      <c r="G50" s="397">
        <f>409287.84/1000</f>
        <v>409.28784000000002</v>
      </c>
      <c r="H50" s="59">
        <v>409287.84000000008</v>
      </c>
      <c r="I50" s="59">
        <v>0</v>
      </c>
      <c r="J50" s="398">
        <v>669.70936000000029</v>
      </c>
      <c r="K50" s="414">
        <f t="shared" si="0"/>
        <v>1078.9972000000002</v>
      </c>
      <c r="L50" s="397"/>
      <c r="M50" s="397"/>
      <c r="N50" s="397">
        <f t="shared" si="1"/>
        <v>1078.9972000000002</v>
      </c>
      <c r="O50" s="399">
        <f t="shared" si="2"/>
        <v>915.8</v>
      </c>
      <c r="P50" s="196"/>
      <c r="Q50" s="46"/>
      <c r="R50" s="196"/>
      <c r="S50" s="257"/>
      <c r="T50" s="196"/>
      <c r="U50" s="46"/>
      <c r="V50" s="46"/>
      <c r="W50" s="257"/>
      <c r="X50" s="46"/>
      <c r="Y50" s="46"/>
      <c r="Z50" s="46"/>
      <c r="AA50" s="257"/>
      <c r="AB50" s="196"/>
      <c r="AC50" s="46"/>
      <c r="AD50" s="46"/>
      <c r="AE50" s="257"/>
      <c r="AF50" s="196" t="s">
        <v>248</v>
      </c>
      <c r="AG50" s="46" t="s">
        <v>310</v>
      </c>
      <c r="AH50" s="46">
        <v>400</v>
      </c>
      <c r="AI50" s="196" t="s">
        <v>680</v>
      </c>
      <c r="AJ50" s="400">
        <f>AH50*1700</f>
        <v>680000</v>
      </c>
      <c r="AK50" s="196"/>
      <c r="AL50" s="46"/>
      <c r="AM50" s="218"/>
      <c r="AN50" s="257"/>
      <c r="AO50" s="218"/>
      <c r="AP50" s="167"/>
      <c r="AQ50" s="524"/>
      <c r="AR50" s="196"/>
      <c r="AS50" s="46"/>
      <c r="AT50" s="257"/>
      <c r="AU50" s="196"/>
      <c r="AV50" s="46"/>
      <c r="AW50" s="257"/>
      <c r="AX50" s="196"/>
      <c r="AY50" s="46"/>
      <c r="AZ50" s="257"/>
      <c r="BA50" s="46"/>
      <c r="BB50" s="46"/>
      <c r="BC50" s="46"/>
      <c r="BD50" s="46"/>
      <c r="BE50" s="46"/>
      <c r="BF50" s="257"/>
      <c r="BG50" s="46"/>
      <c r="BH50" s="46"/>
      <c r="BI50" s="46"/>
      <c r="BJ50" s="196"/>
      <c r="BK50" s="46"/>
      <c r="BL50" s="46"/>
      <c r="BM50" s="46"/>
      <c r="BN50" s="46"/>
      <c r="BO50" s="257"/>
      <c r="BP50" s="196"/>
      <c r="BQ50" s="46"/>
      <c r="BR50" s="257"/>
      <c r="BS50" s="46"/>
      <c r="BT50" s="46"/>
      <c r="BU50" s="257"/>
      <c r="BV50" s="196"/>
      <c r="BW50" s="46"/>
      <c r="BX50" s="46"/>
      <c r="BY50" s="46"/>
      <c r="BZ50" s="46"/>
      <c r="CA50" s="257"/>
      <c r="CB50" s="196" t="s">
        <v>228</v>
      </c>
      <c r="CC50" s="46">
        <v>106</v>
      </c>
      <c r="CD50" s="257">
        <f>CC50*1800</f>
        <v>190800</v>
      </c>
      <c r="CE50" s="46"/>
      <c r="CF50" s="46"/>
      <c r="CG50" s="257"/>
      <c r="CH50" s="46"/>
      <c r="CI50" s="46"/>
      <c r="CJ50" s="46"/>
      <c r="CK50" s="46"/>
      <c r="CL50" s="46"/>
      <c r="CM50" s="257"/>
      <c r="CN50" s="46"/>
      <c r="CO50" s="376"/>
      <c r="CP50" s="257"/>
      <c r="CQ50" s="196" t="s">
        <v>228</v>
      </c>
      <c r="CR50" s="286" t="s">
        <v>810</v>
      </c>
      <c r="CS50" s="257">
        <f t="shared" si="3"/>
        <v>45000</v>
      </c>
      <c r="CT50" s="196"/>
      <c r="CU50" s="317"/>
      <c r="CV50" s="391">
        <f t="shared" si="4"/>
        <v>0</v>
      </c>
      <c r="CW50" s="41"/>
      <c r="CX50" s="41"/>
      <c r="CY50" s="256"/>
      <c r="CZ50" s="308"/>
      <c r="DA50" s="308"/>
      <c r="DB50" s="420"/>
      <c r="DC50" s="41"/>
      <c r="DD50" s="41"/>
      <c r="DE50" s="256"/>
      <c r="DF50" s="41"/>
      <c r="DG50" s="41"/>
      <c r="DH50" s="391"/>
      <c r="DI50" s="41"/>
      <c r="DJ50" s="41"/>
      <c r="DK50" s="203"/>
      <c r="DL50" s="256"/>
      <c r="DM50" s="41"/>
      <c r="DN50" s="41"/>
      <c r="DO50" s="41"/>
      <c r="DP50" s="420"/>
      <c r="DQ50" s="41">
        <v>9</v>
      </c>
      <c r="DR50" s="41">
        <v>2</v>
      </c>
      <c r="DS50" s="203" t="s">
        <v>560</v>
      </c>
      <c r="DT50" s="256">
        <v>20000</v>
      </c>
      <c r="DU50" s="46"/>
      <c r="DV50" s="46"/>
      <c r="DW50" s="196"/>
      <c r="DX50" s="391"/>
      <c r="DY50" s="41">
        <v>9</v>
      </c>
      <c r="DZ50" s="41">
        <v>1</v>
      </c>
      <c r="EA50" s="41">
        <v>70</v>
      </c>
      <c r="EB50" s="69">
        <v>25000</v>
      </c>
      <c r="EC50" s="41"/>
      <c r="ED50" s="41"/>
      <c r="EE50" s="41"/>
      <c r="EF50" s="420"/>
      <c r="EG50" s="41"/>
      <c r="EH50" s="41"/>
      <c r="EI50" s="41"/>
      <c r="EJ50" s="256"/>
      <c r="EK50" s="41"/>
      <c r="EL50" s="41"/>
      <c r="EM50" s="41"/>
      <c r="EN50" s="391"/>
    </row>
    <row r="51" spans="1:144" ht="48.75">
      <c r="A51" s="45">
        <v>44</v>
      </c>
      <c r="B51" s="53" t="s">
        <v>301</v>
      </c>
      <c r="C51" s="45">
        <v>1</v>
      </c>
      <c r="D51" s="55" t="s">
        <v>223</v>
      </c>
      <c r="E51" s="54">
        <v>16</v>
      </c>
      <c r="F51" s="54">
        <v>2</v>
      </c>
      <c r="G51" s="397">
        <f>805427.52/1000</f>
        <v>805.42752000000007</v>
      </c>
      <c r="H51" s="59">
        <v>805427.5199999999</v>
      </c>
      <c r="I51" s="59">
        <v>0</v>
      </c>
      <c r="J51" s="398">
        <v>932.46690999999987</v>
      </c>
      <c r="K51" s="414">
        <f t="shared" si="0"/>
        <v>1737.8944299999998</v>
      </c>
      <c r="L51" s="397"/>
      <c r="M51" s="397"/>
      <c r="N51" s="397">
        <f t="shared" si="1"/>
        <v>1737.8944299999998</v>
      </c>
      <c r="O51" s="399">
        <f t="shared" si="2"/>
        <v>1555</v>
      </c>
      <c r="P51" s="196" t="s">
        <v>523</v>
      </c>
      <c r="Q51" s="46">
        <v>1</v>
      </c>
      <c r="R51" s="196" t="s">
        <v>224</v>
      </c>
      <c r="S51" s="257">
        <v>450000</v>
      </c>
      <c r="T51" s="196"/>
      <c r="U51" s="46"/>
      <c r="V51" s="46"/>
      <c r="W51" s="257"/>
      <c r="X51" s="46"/>
      <c r="Y51" s="46"/>
      <c r="Z51" s="46"/>
      <c r="AA51" s="257"/>
      <c r="AB51" s="196" t="s">
        <v>226</v>
      </c>
      <c r="AC51" s="46">
        <v>600</v>
      </c>
      <c r="AD51" s="196"/>
      <c r="AE51" s="257">
        <f>AC51*750</f>
        <v>450000</v>
      </c>
      <c r="AF51" s="196"/>
      <c r="AG51" s="46"/>
      <c r="AH51" s="46"/>
      <c r="AI51" s="196"/>
      <c r="AJ51" s="400"/>
      <c r="AK51" s="196"/>
      <c r="AL51" s="46"/>
      <c r="AM51" s="218"/>
      <c r="AN51" s="257"/>
      <c r="AO51" s="196"/>
      <c r="AP51" s="46"/>
      <c r="AQ51" s="257"/>
      <c r="AR51" s="196"/>
      <c r="AS51" s="46"/>
      <c r="AT51" s="257"/>
      <c r="AU51" s="196" t="s">
        <v>248</v>
      </c>
      <c r="AV51" s="46">
        <v>70</v>
      </c>
      <c r="AW51" s="257">
        <f>AV51*3500</f>
        <v>245000</v>
      </c>
      <c r="AX51" s="196"/>
      <c r="AY51" s="46"/>
      <c r="AZ51" s="257"/>
      <c r="BA51" s="46"/>
      <c r="BB51" s="46"/>
      <c r="BC51" s="46"/>
      <c r="BD51" s="46"/>
      <c r="BE51" s="46"/>
      <c r="BF51" s="257"/>
      <c r="BG51" s="46"/>
      <c r="BH51" s="46"/>
      <c r="BI51" s="46"/>
      <c r="BJ51" s="196"/>
      <c r="BK51" s="46"/>
      <c r="BL51" s="46"/>
      <c r="BM51" s="46"/>
      <c r="BN51" s="46"/>
      <c r="BO51" s="257"/>
      <c r="BP51" s="196"/>
      <c r="BQ51" s="46"/>
      <c r="BR51" s="257"/>
      <c r="BS51" s="46"/>
      <c r="BT51" s="46"/>
      <c r="BU51" s="257"/>
      <c r="BV51" s="196"/>
      <c r="BW51" s="46"/>
      <c r="BX51" s="46"/>
      <c r="BY51" s="46"/>
      <c r="BZ51" s="46"/>
      <c r="CA51" s="257"/>
      <c r="CB51" s="196"/>
      <c r="CC51" s="46"/>
      <c r="CD51" s="257"/>
      <c r="CE51" s="46"/>
      <c r="CF51" s="46"/>
      <c r="CG51" s="257"/>
      <c r="CH51" s="46"/>
      <c r="CI51" s="46"/>
      <c r="CJ51" s="46"/>
      <c r="CK51" s="46"/>
      <c r="CL51" s="46"/>
      <c r="CM51" s="257"/>
      <c r="CN51" s="46"/>
      <c r="CO51" s="376"/>
      <c r="CP51" s="257"/>
      <c r="CQ51" s="218" t="s">
        <v>228</v>
      </c>
      <c r="CR51" s="286" t="s">
        <v>685</v>
      </c>
      <c r="CS51" s="257">
        <f>CY51+DE51+DL51+DT51+EB51+EJ51+140*2500+60000</f>
        <v>410000</v>
      </c>
      <c r="CT51" s="218"/>
      <c r="CU51" s="317"/>
      <c r="CV51" s="391">
        <f t="shared" si="4"/>
        <v>0</v>
      </c>
      <c r="CW51" s="41"/>
      <c r="CX51" s="41"/>
      <c r="CY51" s="256"/>
      <c r="CZ51" s="308"/>
      <c r="DA51" s="308"/>
      <c r="DB51" s="420"/>
      <c r="DC51" s="41"/>
      <c r="DD51" s="41"/>
      <c r="DE51" s="256"/>
      <c r="DF51" s="41"/>
      <c r="DG51" s="41"/>
      <c r="DH51" s="391"/>
      <c r="DI51" s="41"/>
      <c r="DJ51" s="41"/>
      <c r="DK51" s="203"/>
      <c r="DL51" s="256"/>
      <c r="DM51" s="41"/>
      <c r="DN51" s="41"/>
      <c r="DO51" s="41"/>
      <c r="DP51" s="420"/>
      <c r="DQ51" s="41"/>
      <c r="DR51" s="41"/>
      <c r="DS51" s="203"/>
      <c r="DT51" s="256"/>
      <c r="DU51" s="46"/>
      <c r="DV51" s="46"/>
      <c r="DW51" s="196"/>
      <c r="DX51" s="391"/>
      <c r="DY51" s="41"/>
      <c r="DZ51" s="41"/>
      <c r="EA51" s="41"/>
      <c r="EB51" s="69"/>
      <c r="EC51" s="41"/>
      <c r="ED51" s="41"/>
      <c r="EE51" s="41"/>
      <c r="EF51" s="420"/>
      <c r="EG51" s="41"/>
      <c r="EH51" s="41"/>
      <c r="EI51" s="41"/>
      <c r="EJ51" s="256"/>
      <c r="EK51" s="41"/>
      <c r="EL51" s="41"/>
      <c r="EM51" s="41"/>
      <c r="EN51" s="391"/>
    </row>
    <row r="52" spans="1:144" ht="60.75">
      <c r="A52" s="45">
        <v>45</v>
      </c>
      <c r="B52" s="53" t="s">
        <v>301</v>
      </c>
      <c r="C52" s="45">
        <v>1</v>
      </c>
      <c r="D52" s="55" t="s">
        <v>223</v>
      </c>
      <c r="E52" s="54">
        <v>20</v>
      </c>
      <c r="F52" s="54">
        <v>2</v>
      </c>
      <c r="G52" s="397">
        <f>532786.0416/1000</f>
        <v>532.78604159999998</v>
      </c>
      <c r="H52" s="59">
        <v>532786.04160000011</v>
      </c>
      <c r="I52" s="59">
        <v>0</v>
      </c>
      <c r="J52" s="398">
        <v>164.3713800000001</v>
      </c>
      <c r="K52" s="414">
        <f t="shared" si="0"/>
        <v>697.15742160000013</v>
      </c>
      <c r="L52" s="397"/>
      <c r="M52" s="397"/>
      <c r="N52" s="397">
        <f t="shared" si="1"/>
        <v>697.15742160000013</v>
      </c>
      <c r="O52" s="399">
        <f t="shared" si="2"/>
        <v>394.4</v>
      </c>
      <c r="P52" s="196"/>
      <c r="Q52" s="46"/>
      <c r="R52" s="196"/>
      <c r="S52" s="257"/>
      <c r="T52" s="196"/>
      <c r="U52" s="46"/>
      <c r="V52" s="46"/>
      <c r="W52" s="257"/>
      <c r="X52" s="46"/>
      <c r="Y52" s="46"/>
      <c r="Z52" s="46"/>
      <c r="AA52" s="257"/>
      <c r="AB52" s="196"/>
      <c r="AC52" s="46"/>
      <c r="AD52" s="46"/>
      <c r="AE52" s="257"/>
      <c r="AF52" s="196"/>
      <c r="AG52" s="46"/>
      <c r="AH52" s="46"/>
      <c r="AI52" s="196"/>
      <c r="AJ52" s="400"/>
      <c r="AK52" s="196"/>
      <c r="AL52" s="46"/>
      <c r="AM52" s="218"/>
      <c r="AN52" s="257"/>
      <c r="AO52" s="196" t="s">
        <v>229</v>
      </c>
      <c r="AP52" s="46">
        <v>20</v>
      </c>
      <c r="AQ52" s="257">
        <f>AP52*2000</f>
        <v>40000</v>
      </c>
      <c r="AR52" s="196" t="s">
        <v>228</v>
      </c>
      <c r="AS52" s="46">
        <v>20</v>
      </c>
      <c r="AT52" s="257">
        <f>AS52*2500</f>
        <v>50000</v>
      </c>
      <c r="AU52" s="196"/>
      <c r="AV52" s="46"/>
      <c r="AW52" s="257"/>
      <c r="AX52" s="196" t="s">
        <v>254</v>
      </c>
      <c r="AY52" s="46">
        <v>20</v>
      </c>
      <c r="AZ52" s="257">
        <f>AY52*1300</f>
        <v>26000</v>
      </c>
      <c r="BA52" s="46"/>
      <c r="BB52" s="46"/>
      <c r="BC52" s="46"/>
      <c r="BD52" s="46"/>
      <c r="BE52" s="46"/>
      <c r="BF52" s="257"/>
      <c r="BG52" s="46"/>
      <c r="BH52" s="46"/>
      <c r="BI52" s="46"/>
      <c r="BJ52" s="196"/>
      <c r="BK52" s="46"/>
      <c r="BL52" s="46"/>
      <c r="BM52" s="46"/>
      <c r="BN52" s="46"/>
      <c r="BO52" s="257"/>
      <c r="BP52" s="196"/>
      <c r="BQ52" s="46"/>
      <c r="BR52" s="257"/>
      <c r="BS52" s="46"/>
      <c r="BT52" s="167"/>
      <c r="BU52" s="257"/>
      <c r="BV52" s="196"/>
      <c r="BW52" s="46"/>
      <c r="BX52" s="46"/>
      <c r="BY52" s="46"/>
      <c r="BZ52" s="46"/>
      <c r="CA52" s="257"/>
      <c r="CB52" s="196" t="s">
        <v>254</v>
      </c>
      <c r="CC52" s="46">
        <v>128</v>
      </c>
      <c r="CD52" s="257">
        <f>CC52*1800</f>
        <v>230400</v>
      </c>
      <c r="CE52" s="46"/>
      <c r="CF52" s="46"/>
      <c r="CG52" s="257"/>
      <c r="CH52" s="46"/>
      <c r="CI52" s="46"/>
      <c r="CJ52" s="46"/>
      <c r="CK52" s="46"/>
      <c r="CL52" s="46"/>
      <c r="CM52" s="257"/>
      <c r="CN52" s="46"/>
      <c r="CO52" s="376"/>
      <c r="CP52" s="257"/>
      <c r="CQ52" s="196" t="s">
        <v>228</v>
      </c>
      <c r="CR52" s="286" t="s">
        <v>686</v>
      </c>
      <c r="CS52" s="257">
        <f>CY52+DE52+DL52+DT52+EB52+EJ52+8*1500+9*4000</f>
        <v>48000</v>
      </c>
      <c r="CT52" s="387"/>
      <c r="CU52" s="317"/>
      <c r="CV52" s="391">
        <f t="shared" si="4"/>
        <v>0</v>
      </c>
      <c r="CW52" s="41"/>
      <c r="CX52" s="41"/>
      <c r="CY52" s="256"/>
      <c r="CZ52" s="308"/>
      <c r="DA52" s="308"/>
      <c r="DB52" s="420"/>
      <c r="DC52" s="41"/>
      <c r="DD52" s="41"/>
      <c r="DE52" s="256"/>
      <c r="DF52" s="41"/>
      <c r="DG52" s="41"/>
      <c r="DH52" s="391"/>
      <c r="DI52" s="41"/>
      <c r="DJ52" s="41"/>
      <c r="DK52" s="203"/>
      <c r="DL52" s="256"/>
      <c r="DM52" s="41"/>
      <c r="DN52" s="41"/>
      <c r="DO52" s="41"/>
      <c r="DP52" s="420"/>
      <c r="DQ52" s="41"/>
      <c r="DR52" s="41"/>
      <c r="DS52" s="203"/>
      <c r="DT52" s="256"/>
      <c r="DU52" s="46"/>
      <c r="DV52" s="46"/>
      <c r="DW52" s="196"/>
      <c r="DX52" s="391"/>
      <c r="DY52" s="41"/>
      <c r="DZ52" s="41"/>
      <c r="EA52" s="41"/>
      <c r="EB52" s="69"/>
      <c r="EC52" s="41"/>
      <c r="ED52" s="41"/>
      <c r="EE52" s="41"/>
      <c r="EF52" s="420"/>
      <c r="EG52" s="41"/>
      <c r="EH52" s="41"/>
      <c r="EI52" s="41"/>
      <c r="EJ52" s="256"/>
      <c r="EK52" s="41"/>
      <c r="EL52" s="41"/>
      <c r="EM52" s="41"/>
      <c r="EN52" s="391"/>
    </row>
    <row r="53" spans="1:144" ht="25.5">
      <c r="A53" s="45">
        <v>46</v>
      </c>
      <c r="B53" s="53" t="s">
        <v>301</v>
      </c>
      <c r="C53" s="45">
        <v>1</v>
      </c>
      <c r="D53" s="55" t="s">
        <v>235</v>
      </c>
      <c r="E53" s="54">
        <v>5</v>
      </c>
      <c r="F53" s="54">
        <v>6</v>
      </c>
      <c r="G53" s="397">
        <f>1470.348/1000</f>
        <v>1.470348</v>
      </c>
      <c r="H53" s="59">
        <v>1470.348</v>
      </c>
      <c r="I53" s="59">
        <v>0</v>
      </c>
      <c r="J53" s="398">
        <v>2.75109</v>
      </c>
      <c r="K53" s="414">
        <f t="shared" si="0"/>
        <v>4.221438</v>
      </c>
      <c r="L53" s="397"/>
      <c r="M53" s="397"/>
      <c r="N53" s="397">
        <f t="shared" si="1"/>
        <v>4.221438</v>
      </c>
      <c r="O53" s="399">
        <f t="shared" si="2"/>
        <v>4</v>
      </c>
      <c r="P53" s="196"/>
      <c r="Q53" s="46"/>
      <c r="R53" s="196"/>
      <c r="S53" s="257"/>
      <c r="T53" s="196"/>
      <c r="U53" s="46"/>
      <c r="V53" s="46"/>
      <c r="W53" s="257"/>
      <c r="X53" s="46"/>
      <c r="Y53" s="46"/>
      <c r="Z53" s="46"/>
      <c r="AA53" s="257"/>
      <c r="AB53" s="196"/>
      <c r="AC53" s="46"/>
      <c r="AD53" s="46"/>
      <c r="AE53" s="257"/>
      <c r="AF53" s="196"/>
      <c r="AG53" s="46"/>
      <c r="AH53" s="46"/>
      <c r="AI53" s="196"/>
      <c r="AJ53" s="400"/>
      <c r="AK53" s="196"/>
      <c r="AL53" s="46"/>
      <c r="AM53" s="218"/>
      <c r="AN53" s="257"/>
      <c r="AO53" s="196"/>
      <c r="AP53" s="46"/>
      <c r="AQ53" s="257"/>
      <c r="AR53" s="196"/>
      <c r="AS53" s="46"/>
      <c r="AT53" s="257"/>
      <c r="AU53" s="196"/>
      <c r="AV53" s="46"/>
      <c r="AW53" s="257"/>
      <c r="AX53" s="196"/>
      <c r="AY53" s="46"/>
      <c r="AZ53" s="257"/>
      <c r="BA53" s="46"/>
      <c r="BB53" s="46"/>
      <c r="BC53" s="46"/>
      <c r="BD53" s="46"/>
      <c r="BE53" s="46"/>
      <c r="BF53" s="257"/>
      <c r="BG53" s="46"/>
      <c r="BH53" s="46"/>
      <c r="BI53" s="46"/>
      <c r="BJ53" s="196"/>
      <c r="BK53" s="46"/>
      <c r="BL53" s="46"/>
      <c r="BM53" s="46"/>
      <c r="BN53" s="46"/>
      <c r="BO53" s="257"/>
      <c r="BP53" s="196"/>
      <c r="BQ53" s="46"/>
      <c r="BR53" s="257"/>
      <c r="BS53" s="46"/>
      <c r="BT53" s="46"/>
      <c r="BU53" s="257"/>
      <c r="BV53" s="196"/>
      <c r="BW53" s="46"/>
      <c r="BX53" s="46"/>
      <c r="BY53" s="46"/>
      <c r="BZ53" s="46"/>
      <c r="CA53" s="257"/>
      <c r="CB53" s="196"/>
      <c r="CC53" s="46"/>
      <c r="CD53" s="257"/>
      <c r="CE53" s="46"/>
      <c r="CF53" s="46"/>
      <c r="CG53" s="257"/>
      <c r="CH53" s="46"/>
      <c r="CI53" s="46"/>
      <c r="CJ53" s="46"/>
      <c r="CK53" s="46"/>
      <c r="CL53" s="46"/>
      <c r="CM53" s="257"/>
      <c r="CN53" s="46"/>
      <c r="CO53" s="376"/>
      <c r="CP53" s="257"/>
      <c r="CQ53" s="196"/>
      <c r="CR53" s="190" t="s">
        <v>521</v>
      </c>
      <c r="CS53" s="257">
        <f>CY53+DE53+DL53+DT53+EB53+EJ53+4000</f>
        <v>4000</v>
      </c>
      <c r="CT53" s="196"/>
      <c r="CU53" s="317"/>
      <c r="CV53" s="391">
        <f t="shared" si="4"/>
        <v>0</v>
      </c>
      <c r="CW53" s="41"/>
      <c r="CX53" s="41"/>
      <c r="CY53" s="256"/>
      <c r="CZ53" s="308"/>
      <c r="DA53" s="308"/>
      <c r="DB53" s="420"/>
      <c r="DC53" s="41"/>
      <c r="DD53" s="41"/>
      <c r="DE53" s="256"/>
      <c r="DF53" s="41"/>
      <c r="DG53" s="41"/>
      <c r="DH53" s="391"/>
      <c r="DI53" s="41"/>
      <c r="DJ53" s="41"/>
      <c r="DK53" s="203"/>
      <c r="DL53" s="256"/>
      <c r="DM53" s="41"/>
      <c r="DN53" s="41"/>
      <c r="DO53" s="41"/>
      <c r="DP53" s="420"/>
      <c r="DQ53" s="41"/>
      <c r="DR53" s="41"/>
      <c r="DS53" s="203"/>
      <c r="DT53" s="256"/>
      <c r="DU53" s="46"/>
      <c r="DV53" s="46"/>
      <c r="DW53" s="196"/>
      <c r="DX53" s="391"/>
      <c r="DY53" s="41"/>
      <c r="DZ53" s="41"/>
      <c r="EA53" s="41"/>
      <c r="EB53" s="69"/>
      <c r="EC53" s="41"/>
      <c r="ED53" s="41"/>
      <c r="EE53" s="41"/>
      <c r="EF53" s="420"/>
      <c r="EG53" s="41"/>
      <c r="EH53" s="41"/>
      <c r="EI53" s="41"/>
      <c r="EJ53" s="256"/>
      <c r="EK53" s="41"/>
      <c r="EL53" s="41"/>
      <c r="EM53" s="41"/>
      <c r="EN53" s="391"/>
    </row>
    <row r="54" spans="1:144" ht="25.5">
      <c r="A54" s="45">
        <v>47</v>
      </c>
      <c r="B54" s="53" t="s">
        <v>301</v>
      </c>
      <c r="C54" s="45">
        <v>1</v>
      </c>
      <c r="D54" s="55" t="s">
        <v>235</v>
      </c>
      <c r="E54" s="54">
        <v>6</v>
      </c>
      <c r="F54" s="54">
        <v>6</v>
      </c>
      <c r="G54" s="397">
        <f>5560.776/1000</f>
        <v>5.5607759999999997</v>
      </c>
      <c r="H54" s="59">
        <v>1572.7140000000002</v>
      </c>
      <c r="I54" s="59">
        <v>3988.0619999999999</v>
      </c>
      <c r="J54" s="398">
        <v>28.178450000000005</v>
      </c>
      <c r="K54" s="414">
        <f t="shared" si="0"/>
        <v>33.739226000000002</v>
      </c>
      <c r="L54" s="397"/>
      <c r="M54" s="397"/>
      <c r="N54" s="397">
        <f t="shared" si="1"/>
        <v>33.739226000000002</v>
      </c>
      <c r="O54" s="399">
        <f t="shared" si="2"/>
        <v>7.5</v>
      </c>
      <c r="P54" s="196"/>
      <c r="Q54" s="46"/>
      <c r="R54" s="196"/>
      <c r="S54" s="257"/>
      <c r="T54" s="196"/>
      <c r="U54" s="46"/>
      <c r="V54" s="46"/>
      <c r="W54" s="257"/>
      <c r="X54" s="46"/>
      <c r="Y54" s="46"/>
      <c r="Z54" s="46"/>
      <c r="AA54" s="257"/>
      <c r="AB54" s="196"/>
      <c r="AC54" s="46"/>
      <c r="AD54" s="46"/>
      <c r="AE54" s="257"/>
      <c r="AF54" s="196"/>
      <c r="AG54" s="46"/>
      <c r="AH54" s="46"/>
      <c r="AI54" s="196"/>
      <c r="AJ54" s="400"/>
      <c r="AK54" s="196"/>
      <c r="AL54" s="46"/>
      <c r="AM54" s="218"/>
      <c r="AN54" s="257"/>
      <c r="AO54" s="196"/>
      <c r="AP54" s="46"/>
      <c r="AQ54" s="257"/>
      <c r="AR54" s="196"/>
      <c r="AS54" s="46"/>
      <c r="AT54" s="257"/>
      <c r="AU54" s="196"/>
      <c r="AV54" s="46"/>
      <c r="AW54" s="257"/>
      <c r="AX54" s="196"/>
      <c r="AY54" s="46"/>
      <c r="AZ54" s="257"/>
      <c r="BA54" s="46"/>
      <c r="BB54" s="46"/>
      <c r="BC54" s="46"/>
      <c r="BD54" s="46"/>
      <c r="BE54" s="46"/>
      <c r="BF54" s="257"/>
      <c r="BG54" s="46"/>
      <c r="BH54" s="46"/>
      <c r="BI54" s="46"/>
      <c r="BJ54" s="196"/>
      <c r="BK54" s="46"/>
      <c r="BL54" s="46"/>
      <c r="BM54" s="46"/>
      <c r="BN54" s="46"/>
      <c r="BO54" s="257"/>
      <c r="BP54" s="196" t="s">
        <v>254</v>
      </c>
      <c r="BQ54" s="46">
        <v>15</v>
      </c>
      <c r="BR54" s="257">
        <f>BQ54*500</f>
        <v>7500</v>
      </c>
      <c r="BS54" s="46"/>
      <c r="BT54" s="46"/>
      <c r="BU54" s="257"/>
      <c r="BV54" s="196"/>
      <c r="BW54" s="46"/>
      <c r="BX54" s="46"/>
      <c r="BY54" s="46"/>
      <c r="BZ54" s="46"/>
      <c r="CA54" s="257"/>
      <c r="CB54" s="196"/>
      <c r="CC54" s="46"/>
      <c r="CD54" s="257"/>
      <c r="CE54" s="46"/>
      <c r="CF54" s="46"/>
      <c r="CG54" s="257"/>
      <c r="CH54" s="46"/>
      <c r="CI54" s="46"/>
      <c r="CJ54" s="46"/>
      <c r="CK54" s="46"/>
      <c r="CL54" s="46"/>
      <c r="CM54" s="257"/>
      <c r="CN54" s="46"/>
      <c r="CO54" s="376"/>
      <c r="CP54" s="257"/>
      <c r="CQ54" s="196"/>
      <c r="CR54" s="190"/>
      <c r="CS54" s="257">
        <f t="shared" si="3"/>
        <v>0</v>
      </c>
      <c r="CT54" s="196"/>
      <c r="CU54" s="317"/>
      <c r="CV54" s="391">
        <f t="shared" si="4"/>
        <v>0</v>
      </c>
      <c r="CW54" s="41"/>
      <c r="CX54" s="41"/>
      <c r="CY54" s="256"/>
      <c r="CZ54" s="308"/>
      <c r="DA54" s="308"/>
      <c r="DB54" s="420"/>
      <c r="DC54" s="41"/>
      <c r="DD54" s="41"/>
      <c r="DE54" s="256"/>
      <c r="DF54" s="41"/>
      <c r="DG54" s="41"/>
      <c r="DH54" s="391"/>
      <c r="DI54" s="41"/>
      <c r="DJ54" s="41"/>
      <c r="DK54" s="203"/>
      <c r="DL54" s="256"/>
      <c r="DM54" s="41"/>
      <c r="DN54" s="41"/>
      <c r="DO54" s="41"/>
      <c r="DP54" s="420"/>
      <c r="DQ54" s="41"/>
      <c r="DR54" s="41"/>
      <c r="DS54" s="203"/>
      <c r="DT54" s="256"/>
      <c r="DU54" s="46"/>
      <c r="DV54" s="46"/>
      <c r="DW54" s="196"/>
      <c r="DX54" s="391"/>
      <c r="DY54" s="41"/>
      <c r="DZ54" s="41"/>
      <c r="EA54" s="41"/>
      <c r="EB54" s="69"/>
      <c r="EC54" s="41"/>
      <c r="ED54" s="41"/>
      <c r="EE54" s="41"/>
      <c r="EF54" s="420"/>
      <c r="EG54" s="41"/>
      <c r="EH54" s="41"/>
      <c r="EI54" s="41"/>
      <c r="EJ54" s="256"/>
      <c r="EK54" s="41"/>
      <c r="EL54" s="41"/>
      <c r="EM54" s="41"/>
      <c r="EN54" s="391"/>
    </row>
    <row r="55" spans="1:144" ht="25.5">
      <c r="A55" s="45">
        <v>48</v>
      </c>
      <c r="B55" s="53" t="s">
        <v>301</v>
      </c>
      <c r="C55" s="45">
        <v>1</v>
      </c>
      <c r="D55" s="55" t="s">
        <v>235</v>
      </c>
      <c r="E55" s="54">
        <v>11</v>
      </c>
      <c r="F55" s="54">
        <v>6</v>
      </c>
      <c r="G55" s="397">
        <f>13556.448/1000</f>
        <v>13.556448</v>
      </c>
      <c r="H55" s="59">
        <v>3834.0719999999997</v>
      </c>
      <c r="I55" s="59">
        <v>9722.3760000000002</v>
      </c>
      <c r="J55" s="398">
        <v>67.607606000000004</v>
      </c>
      <c r="K55" s="414">
        <f t="shared" si="0"/>
        <v>81.164054000000007</v>
      </c>
      <c r="L55" s="397"/>
      <c r="M55" s="397"/>
      <c r="N55" s="397">
        <f t="shared" si="1"/>
        <v>81.164054000000007</v>
      </c>
      <c r="O55" s="399">
        <f t="shared" si="2"/>
        <v>80</v>
      </c>
      <c r="P55" s="196"/>
      <c r="Q55" s="46"/>
      <c r="R55" s="196"/>
      <c r="S55" s="257"/>
      <c r="T55" s="196"/>
      <c r="U55" s="46"/>
      <c r="V55" s="46"/>
      <c r="W55" s="257"/>
      <c r="X55" s="46"/>
      <c r="Y55" s="46"/>
      <c r="Z55" s="46"/>
      <c r="AA55" s="257"/>
      <c r="AB55" s="196"/>
      <c r="AC55" s="46"/>
      <c r="AD55" s="46"/>
      <c r="AE55" s="257"/>
      <c r="AF55" s="196"/>
      <c r="AG55" s="46"/>
      <c r="AH55" s="46"/>
      <c r="AI55" s="196"/>
      <c r="AJ55" s="400"/>
      <c r="AK55" s="196"/>
      <c r="AL55" s="46"/>
      <c r="AM55" s="218"/>
      <c r="AN55" s="257"/>
      <c r="AO55" s="196"/>
      <c r="AP55" s="46"/>
      <c r="AQ55" s="257"/>
      <c r="AR55" s="196"/>
      <c r="AS55" s="46"/>
      <c r="AT55" s="257"/>
      <c r="AU55" s="196"/>
      <c r="AV55" s="46"/>
      <c r="AW55" s="257"/>
      <c r="AX55" s="196"/>
      <c r="AY55" s="46"/>
      <c r="AZ55" s="257"/>
      <c r="BA55" s="46"/>
      <c r="BB55" s="46"/>
      <c r="BC55" s="46"/>
      <c r="BD55" s="46"/>
      <c r="BE55" s="46"/>
      <c r="BF55" s="257"/>
      <c r="BG55" s="46"/>
      <c r="BH55" s="46"/>
      <c r="BI55" s="46"/>
      <c r="BJ55" s="196"/>
      <c r="BK55" s="46"/>
      <c r="BL55" s="46"/>
      <c r="BM55" s="46"/>
      <c r="BN55" s="46"/>
      <c r="BO55" s="257"/>
      <c r="BP55" s="196"/>
      <c r="BQ55" s="46"/>
      <c r="BR55" s="257"/>
      <c r="BS55" s="46"/>
      <c r="BT55" s="46"/>
      <c r="BU55" s="257"/>
      <c r="BV55" s="196"/>
      <c r="BW55" s="46"/>
      <c r="BX55" s="46"/>
      <c r="BY55" s="46"/>
      <c r="BZ55" s="46"/>
      <c r="CA55" s="257"/>
      <c r="CB55" s="196"/>
      <c r="CC55" s="46"/>
      <c r="CD55" s="257"/>
      <c r="CE55" s="46"/>
      <c r="CF55" s="46"/>
      <c r="CG55" s="257"/>
      <c r="CH55" s="46"/>
      <c r="CI55" s="46"/>
      <c r="CJ55" s="46"/>
      <c r="CK55" s="46"/>
      <c r="CL55" s="46"/>
      <c r="CM55" s="257"/>
      <c r="CN55" s="46"/>
      <c r="CO55" s="376"/>
      <c r="CP55" s="257"/>
      <c r="CQ55" s="196"/>
      <c r="CR55" s="190" t="s">
        <v>554</v>
      </c>
      <c r="CS55" s="257">
        <f>CY55+DE55+DL55+DT55+EB55+EJ55+80000</f>
        <v>80000</v>
      </c>
      <c r="CT55" s="196"/>
      <c r="CU55" s="317"/>
      <c r="CV55" s="391">
        <f t="shared" si="4"/>
        <v>0</v>
      </c>
      <c r="CW55" s="41"/>
      <c r="CX55" s="41"/>
      <c r="CY55" s="256"/>
      <c r="CZ55" s="308"/>
      <c r="DA55" s="308"/>
      <c r="DB55" s="420"/>
      <c r="DC55" s="41"/>
      <c r="DD55" s="41"/>
      <c r="DE55" s="256"/>
      <c r="DF55" s="41"/>
      <c r="DG55" s="41"/>
      <c r="DH55" s="391"/>
      <c r="DI55" s="41"/>
      <c r="DJ55" s="41"/>
      <c r="DK55" s="203"/>
      <c r="DL55" s="256"/>
      <c r="DM55" s="41"/>
      <c r="DN55" s="41"/>
      <c r="DO55" s="41"/>
      <c r="DP55" s="420"/>
      <c r="DQ55" s="41"/>
      <c r="DR55" s="41"/>
      <c r="DS55" s="203"/>
      <c r="DT55" s="256"/>
      <c r="DU55" s="46"/>
      <c r="DV55" s="46"/>
      <c r="DW55" s="196"/>
      <c r="DX55" s="391"/>
      <c r="DY55" s="41"/>
      <c r="DZ55" s="41"/>
      <c r="EA55" s="41"/>
      <c r="EB55" s="69"/>
      <c r="EC55" s="41"/>
      <c r="ED55" s="41"/>
      <c r="EE55" s="41"/>
      <c r="EF55" s="420"/>
      <c r="EG55" s="41"/>
      <c r="EH55" s="41"/>
      <c r="EI55" s="41"/>
      <c r="EJ55" s="256"/>
      <c r="EK55" s="41"/>
      <c r="EL55" s="41"/>
      <c r="EM55" s="41"/>
      <c r="EN55" s="391"/>
    </row>
    <row r="56" spans="1:144" ht="25.5">
      <c r="A56" s="45">
        <v>49</v>
      </c>
      <c r="B56" s="53" t="s">
        <v>301</v>
      </c>
      <c r="C56" s="45">
        <v>1</v>
      </c>
      <c r="D56" s="55" t="s">
        <v>235</v>
      </c>
      <c r="E56" s="54">
        <v>16</v>
      </c>
      <c r="F56" s="54">
        <v>6</v>
      </c>
      <c r="G56" s="397">
        <f>23164.416/1000</f>
        <v>23.164416000000003</v>
      </c>
      <c r="H56" s="59">
        <v>6551.424</v>
      </c>
      <c r="I56" s="59">
        <v>16612.991999999998</v>
      </c>
      <c r="J56" s="398">
        <v>86.810011999999986</v>
      </c>
      <c r="K56" s="414">
        <f t="shared" si="0"/>
        <v>109.97442799999999</v>
      </c>
      <c r="L56" s="397"/>
      <c r="M56" s="397"/>
      <c r="N56" s="397">
        <f t="shared" si="1"/>
        <v>109.97442799999999</v>
      </c>
      <c r="O56" s="399">
        <f t="shared" si="2"/>
        <v>109</v>
      </c>
      <c r="P56" s="196"/>
      <c r="Q56" s="46"/>
      <c r="R56" s="196"/>
      <c r="S56" s="257"/>
      <c r="T56" s="196"/>
      <c r="U56" s="46"/>
      <c r="V56" s="46"/>
      <c r="W56" s="257"/>
      <c r="X56" s="46"/>
      <c r="Y56" s="46"/>
      <c r="Z56" s="46"/>
      <c r="AA56" s="257"/>
      <c r="AB56" s="196"/>
      <c r="AC56" s="46"/>
      <c r="AD56" s="46"/>
      <c r="AE56" s="257"/>
      <c r="AF56" s="196"/>
      <c r="AG56" s="46"/>
      <c r="AH56" s="46"/>
      <c r="AI56" s="196"/>
      <c r="AJ56" s="400"/>
      <c r="AK56" s="196"/>
      <c r="AL56" s="46"/>
      <c r="AM56" s="218"/>
      <c r="AN56" s="257"/>
      <c r="AO56" s="196"/>
      <c r="AP56" s="46"/>
      <c r="AQ56" s="257"/>
      <c r="AR56" s="196"/>
      <c r="AS56" s="46"/>
      <c r="AT56" s="257"/>
      <c r="AU56" s="196"/>
      <c r="AV56" s="46"/>
      <c r="AW56" s="257"/>
      <c r="AX56" s="196"/>
      <c r="AY56" s="46"/>
      <c r="AZ56" s="257"/>
      <c r="BA56" s="46"/>
      <c r="BB56" s="46"/>
      <c r="BC56" s="46"/>
      <c r="BD56" s="46"/>
      <c r="BE56" s="46"/>
      <c r="BF56" s="257"/>
      <c r="BG56" s="46"/>
      <c r="BH56" s="46"/>
      <c r="BI56" s="46"/>
      <c r="BJ56" s="196"/>
      <c r="BK56" s="46"/>
      <c r="BL56" s="46"/>
      <c r="BM56" s="46"/>
      <c r="BN56" s="46"/>
      <c r="BO56" s="257"/>
      <c r="BP56" s="196"/>
      <c r="BQ56" s="46"/>
      <c r="BR56" s="257"/>
      <c r="BS56" s="46"/>
      <c r="BT56" s="46"/>
      <c r="BU56" s="257"/>
      <c r="BV56" s="196"/>
      <c r="BW56" s="46"/>
      <c r="BX56" s="46"/>
      <c r="BY56" s="46"/>
      <c r="BZ56" s="46"/>
      <c r="CA56" s="257"/>
      <c r="CB56" s="196"/>
      <c r="CC56" s="46"/>
      <c r="CD56" s="257"/>
      <c r="CE56" s="46"/>
      <c r="CF56" s="46"/>
      <c r="CG56" s="257"/>
      <c r="CH56" s="46"/>
      <c r="CI56" s="46"/>
      <c r="CJ56" s="46"/>
      <c r="CK56" s="46"/>
      <c r="CL56" s="46"/>
      <c r="CM56" s="257"/>
      <c r="CN56" s="46"/>
      <c r="CO56" s="376"/>
      <c r="CP56" s="257"/>
      <c r="CQ56" s="196"/>
      <c r="CR56" s="190" t="s">
        <v>554</v>
      </c>
      <c r="CS56" s="257">
        <f>CY56+DE56+DL56+DT56+EB56+EJ56+109000</f>
        <v>109000</v>
      </c>
      <c r="CT56" s="196"/>
      <c r="CU56" s="317"/>
      <c r="CV56" s="391">
        <f t="shared" si="4"/>
        <v>0</v>
      </c>
      <c r="CW56" s="41"/>
      <c r="CX56" s="41"/>
      <c r="CY56" s="256"/>
      <c r="CZ56" s="308"/>
      <c r="DA56" s="308"/>
      <c r="DB56" s="420"/>
      <c r="DC56" s="41"/>
      <c r="DD56" s="41"/>
      <c r="DE56" s="256"/>
      <c r="DF56" s="41"/>
      <c r="DG56" s="41"/>
      <c r="DH56" s="391"/>
      <c r="DI56" s="41"/>
      <c r="DJ56" s="41"/>
      <c r="DK56" s="203"/>
      <c r="DL56" s="256"/>
      <c r="DM56" s="41"/>
      <c r="DN56" s="41"/>
      <c r="DO56" s="41"/>
      <c r="DP56" s="420"/>
      <c r="DQ56" s="41"/>
      <c r="DR56" s="41"/>
      <c r="DS56" s="203"/>
      <c r="DT56" s="256"/>
      <c r="DU56" s="46"/>
      <c r="DV56" s="46"/>
      <c r="DW56" s="196"/>
      <c r="DX56" s="391"/>
      <c r="DY56" s="41"/>
      <c r="DZ56" s="41"/>
      <c r="EA56" s="41"/>
      <c r="EB56" s="69"/>
      <c r="EC56" s="41"/>
      <c r="ED56" s="41"/>
      <c r="EE56" s="41"/>
      <c r="EF56" s="420"/>
      <c r="EG56" s="41"/>
      <c r="EH56" s="41"/>
      <c r="EI56" s="41"/>
      <c r="EJ56" s="256"/>
      <c r="EK56" s="41"/>
      <c r="EL56" s="41"/>
      <c r="EM56" s="41"/>
      <c r="EN56" s="391"/>
    </row>
    <row r="57" spans="1:144" ht="25.5">
      <c r="A57" s="45">
        <v>50</v>
      </c>
      <c r="B57" s="53" t="s">
        <v>301</v>
      </c>
      <c r="C57" s="45">
        <v>1</v>
      </c>
      <c r="D57" s="55" t="s">
        <v>235</v>
      </c>
      <c r="E57" s="54">
        <v>18</v>
      </c>
      <c r="F57" s="54">
        <v>6</v>
      </c>
      <c r="G57" s="397">
        <f>11165.424/1000</f>
        <v>11.165424000000002</v>
      </c>
      <c r="H57" s="59">
        <v>3157.8360000000002</v>
      </c>
      <c r="I57" s="59">
        <v>8007.5879999999997</v>
      </c>
      <c r="J57" s="398">
        <v>49.057339999999996</v>
      </c>
      <c r="K57" s="414">
        <f t="shared" si="0"/>
        <v>60.222763999999998</v>
      </c>
      <c r="L57" s="397"/>
      <c r="M57" s="397"/>
      <c r="N57" s="397">
        <f t="shared" si="1"/>
        <v>60.222763999999998</v>
      </c>
      <c r="O57" s="399">
        <f t="shared" si="2"/>
        <v>61</v>
      </c>
      <c r="P57" s="196"/>
      <c r="Q57" s="46"/>
      <c r="R57" s="196"/>
      <c r="S57" s="257"/>
      <c r="T57" s="196"/>
      <c r="U57" s="46"/>
      <c r="V57" s="46"/>
      <c r="W57" s="257"/>
      <c r="X57" s="46"/>
      <c r="Y57" s="46"/>
      <c r="Z57" s="46"/>
      <c r="AA57" s="257"/>
      <c r="AB57" s="196"/>
      <c r="AC57" s="46"/>
      <c r="AD57" s="46"/>
      <c r="AE57" s="257"/>
      <c r="AF57" s="196"/>
      <c r="AG57" s="46"/>
      <c r="AH57" s="46"/>
      <c r="AI57" s="196"/>
      <c r="AJ57" s="400"/>
      <c r="AK57" s="196"/>
      <c r="AL57" s="46"/>
      <c r="AM57" s="218"/>
      <c r="AN57" s="257"/>
      <c r="AO57" s="196"/>
      <c r="AP57" s="46"/>
      <c r="AQ57" s="257"/>
      <c r="AR57" s="196"/>
      <c r="AS57" s="46"/>
      <c r="AT57" s="257"/>
      <c r="AU57" s="196"/>
      <c r="AV57" s="46"/>
      <c r="AW57" s="257"/>
      <c r="AX57" s="196"/>
      <c r="AY57" s="46"/>
      <c r="AZ57" s="257"/>
      <c r="BA57" s="46"/>
      <c r="BB57" s="46"/>
      <c r="BC57" s="46"/>
      <c r="BD57" s="46"/>
      <c r="BE57" s="46"/>
      <c r="BF57" s="257"/>
      <c r="BG57" s="46"/>
      <c r="BH57" s="46"/>
      <c r="BI57" s="46"/>
      <c r="BJ57" s="196"/>
      <c r="BK57" s="46"/>
      <c r="BL57" s="46"/>
      <c r="BM57" s="46"/>
      <c r="BN57" s="46"/>
      <c r="BO57" s="257"/>
      <c r="BP57" s="196"/>
      <c r="BQ57" s="46"/>
      <c r="BR57" s="257"/>
      <c r="BS57" s="46"/>
      <c r="BT57" s="46"/>
      <c r="BU57" s="257"/>
      <c r="BV57" s="196"/>
      <c r="BW57" s="46"/>
      <c r="BX57" s="46"/>
      <c r="BY57" s="46"/>
      <c r="BZ57" s="46"/>
      <c r="CA57" s="257"/>
      <c r="CB57" s="196"/>
      <c r="CC57" s="46"/>
      <c r="CD57" s="257"/>
      <c r="CE57" s="46"/>
      <c r="CF57" s="46"/>
      <c r="CG57" s="257"/>
      <c r="CH57" s="46"/>
      <c r="CI57" s="46"/>
      <c r="CJ57" s="46"/>
      <c r="CK57" s="46"/>
      <c r="CL57" s="46"/>
      <c r="CM57" s="257"/>
      <c r="CN57" s="46"/>
      <c r="CO57" s="376"/>
      <c r="CP57" s="257"/>
      <c r="CQ57" s="196"/>
      <c r="CR57" s="190" t="s">
        <v>554</v>
      </c>
      <c r="CS57" s="257">
        <f>CY57+DE57+DL57+DT57+EB57+EJ57+61000</f>
        <v>61000</v>
      </c>
      <c r="CT57" s="196"/>
      <c r="CU57" s="317"/>
      <c r="CV57" s="391">
        <f t="shared" si="4"/>
        <v>0</v>
      </c>
      <c r="CW57" s="41"/>
      <c r="CX57" s="41"/>
      <c r="CY57" s="256"/>
      <c r="CZ57" s="308"/>
      <c r="DA57" s="308"/>
      <c r="DB57" s="420"/>
      <c r="DC57" s="41"/>
      <c r="DD57" s="41"/>
      <c r="DE57" s="256"/>
      <c r="DF57" s="41"/>
      <c r="DG57" s="41"/>
      <c r="DH57" s="391"/>
      <c r="DI57" s="41"/>
      <c r="DJ57" s="41"/>
      <c r="DK57" s="203"/>
      <c r="DL57" s="256"/>
      <c r="DM57" s="41"/>
      <c r="DN57" s="41"/>
      <c r="DO57" s="41"/>
      <c r="DP57" s="420"/>
      <c r="DQ57" s="41"/>
      <c r="DR57" s="41"/>
      <c r="DS57" s="203"/>
      <c r="DT57" s="256"/>
      <c r="DU57" s="46"/>
      <c r="DV57" s="46"/>
      <c r="DW57" s="196"/>
      <c r="DX57" s="391"/>
      <c r="DY57" s="41"/>
      <c r="DZ57" s="41"/>
      <c r="EA57" s="41"/>
      <c r="EB57" s="69"/>
      <c r="EC57" s="41"/>
      <c r="ED57" s="41"/>
      <c r="EE57" s="41"/>
      <c r="EF57" s="420"/>
      <c r="EG57" s="41"/>
      <c r="EH57" s="41"/>
      <c r="EI57" s="41"/>
      <c r="EJ57" s="256"/>
      <c r="EK57" s="41"/>
      <c r="EL57" s="41"/>
      <c r="EM57" s="41"/>
      <c r="EN57" s="391"/>
    </row>
    <row r="58" spans="1:144" ht="25.5">
      <c r="A58" s="45">
        <v>51</v>
      </c>
      <c r="B58" s="53" t="s">
        <v>301</v>
      </c>
      <c r="C58" s="45">
        <v>1</v>
      </c>
      <c r="D58" s="55" t="s">
        <v>235</v>
      </c>
      <c r="E58" s="54">
        <v>19</v>
      </c>
      <c r="F58" s="54">
        <v>6</v>
      </c>
      <c r="G58" s="397">
        <f>5527.872/1000</f>
        <v>5.5278720000000003</v>
      </c>
      <c r="H58" s="59">
        <v>1563.4079999999999</v>
      </c>
      <c r="I58" s="59">
        <v>3964.4639999999999</v>
      </c>
      <c r="J58" s="398">
        <v>-7.603526000000004</v>
      </c>
      <c r="K58" s="414">
        <f t="shared" si="0"/>
        <v>-2.0756540000000037</v>
      </c>
      <c r="L58" s="397"/>
      <c r="M58" s="397"/>
      <c r="N58" s="397">
        <f t="shared" si="1"/>
        <v>-2.0756540000000037</v>
      </c>
      <c r="O58" s="399">
        <f t="shared" si="2"/>
        <v>0</v>
      </c>
      <c r="P58" s="196"/>
      <c r="Q58" s="46"/>
      <c r="R58" s="196"/>
      <c r="S58" s="257"/>
      <c r="T58" s="196"/>
      <c r="U58" s="46"/>
      <c r="V58" s="46"/>
      <c r="W58" s="257"/>
      <c r="X58" s="46"/>
      <c r="Y58" s="46"/>
      <c r="Z58" s="46"/>
      <c r="AA58" s="257"/>
      <c r="AB58" s="196"/>
      <c r="AC58" s="46"/>
      <c r="AD58" s="46"/>
      <c r="AE58" s="257"/>
      <c r="AF58" s="196"/>
      <c r="AG58" s="46"/>
      <c r="AH58" s="46"/>
      <c r="AI58" s="196"/>
      <c r="AJ58" s="400"/>
      <c r="AK58" s="196"/>
      <c r="AL58" s="46"/>
      <c r="AM58" s="218"/>
      <c r="AN58" s="257"/>
      <c r="AO58" s="196"/>
      <c r="AP58" s="46"/>
      <c r="AQ58" s="257"/>
      <c r="AR58" s="196"/>
      <c r="AS58" s="46"/>
      <c r="AT58" s="257"/>
      <c r="AU58" s="196"/>
      <c r="AV58" s="46"/>
      <c r="AW58" s="257"/>
      <c r="AX58" s="196"/>
      <c r="AY58" s="46"/>
      <c r="AZ58" s="257"/>
      <c r="BA58" s="46"/>
      <c r="BB58" s="46"/>
      <c r="BC58" s="46"/>
      <c r="BD58" s="46"/>
      <c r="BE58" s="46"/>
      <c r="BF58" s="257"/>
      <c r="BG58" s="46"/>
      <c r="BH58" s="46"/>
      <c r="BI58" s="46"/>
      <c r="BJ58" s="196"/>
      <c r="BK58" s="46"/>
      <c r="BL58" s="46"/>
      <c r="BM58" s="46"/>
      <c r="BN58" s="46"/>
      <c r="BO58" s="257"/>
      <c r="BP58" s="196"/>
      <c r="BQ58" s="46"/>
      <c r="BR58" s="257"/>
      <c r="BS58" s="46"/>
      <c r="BT58" s="46"/>
      <c r="BU58" s="257"/>
      <c r="BV58" s="196"/>
      <c r="BW58" s="46"/>
      <c r="BX58" s="46"/>
      <c r="BY58" s="46"/>
      <c r="BZ58" s="46"/>
      <c r="CA58" s="257"/>
      <c r="CB58" s="196"/>
      <c r="CC58" s="46"/>
      <c r="CD58" s="257"/>
      <c r="CE58" s="46"/>
      <c r="CF58" s="46"/>
      <c r="CG58" s="257"/>
      <c r="CH58" s="46"/>
      <c r="CI58" s="46"/>
      <c r="CJ58" s="46"/>
      <c r="CK58" s="46"/>
      <c r="CL58" s="46"/>
      <c r="CM58" s="257"/>
      <c r="CN58" s="46"/>
      <c r="CO58" s="376"/>
      <c r="CP58" s="257"/>
      <c r="CQ58" s="196"/>
      <c r="CR58" s="190"/>
      <c r="CS58" s="257">
        <f t="shared" si="3"/>
        <v>0</v>
      </c>
      <c r="CT58" s="196"/>
      <c r="CU58" s="317"/>
      <c r="CV58" s="391">
        <f t="shared" si="4"/>
        <v>0</v>
      </c>
      <c r="CW58" s="41"/>
      <c r="CX58" s="41"/>
      <c r="CY58" s="256"/>
      <c r="CZ58" s="308"/>
      <c r="DA58" s="308"/>
      <c r="DB58" s="420"/>
      <c r="DC58" s="41"/>
      <c r="DD58" s="41"/>
      <c r="DE58" s="256"/>
      <c r="DF58" s="41"/>
      <c r="DG58" s="41"/>
      <c r="DH58" s="391"/>
      <c r="DI58" s="41"/>
      <c r="DJ58" s="41"/>
      <c r="DK58" s="203"/>
      <c r="DL58" s="256"/>
      <c r="DM58" s="41"/>
      <c r="DN58" s="41"/>
      <c r="DO58" s="41"/>
      <c r="DP58" s="420"/>
      <c r="DQ58" s="41"/>
      <c r="DR58" s="41"/>
      <c r="DS58" s="203"/>
      <c r="DT58" s="256"/>
      <c r="DU58" s="46"/>
      <c r="DV58" s="46"/>
      <c r="DW58" s="196"/>
      <c r="DX58" s="391"/>
      <c r="DY58" s="41"/>
      <c r="DZ58" s="41"/>
      <c r="EA58" s="41"/>
      <c r="EB58" s="69"/>
      <c r="EC58" s="41"/>
      <c r="ED58" s="41"/>
      <c r="EE58" s="41"/>
      <c r="EF58" s="420"/>
      <c r="EG58" s="41"/>
      <c r="EH58" s="41"/>
      <c r="EI58" s="41"/>
      <c r="EJ58" s="256"/>
      <c r="EK58" s="41"/>
      <c r="EL58" s="41"/>
      <c r="EM58" s="41"/>
      <c r="EN58" s="391"/>
    </row>
    <row r="59" spans="1:144" ht="25.5">
      <c r="A59" s="45">
        <v>52</v>
      </c>
      <c r="B59" s="53" t="s">
        <v>301</v>
      </c>
      <c r="C59" s="45">
        <v>1</v>
      </c>
      <c r="D59" s="55" t="s">
        <v>235</v>
      </c>
      <c r="E59" s="54">
        <v>21</v>
      </c>
      <c r="F59" s="54">
        <v>6</v>
      </c>
      <c r="G59" s="397">
        <f>4694.304/1000</f>
        <v>4.6943039999999998</v>
      </c>
      <c r="H59" s="59">
        <v>1327.6559999999999</v>
      </c>
      <c r="I59" s="59">
        <v>3366.6479999999997</v>
      </c>
      <c r="J59" s="398">
        <v>26.222403999999997</v>
      </c>
      <c r="K59" s="414">
        <f t="shared" si="0"/>
        <v>30.916707999999996</v>
      </c>
      <c r="L59" s="397"/>
      <c r="M59" s="397"/>
      <c r="N59" s="397">
        <f t="shared" si="1"/>
        <v>30.916707999999996</v>
      </c>
      <c r="O59" s="399">
        <f t="shared" si="2"/>
        <v>30</v>
      </c>
      <c r="P59" s="196"/>
      <c r="Q59" s="46"/>
      <c r="R59" s="196"/>
      <c r="S59" s="257"/>
      <c r="T59" s="196"/>
      <c r="U59" s="46"/>
      <c r="V59" s="46"/>
      <c r="W59" s="257"/>
      <c r="X59" s="46"/>
      <c r="Y59" s="46"/>
      <c r="Z59" s="46"/>
      <c r="AA59" s="257"/>
      <c r="AB59" s="196"/>
      <c r="AC59" s="46"/>
      <c r="AD59" s="46"/>
      <c r="AE59" s="257"/>
      <c r="AF59" s="196"/>
      <c r="AG59" s="46"/>
      <c r="AH59" s="46"/>
      <c r="AI59" s="196"/>
      <c r="AJ59" s="400"/>
      <c r="AK59" s="196"/>
      <c r="AL59" s="46"/>
      <c r="AM59" s="218"/>
      <c r="AN59" s="257"/>
      <c r="AO59" s="196"/>
      <c r="AP59" s="46"/>
      <c r="AQ59" s="257"/>
      <c r="AR59" s="196"/>
      <c r="AS59" s="46"/>
      <c r="AT59" s="257"/>
      <c r="AU59" s="196"/>
      <c r="AV59" s="46"/>
      <c r="AW59" s="257"/>
      <c r="AX59" s="196"/>
      <c r="AY59" s="46"/>
      <c r="AZ59" s="257"/>
      <c r="BA59" s="46"/>
      <c r="BB59" s="46"/>
      <c r="BC59" s="46"/>
      <c r="BD59" s="46"/>
      <c r="BE59" s="46"/>
      <c r="BF59" s="257"/>
      <c r="BG59" s="46"/>
      <c r="BH59" s="46"/>
      <c r="BI59" s="46"/>
      <c r="BJ59" s="196"/>
      <c r="BK59" s="46"/>
      <c r="BL59" s="46"/>
      <c r="BM59" s="46"/>
      <c r="BN59" s="46"/>
      <c r="BO59" s="257"/>
      <c r="BP59" s="196"/>
      <c r="BQ59" s="46"/>
      <c r="BR59" s="257"/>
      <c r="BS59" s="46"/>
      <c r="BT59" s="46"/>
      <c r="BU59" s="257"/>
      <c r="BV59" s="196"/>
      <c r="BW59" s="46"/>
      <c r="BX59" s="46"/>
      <c r="BY59" s="46"/>
      <c r="BZ59" s="46"/>
      <c r="CA59" s="257"/>
      <c r="CB59" s="196"/>
      <c r="CC59" s="46"/>
      <c r="CD59" s="257"/>
      <c r="CE59" s="46"/>
      <c r="CF59" s="46"/>
      <c r="CG59" s="257"/>
      <c r="CH59" s="46"/>
      <c r="CI59" s="46"/>
      <c r="CJ59" s="46"/>
      <c r="CK59" s="46"/>
      <c r="CL59" s="46"/>
      <c r="CM59" s="257"/>
      <c r="CN59" s="46"/>
      <c r="CO59" s="376"/>
      <c r="CP59" s="257"/>
      <c r="CQ59" s="196"/>
      <c r="CR59" s="190" t="s">
        <v>554</v>
      </c>
      <c r="CS59" s="257">
        <f>CY59+DE59+DL59+DT59+EB59+EJ59+30000</f>
        <v>30000</v>
      </c>
      <c r="CT59" s="196"/>
      <c r="CU59" s="317"/>
      <c r="CV59" s="391">
        <f t="shared" si="4"/>
        <v>0</v>
      </c>
      <c r="CW59" s="41"/>
      <c r="CX59" s="41"/>
      <c r="CY59" s="256"/>
      <c r="CZ59" s="308"/>
      <c r="DA59" s="308"/>
      <c r="DB59" s="420"/>
      <c r="DC59" s="41"/>
      <c r="DD59" s="41"/>
      <c r="DE59" s="256"/>
      <c r="DF59" s="41"/>
      <c r="DG59" s="41"/>
      <c r="DH59" s="391"/>
      <c r="DI59" s="41"/>
      <c r="DJ59" s="41"/>
      <c r="DK59" s="203"/>
      <c r="DL59" s="256"/>
      <c r="DM59" s="41"/>
      <c r="DN59" s="41"/>
      <c r="DO59" s="41"/>
      <c r="DP59" s="420"/>
      <c r="DQ59" s="41"/>
      <c r="DR59" s="41"/>
      <c r="DS59" s="203"/>
      <c r="DT59" s="256"/>
      <c r="DU59" s="46"/>
      <c r="DV59" s="46"/>
      <c r="DW59" s="196"/>
      <c r="DX59" s="391"/>
      <c r="DY59" s="41"/>
      <c r="DZ59" s="41"/>
      <c r="EA59" s="41"/>
      <c r="EB59" s="69"/>
      <c r="EC59" s="41"/>
      <c r="ED59" s="41"/>
      <c r="EE59" s="41"/>
      <c r="EF59" s="420"/>
      <c r="EG59" s="41"/>
      <c r="EH59" s="41"/>
      <c r="EI59" s="41"/>
      <c r="EJ59" s="256"/>
      <c r="EK59" s="41"/>
      <c r="EL59" s="41"/>
      <c r="EM59" s="41"/>
      <c r="EN59" s="391"/>
    </row>
    <row r="60" spans="1:144" ht="25.5">
      <c r="A60" s="45">
        <v>53</v>
      </c>
      <c r="B60" s="53" t="s">
        <v>301</v>
      </c>
      <c r="C60" s="45">
        <v>1</v>
      </c>
      <c r="D60" s="55" t="s">
        <v>235</v>
      </c>
      <c r="E60" s="54">
        <v>22</v>
      </c>
      <c r="F60" s="54">
        <v>6</v>
      </c>
      <c r="G60" s="397">
        <f>9454.416/1000</f>
        <v>9.4544159999999984</v>
      </c>
      <c r="H60" s="59">
        <v>2673.924</v>
      </c>
      <c r="I60" s="59">
        <v>6780.4919999999993</v>
      </c>
      <c r="J60" s="398">
        <v>38.512659999999997</v>
      </c>
      <c r="K60" s="414">
        <f t="shared" si="0"/>
        <v>47.967075999999992</v>
      </c>
      <c r="L60" s="397"/>
      <c r="M60" s="397"/>
      <c r="N60" s="397">
        <f t="shared" si="1"/>
        <v>47.967075999999992</v>
      </c>
      <c r="O60" s="399">
        <f t="shared" si="2"/>
        <v>51</v>
      </c>
      <c r="P60" s="196"/>
      <c r="Q60" s="46"/>
      <c r="R60" s="196"/>
      <c r="S60" s="257"/>
      <c r="T60" s="196"/>
      <c r="U60" s="46"/>
      <c r="V60" s="46"/>
      <c r="W60" s="257"/>
      <c r="X60" s="46"/>
      <c r="Y60" s="46"/>
      <c r="Z60" s="46"/>
      <c r="AA60" s="257"/>
      <c r="AB60" s="196"/>
      <c r="AC60" s="46"/>
      <c r="AD60" s="46"/>
      <c r="AE60" s="257"/>
      <c r="AF60" s="196"/>
      <c r="AG60" s="46"/>
      <c r="AH60" s="46"/>
      <c r="AI60" s="196"/>
      <c r="AJ60" s="400"/>
      <c r="AK60" s="196"/>
      <c r="AL60" s="46"/>
      <c r="AM60" s="218"/>
      <c r="AN60" s="257"/>
      <c r="AO60" s="196"/>
      <c r="AP60" s="46"/>
      <c r="AQ60" s="257"/>
      <c r="AR60" s="196"/>
      <c r="AS60" s="46"/>
      <c r="AT60" s="257"/>
      <c r="AU60" s="196"/>
      <c r="AV60" s="46"/>
      <c r="AW60" s="257"/>
      <c r="AX60" s="196"/>
      <c r="AY60" s="46"/>
      <c r="AZ60" s="257"/>
      <c r="BA60" s="46"/>
      <c r="BB60" s="46"/>
      <c r="BC60" s="46"/>
      <c r="BD60" s="46"/>
      <c r="BE60" s="46"/>
      <c r="BF60" s="257"/>
      <c r="BG60" s="46"/>
      <c r="BH60" s="46"/>
      <c r="BI60" s="46"/>
      <c r="BJ60" s="196"/>
      <c r="BK60" s="46"/>
      <c r="BL60" s="46"/>
      <c r="BM60" s="46"/>
      <c r="BN60" s="46"/>
      <c r="BO60" s="257"/>
      <c r="BP60" s="196"/>
      <c r="BQ60" s="46"/>
      <c r="BR60" s="257"/>
      <c r="BS60" s="46"/>
      <c r="BT60" s="46"/>
      <c r="BU60" s="257"/>
      <c r="BV60" s="196"/>
      <c r="BW60" s="46"/>
      <c r="BX60" s="46"/>
      <c r="BY60" s="46"/>
      <c r="BZ60" s="46"/>
      <c r="CA60" s="257"/>
      <c r="CB60" s="196"/>
      <c r="CC60" s="46"/>
      <c r="CD60" s="257"/>
      <c r="CE60" s="46"/>
      <c r="CF60" s="46"/>
      <c r="CG60" s="257"/>
      <c r="CH60" s="46"/>
      <c r="CI60" s="46"/>
      <c r="CJ60" s="46"/>
      <c r="CK60" s="46"/>
      <c r="CL60" s="46"/>
      <c r="CM60" s="257"/>
      <c r="CN60" s="46"/>
      <c r="CO60" s="376"/>
      <c r="CP60" s="257"/>
      <c r="CQ60" s="196"/>
      <c r="CR60" s="190" t="s">
        <v>554</v>
      </c>
      <c r="CS60" s="257">
        <f>CY60+DE60+DL60+DT60+EB60+EJ60+51000</f>
        <v>51000</v>
      </c>
      <c r="CT60" s="196"/>
      <c r="CU60" s="317"/>
      <c r="CV60" s="391">
        <f t="shared" si="4"/>
        <v>0</v>
      </c>
      <c r="CW60" s="41"/>
      <c r="CX60" s="41"/>
      <c r="CY60" s="256"/>
      <c r="CZ60" s="308"/>
      <c r="DA60" s="308"/>
      <c r="DB60" s="420"/>
      <c r="DC60" s="41"/>
      <c r="DD60" s="41"/>
      <c r="DE60" s="256"/>
      <c r="DF60" s="41"/>
      <c r="DG60" s="41"/>
      <c r="DH60" s="391"/>
      <c r="DI60" s="41"/>
      <c r="DJ60" s="41"/>
      <c r="DK60" s="203"/>
      <c r="DL60" s="256"/>
      <c r="DM60" s="41"/>
      <c r="DN60" s="41"/>
      <c r="DO60" s="41"/>
      <c r="DP60" s="420"/>
      <c r="DQ60" s="41"/>
      <c r="DR60" s="41"/>
      <c r="DS60" s="203"/>
      <c r="DT60" s="256"/>
      <c r="DU60" s="46"/>
      <c r="DV60" s="46"/>
      <c r="DW60" s="196"/>
      <c r="DX60" s="391"/>
      <c r="DY60" s="41"/>
      <c r="DZ60" s="41"/>
      <c r="EA60" s="41"/>
      <c r="EB60" s="69"/>
      <c r="EC60" s="41"/>
      <c r="ED60" s="41"/>
      <c r="EE60" s="41"/>
      <c r="EF60" s="420"/>
      <c r="EG60" s="41"/>
      <c r="EH60" s="41"/>
      <c r="EI60" s="41"/>
      <c r="EJ60" s="256"/>
      <c r="EK60" s="41"/>
      <c r="EL60" s="41"/>
      <c r="EM60" s="41"/>
      <c r="EN60" s="391"/>
    </row>
    <row r="61" spans="1:144" ht="25.5">
      <c r="A61" s="45">
        <v>54</v>
      </c>
      <c r="B61" s="53" t="s">
        <v>301</v>
      </c>
      <c r="C61" s="45">
        <v>1</v>
      </c>
      <c r="D61" s="55" t="s">
        <v>235</v>
      </c>
      <c r="E61" s="54">
        <v>23</v>
      </c>
      <c r="F61" s="54">
        <v>6</v>
      </c>
      <c r="G61" s="397">
        <f>9882.168/1000</f>
        <v>9.8821680000000001</v>
      </c>
      <c r="H61" s="59">
        <v>2794.9019999999996</v>
      </c>
      <c r="I61" s="59">
        <v>7087.2659999999987</v>
      </c>
      <c r="J61" s="398">
        <v>49.934156000000002</v>
      </c>
      <c r="K61" s="414">
        <f t="shared" si="0"/>
        <v>59.816324000000002</v>
      </c>
      <c r="L61" s="397"/>
      <c r="M61" s="397"/>
      <c r="N61" s="397">
        <f t="shared" si="1"/>
        <v>59.816324000000002</v>
      </c>
      <c r="O61" s="399">
        <f t="shared" si="2"/>
        <v>58</v>
      </c>
      <c r="P61" s="196"/>
      <c r="Q61" s="46"/>
      <c r="R61" s="196"/>
      <c r="S61" s="257"/>
      <c r="T61" s="196"/>
      <c r="U61" s="46"/>
      <c r="V61" s="46"/>
      <c r="W61" s="257"/>
      <c r="X61" s="46"/>
      <c r="Y61" s="46"/>
      <c r="Z61" s="46"/>
      <c r="AA61" s="257"/>
      <c r="AB61" s="196"/>
      <c r="AC61" s="46"/>
      <c r="AD61" s="46"/>
      <c r="AE61" s="257"/>
      <c r="AF61" s="196"/>
      <c r="AG61" s="46"/>
      <c r="AH61" s="46"/>
      <c r="AI61" s="196"/>
      <c r="AJ61" s="400"/>
      <c r="AK61" s="196"/>
      <c r="AL61" s="46"/>
      <c r="AM61" s="218"/>
      <c r="AN61" s="257"/>
      <c r="AO61" s="218"/>
      <c r="AP61" s="167"/>
      <c r="AQ61" s="524"/>
      <c r="AR61" s="196"/>
      <c r="AS61" s="46"/>
      <c r="AT61" s="257"/>
      <c r="AU61" s="196"/>
      <c r="AV61" s="46"/>
      <c r="AW61" s="257"/>
      <c r="AX61" s="196"/>
      <c r="AY61" s="46"/>
      <c r="AZ61" s="257"/>
      <c r="BA61" s="46"/>
      <c r="BB61" s="46"/>
      <c r="BC61" s="46"/>
      <c r="BD61" s="46"/>
      <c r="BE61" s="46"/>
      <c r="BF61" s="257"/>
      <c r="BG61" s="46"/>
      <c r="BH61" s="46"/>
      <c r="BI61" s="46"/>
      <c r="BJ61" s="196"/>
      <c r="BK61" s="46"/>
      <c r="BL61" s="46"/>
      <c r="BM61" s="46"/>
      <c r="BN61" s="46"/>
      <c r="BO61" s="257"/>
      <c r="BP61" s="196"/>
      <c r="BQ61" s="46"/>
      <c r="BR61" s="257"/>
      <c r="BS61" s="46"/>
      <c r="BT61" s="46"/>
      <c r="BU61" s="257"/>
      <c r="BV61" s="196"/>
      <c r="BW61" s="46"/>
      <c r="BX61" s="46"/>
      <c r="BY61" s="46"/>
      <c r="BZ61" s="46"/>
      <c r="CA61" s="257"/>
      <c r="CB61" s="196"/>
      <c r="CC61" s="46"/>
      <c r="CD61" s="257"/>
      <c r="CE61" s="46"/>
      <c r="CF61" s="46"/>
      <c r="CG61" s="257"/>
      <c r="CH61" s="46"/>
      <c r="CI61" s="46"/>
      <c r="CJ61" s="46"/>
      <c r="CK61" s="46"/>
      <c r="CL61" s="46"/>
      <c r="CM61" s="257"/>
      <c r="CN61" s="46"/>
      <c r="CO61" s="376"/>
      <c r="CP61" s="257"/>
      <c r="CQ61" s="196"/>
      <c r="CR61" s="190" t="s">
        <v>554</v>
      </c>
      <c r="CS61" s="257">
        <f>CY61+DE61+DL61+DT61+EB61+EJ61+58000</f>
        <v>58000</v>
      </c>
      <c r="CT61" s="196"/>
      <c r="CU61" s="317"/>
      <c r="CV61" s="391">
        <f t="shared" si="4"/>
        <v>0</v>
      </c>
      <c r="CW61" s="41"/>
      <c r="CX61" s="41"/>
      <c r="CY61" s="256"/>
      <c r="CZ61" s="308"/>
      <c r="DA61" s="308"/>
      <c r="DB61" s="420"/>
      <c r="DC61" s="41"/>
      <c r="DD61" s="41"/>
      <c r="DE61" s="256"/>
      <c r="DF61" s="41"/>
      <c r="DG61" s="41"/>
      <c r="DH61" s="391"/>
      <c r="DI61" s="41"/>
      <c r="DJ61" s="41"/>
      <c r="DK61" s="203"/>
      <c r="DL61" s="256"/>
      <c r="DM61" s="41"/>
      <c r="DN61" s="41"/>
      <c r="DO61" s="41"/>
      <c r="DP61" s="420"/>
      <c r="DQ61" s="41"/>
      <c r="DR61" s="41"/>
      <c r="DS61" s="203"/>
      <c r="DT61" s="256"/>
      <c r="DU61" s="46"/>
      <c r="DV61" s="46"/>
      <c r="DW61" s="196"/>
      <c r="DX61" s="391"/>
      <c r="DY61" s="41"/>
      <c r="DZ61" s="41"/>
      <c r="EA61" s="41"/>
      <c r="EB61" s="69"/>
      <c r="EC61" s="41"/>
      <c r="ED61" s="41"/>
      <c r="EE61" s="41"/>
      <c r="EF61" s="420"/>
      <c r="EG61" s="41"/>
      <c r="EH61" s="41"/>
      <c r="EI61" s="41"/>
      <c r="EJ61" s="256"/>
      <c r="EK61" s="41"/>
      <c r="EL61" s="41"/>
      <c r="EM61" s="41"/>
      <c r="EN61" s="391"/>
    </row>
    <row r="62" spans="1:144" ht="25.5">
      <c r="A62" s="45">
        <v>55</v>
      </c>
      <c r="B62" s="53" t="s">
        <v>301</v>
      </c>
      <c r="C62" s="45">
        <v>1</v>
      </c>
      <c r="D62" s="55" t="s">
        <v>235</v>
      </c>
      <c r="E62" s="54">
        <v>24</v>
      </c>
      <c r="F62" s="54">
        <v>6</v>
      </c>
      <c r="G62" s="397">
        <f>9180.216/1000</f>
        <v>9.1802159999999997</v>
      </c>
      <c r="H62" s="59">
        <v>2596.3740000000003</v>
      </c>
      <c r="I62" s="59">
        <v>6583.8420000000006</v>
      </c>
      <c r="J62" s="398">
        <v>-72.673879999999997</v>
      </c>
      <c r="K62" s="414">
        <f t="shared" si="0"/>
        <v>-63.493663999999995</v>
      </c>
      <c r="L62" s="397"/>
      <c r="M62" s="397"/>
      <c r="N62" s="397">
        <f t="shared" si="1"/>
        <v>-63.493663999999995</v>
      </c>
      <c r="O62" s="399">
        <f t="shared" si="2"/>
        <v>0</v>
      </c>
      <c r="P62" s="196"/>
      <c r="Q62" s="46"/>
      <c r="R62" s="196"/>
      <c r="S62" s="257"/>
      <c r="T62" s="196"/>
      <c r="U62" s="46"/>
      <c r="V62" s="46"/>
      <c r="W62" s="257"/>
      <c r="X62" s="46"/>
      <c r="Y62" s="46"/>
      <c r="Z62" s="46"/>
      <c r="AA62" s="257"/>
      <c r="AB62" s="196"/>
      <c r="AC62" s="46"/>
      <c r="AD62" s="46"/>
      <c r="AE62" s="257"/>
      <c r="AF62" s="196"/>
      <c r="AG62" s="46"/>
      <c r="AH62" s="46"/>
      <c r="AI62" s="196"/>
      <c r="AJ62" s="400"/>
      <c r="AK62" s="196"/>
      <c r="AL62" s="46"/>
      <c r="AM62" s="218"/>
      <c r="AN62" s="257"/>
      <c r="AO62" s="218"/>
      <c r="AP62" s="167"/>
      <c r="AQ62" s="524"/>
      <c r="AR62" s="196"/>
      <c r="AS62" s="46"/>
      <c r="AT62" s="257"/>
      <c r="AU62" s="196"/>
      <c r="AV62" s="46"/>
      <c r="AW62" s="257"/>
      <c r="AX62" s="196"/>
      <c r="AY62" s="46"/>
      <c r="AZ62" s="257"/>
      <c r="BA62" s="46"/>
      <c r="BB62" s="46"/>
      <c r="BC62" s="46"/>
      <c r="BD62" s="46"/>
      <c r="BE62" s="46"/>
      <c r="BF62" s="257"/>
      <c r="BG62" s="46"/>
      <c r="BH62" s="46"/>
      <c r="BI62" s="46"/>
      <c r="BJ62" s="196"/>
      <c r="BK62" s="46"/>
      <c r="BL62" s="46"/>
      <c r="BM62" s="46"/>
      <c r="BN62" s="46"/>
      <c r="BO62" s="257"/>
      <c r="BP62" s="196"/>
      <c r="BQ62" s="46"/>
      <c r="BR62" s="257"/>
      <c r="BS62" s="46"/>
      <c r="BT62" s="46"/>
      <c r="BU62" s="257"/>
      <c r="BV62" s="196"/>
      <c r="BW62" s="46"/>
      <c r="BX62" s="46"/>
      <c r="BY62" s="46"/>
      <c r="BZ62" s="46"/>
      <c r="CA62" s="257"/>
      <c r="CB62" s="196"/>
      <c r="CC62" s="46"/>
      <c r="CD62" s="257"/>
      <c r="CE62" s="46"/>
      <c r="CF62" s="46"/>
      <c r="CG62" s="257"/>
      <c r="CH62" s="46"/>
      <c r="CI62" s="46"/>
      <c r="CJ62" s="46"/>
      <c r="CK62" s="46"/>
      <c r="CL62" s="46"/>
      <c r="CM62" s="257"/>
      <c r="CN62" s="46"/>
      <c r="CO62" s="376"/>
      <c r="CP62" s="257"/>
      <c r="CQ62" s="196"/>
      <c r="CR62" s="190"/>
      <c r="CS62" s="257">
        <f t="shared" si="3"/>
        <v>0</v>
      </c>
      <c r="CT62" s="196"/>
      <c r="CU62" s="317"/>
      <c r="CV62" s="391">
        <f t="shared" si="4"/>
        <v>0</v>
      </c>
      <c r="CW62" s="41"/>
      <c r="CX62" s="41"/>
      <c r="CY62" s="256"/>
      <c r="CZ62" s="308"/>
      <c r="DA62" s="308"/>
      <c r="DB62" s="420"/>
      <c r="DC62" s="41"/>
      <c r="DD62" s="41"/>
      <c r="DE62" s="256"/>
      <c r="DF62" s="41"/>
      <c r="DG62" s="41"/>
      <c r="DH62" s="391"/>
      <c r="DI62" s="41"/>
      <c r="DJ62" s="41"/>
      <c r="DK62" s="203"/>
      <c r="DL62" s="256"/>
      <c r="DM62" s="41"/>
      <c r="DN62" s="41"/>
      <c r="DO62" s="41"/>
      <c r="DP62" s="420"/>
      <c r="DQ62" s="41"/>
      <c r="DR62" s="41"/>
      <c r="DS62" s="203"/>
      <c r="DT62" s="256"/>
      <c r="DU62" s="46"/>
      <c r="DV62" s="46"/>
      <c r="DW62" s="196"/>
      <c r="DX62" s="391"/>
      <c r="DY62" s="41"/>
      <c r="DZ62" s="41"/>
      <c r="EA62" s="41"/>
      <c r="EB62" s="69"/>
      <c r="EC62" s="41"/>
      <c r="ED62" s="41"/>
      <c r="EE62" s="41"/>
      <c r="EF62" s="420"/>
      <c r="EG62" s="41"/>
      <c r="EH62" s="41"/>
      <c r="EI62" s="41"/>
      <c r="EJ62" s="256"/>
      <c r="EK62" s="41"/>
      <c r="EL62" s="41"/>
      <c r="EM62" s="41"/>
      <c r="EN62" s="391"/>
    </row>
    <row r="63" spans="1:144" ht="25.5">
      <c r="A63" s="45">
        <v>56</v>
      </c>
      <c r="B63" s="53" t="s">
        <v>301</v>
      </c>
      <c r="C63" s="45">
        <v>1</v>
      </c>
      <c r="D63" s="55" t="s">
        <v>235</v>
      </c>
      <c r="E63" s="54">
        <v>25</v>
      </c>
      <c r="F63" s="54">
        <v>6</v>
      </c>
      <c r="G63" s="397">
        <f>9366.672/1000</f>
        <v>9.3666720000000012</v>
      </c>
      <c r="H63" s="59">
        <v>2649.1080000000002</v>
      </c>
      <c r="I63" s="59">
        <v>6717.5640000000003</v>
      </c>
      <c r="J63" s="398">
        <v>45.259833999999998</v>
      </c>
      <c r="K63" s="414">
        <f t="shared" si="0"/>
        <v>54.626505999999999</v>
      </c>
      <c r="L63" s="397"/>
      <c r="M63" s="397"/>
      <c r="N63" s="397">
        <f t="shared" si="1"/>
        <v>54.626505999999999</v>
      </c>
      <c r="O63" s="399">
        <f t="shared" si="2"/>
        <v>54</v>
      </c>
      <c r="P63" s="196"/>
      <c r="Q63" s="46"/>
      <c r="R63" s="196"/>
      <c r="S63" s="257"/>
      <c r="T63" s="196"/>
      <c r="U63" s="46"/>
      <c r="V63" s="46"/>
      <c r="W63" s="257"/>
      <c r="X63" s="46"/>
      <c r="Y63" s="46"/>
      <c r="Z63" s="46"/>
      <c r="AA63" s="257"/>
      <c r="AB63" s="196"/>
      <c r="AC63" s="46"/>
      <c r="AD63" s="46"/>
      <c r="AE63" s="257"/>
      <c r="AF63" s="196"/>
      <c r="AG63" s="46"/>
      <c r="AH63" s="46"/>
      <c r="AI63" s="196"/>
      <c r="AJ63" s="400"/>
      <c r="AK63" s="196"/>
      <c r="AL63" s="46"/>
      <c r="AM63" s="218"/>
      <c r="AN63" s="257"/>
      <c r="AO63" s="196"/>
      <c r="AP63" s="46"/>
      <c r="AQ63" s="257"/>
      <c r="AR63" s="196"/>
      <c r="AS63" s="46"/>
      <c r="AT63" s="257"/>
      <c r="AU63" s="196"/>
      <c r="AV63" s="46"/>
      <c r="AW63" s="257"/>
      <c r="AX63" s="196"/>
      <c r="AY63" s="46"/>
      <c r="AZ63" s="257"/>
      <c r="BA63" s="46"/>
      <c r="BB63" s="46"/>
      <c r="BC63" s="46"/>
      <c r="BD63" s="46"/>
      <c r="BE63" s="46"/>
      <c r="BF63" s="257"/>
      <c r="BG63" s="46"/>
      <c r="BH63" s="46"/>
      <c r="BI63" s="46"/>
      <c r="BJ63" s="196"/>
      <c r="BK63" s="46"/>
      <c r="BL63" s="46"/>
      <c r="BM63" s="46"/>
      <c r="BN63" s="46"/>
      <c r="BO63" s="257"/>
      <c r="BP63" s="196"/>
      <c r="BQ63" s="46"/>
      <c r="BR63" s="257"/>
      <c r="BS63" s="46"/>
      <c r="BT63" s="46"/>
      <c r="BU63" s="257"/>
      <c r="BV63" s="196"/>
      <c r="BW63" s="46"/>
      <c r="BX63" s="46"/>
      <c r="BY63" s="46"/>
      <c r="BZ63" s="46"/>
      <c r="CA63" s="257"/>
      <c r="CB63" s="196" t="s">
        <v>227</v>
      </c>
      <c r="CC63" s="46">
        <v>15</v>
      </c>
      <c r="CD63" s="257">
        <f>CC63*1800</f>
        <v>27000</v>
      </c>
      <c r="CE63" s="46"/>
      <c r="CF63" s="46"/>
      <c r="CG63" s="257"/>
      <c r="CH63" s="46"/>
      <c r="CI63" s="46"/>
      <c r="CJ63" s="46"/>
      <c r="CK63" s="46"/>
      <c r="CL63" s="46"/>
      <c r="CM63" s="257"/>
      <c r="CN63" s="46"/>
      <c r="CO63" s="376"/>
      <c r="CP63" s="257"/>
      <c r="CQ63" s="196"/>
      <c r="CR63" s="190" t="s">
        <v>554</v>
      </c>
      <c r="CS63" s="257">
        <f>CY63+DE63+DL63+DT63+EB63+EJ63+27000</f>
        <v>27000</v>
      </c>
      <c r="CT63" s="196"/>
      <c r="CU63" s="317"/>
      <c r="CV63" s="391">
        <f t="shared" si="4"/>
        <v>0</v>
      </c>
      <c r="CW63" s="41"/>
      <c r="CX63" s="41"/>
      <c r="CY63" s="256"/>
      <c r="CZ63" s="308"/>
      <c r="DA63" s="308"/>
      <c r="DB63" s="420"/>
      <c r="DC63" s="41"/>
      <c r="DD63" s="41"/>
      <c r="DE63" s="256"/>
      <c r="DF63" s="41"/>
      <c r="DG63" s="41"/>
      <c r="DH63" s="391"/>
      <c r="DI63" s="41"/>
      <c r="DJ63" s="41"/>
      <c r="DK63" s="203"/>
      <c r="DL63" s="256"/>
      <c r="DM63" s="41"/>
      <c r="DN63" s="41"/>
      <c r="DO63" s="41"/>
      <c r="DP63" s="420"/>
      <c r="DQ63" s="41"/>
      <c r="DR63" s="41"/>
      <c r="DS63" s="203"/>
      <c r="DT63" s="256"/>
      <c r="DU63" s="46"/>
      <c r="DV63" s="46"/>
      <c r="DW63" s="196"/>
      <c r="DX63" s="391"/>
      <c r="DY63" s="41"/>
      <c r="DZ63" s="41"/>
      <c r="EA63" s="41"/>
      <c r="EB63" s="69"/>
      <c r="EC63" s="41"/>
      <c r="ED63" s="41"/>
      <c r="EE63" s="41"/>
      <c r="EF63" s="420"/>
      <c r="EG63" s="41"/>
      <c r="EH63" s="41"/>
      <c r="EI63" s="41"/>
      <c r="EJ63" s="256"/>
      <c r="EK63" s="41"/>
      <c r="EL63" s="41"/>
      <c r="EM63" s="41"/>
      <c r="EN63" s="391"/>
    </row>
    <row r="64" spans="1:144" ht="25.5">
      <c r="A64" s="45">
        <v>57</v>
      </c>
      <c r="B64" s="53" t="s">
        <v>301</v>
      </c>
      <c r="C64" s="45">
        <v>1</v>
      </c>
      <c r="D64" s="55" t="s">
        <v>687</v>
      </c>
      <c r="E64" s="54">
        <v>26</v>
      </c>
      <c r="F64" s="54">
        <v>6</v>
      </c>
      <c r="G64" s="397">
        <f>11329.944/1000</f>
        <v>11.329943999999999</v>
      </c>
      <c r="H64" s="59">
        <v>3204.3659999999995</v>
      </c>
      <c r="I64" s="59">
        <v>8125.5779999999995</v>
      </c>
      <c r="J64" s="398">
        <v>55.383808000000002</v>
      </c>
      <c r="K64" s="414">
        <f t="shared" si="0"/>
        <v>66.713751999999999</v>
      </c>
      <c r="L64" s="397"/>
      <c r="M64" s="397"/>
      <c r="N64" s="397">
        <f t="shared" si="1"/>
        <v>66.713751999999999</v>
      </c>
      <c r="O64" s="399">
        <f t="shared" si="2"/>
        <v>0</v>
      </c>
      <c r="P64" s="369" t="s">
        <v>1012</v>
      </c>
      <c r="Q64" s="46"/>
      <c r="R64" s="196"/>
      <c r="S64" s="257"/>
      <c r="T64" s="196"/>
      <c r="U64" s="46"/>
      <c r="V64" s="46"/>
      <c r="W64" s="257"/>
      <c r="X64" s="46"/>
      <c r="Y64" s="46"/>
      <c r="Z64" s="46"/>
      <c r="AA64" s="257"/>
      <c r="AB64" s="196"/>
      <c r="AC64" s="46"/>
      <c r="AD64" s="46"/>
      <c r="AE64" s="257"/>
      <c r="AF64" s="196"/>
      <c r="AG64" s="46"/>
      <c r="AH64" s="46"/>
      <c r="AI64" s="196"/>
      <c r="AJ64" s="400"/>
      <c r="AK64" s="196"/>
      <c r="AL64" s="46"/>
      <c r="AM64" s="218"/>
      <c r="AN64" s="257"/>
      <c r="AO64" s="218"/>
      <c r="AP64" s="167"/>
      <c r="AQ64" s="524"/>
      <c r="AR64" s="196"/>
      <c r="AS64" s="46"/>
      <c r="AT64" s="257"/>
      <c r="AU64" s="196"/>
      <c r="AV64" s="46"/>
      <c r="AW64" s="257"/>
      <c r="AX64" s="196"/>
      <c r="AY64" s="46"/>
      <c r="AZ64" s="257"/>
      <c r="BA64" s="46"/>
      <c r="BB64" s="46"/>
      <c r="BC64" s="46"/>
      <c r="BD64" s="46"/>
      <c r="BE64" s="46"/>
      <c r="BF64" s="257"/>
      <c r="BG64" s="46"/>
      <c r="BH64" s="46"/>
      <c r="BI64" s="46"/>
      <c r="BJ64" s="196"/>
      <c r="BK64" s="46"/>
      <c r="BL64" s="46"/>
      <c r="BM64" s="46"/>
      <c r="BN64" s="46"/>
      <c r="BO64" s="257"/>
      <c r="BP64" s="196"/>
      <c r="BQ64" s="46"/>
      <c r="BR64" s="257"/>
      <c r="BS64" s="46"/>
      <c r="BT64" s="46"/>
      <c r="BU64" s="257"/>
      <c r="BV64" s="196"/>
      <c r="BW64" s="46"/>
      <c r="BX64" s="46"/>
      <c r="BY64" s="46"/>
      <c r="BZ64" s="46"/>
      <c r="CA64" s="257"/>
      <c r="CB64" s="196"/>
      <c r="CC64" s="46"/>
      <c r="CD64" s="257"/>
      <c r="CE64" s="46"/>
      <c r="CF64" s="46"/>
      <c r="CG64" s="257"/>
      <c r="CH64" s="46"/>
      <c r="CI64" s="46"/>
      <c r="CJ64" s="46"/>
      <c r="CK64" s="46"/>
      <c r="CL64" s="46"/>
      <c r="CM64" s="257"/>
      <c r="CN64" s="46"/>
      <c r="CO64" s="376"/>
      <c r="CP64" s="257"/>
      <c r="CQ64" s="196"/>
      <c r="CR64" s="190"/>
      <c r="CS64" s="257">
        <f t="shared" si="3"/>
        <v>0</v>
      </c>
      <c r="CT64" s="196"/>
      <c r="CU64" s="317"/>
      <c r="CV64" s="391">
        <f t="shared" si="4"/>
        <v>0</v>
      </c>
      <c r="CW64" s="41"/>
      <c r="CX64" s="41"/>
      <c r="CY64" s="256"/>
      <c r="CZ64" s="308"/>
      <c r="DA64" s="308"/>
      <c r="DB64" s="420"/>
      <c r="DC64" s="41"/>
      <c r="DD64" s="41"/>
      <c r="DE64" s="256"/>
      <c r="DF64" s="41"/>
      <c r="DG64" s="41"/>
      <c r="DH64" s="391"/>
      <c r="DI64" s="41"/>
      <c r="DJ64" s="41"/>
      <c r="DK64" s="203"/>
      <c r="DL64" s="256"/>
      <c r="DM64" s="41"/>
      <c r="DN64" s="41"/>
      <c r="DO64" s="41"/>
      <c r="DP64" s="420"/>
      <c r="DQ64" s="41"/>
      <c r="DR64" s="41"/>
      <c r="DS64" s="203"/>
      <c r="DT64" s="256"/>
      <c r="DU64" s="46"/>
      <c r="DV64" s="46"/>
      <c r="DW64" s="196"/>
      <c r="DX64" s="391"/>
      <c r="DY64" s="41"/>
      <c r="DZ64" s="41"/>
      <c r="EA64" s="41"/>
      <c r="EB64" s="69"/>
      <c r="EC64" s="41"/>
      <c r="ED64" s="41"/>
      <c r="EE64" s="41"/>
      <c r="EF64" s="420"/>
      <c r="EG64" s="41"/>
      <c r="EH64" s="41"/>
      <c r="EI64" s="41"/>
      <c r="EJ64" s="256"/>
      <c r="EK64" s="41"/>
      <c r="EL64" s="41"/>
      <c r="EM64" s="41"/>
      <c r="EN64" s="391"/>
    </row>
    <row r="65" spans="1:144" ht="25.5">
      <c r="A65" s="45">
        <v>58</v>
      </c>
      <c r="B65" s="53" t="s">
        <v>301</v>
      </c>
      <c r="C65" s="45">
        <v>1</v>
      </c>
      <c r="D65" s="55" t="s">
        <v>687</v>
      </c>
      <c r="E65" s="54">
        <v>27</v>
      </c>
      <c r="F65" s="54">
        <v>6</v>
      </c>
      <c r="G65" s="397">
        <f>9607.968/1000</f>
        <v>9.6079680000000014</v>
      </c>
      <c r="H65" s="59">
        <v>2717.3519999999999</v>
      </c>
      <c r="I65" s="59">
        <v>6890.616</v>
      </c>
      <c r="J65" s="398">
        <v>46.586326</v>
      </c>
      <c r="K65" s="414">
        <f t="shared" si="0"/>
        <v>56.194293999999999</v>
      </c>
      <c r="L65" s="397"/>
      <c r="M65" s="397"/>
      <c r="N65" s="397">
        <f t="shared" si="1"/>
        <v>56.194293999999999</v>
      </c>
      <c r="O65" s="399">
        <f t="shared" si="2"/>
        <v>0</v>
      </c>
      <c r="P65" s="369" t="s">
        <v>1012</v>
      </c>
      <c r="Q65" s="46"/>
      <c r="R65" s="196"/>
      <c r="S65" s="257"/>
      <c r="T65" s="196"/>
      <c r="U65" s="46"/>
      <c r="V65" s="46"/>
      <c r="W65" s="257"/>
      <c r="X65" s="46"/>
      <c r="Y65" s="46"/>
      <c r="Z65" s="46"/>
      <c r="AA65" s="257"/>
      <c r="AB65" s="196"/>
      <c r="AC65" s="46"/>
      <c r="AD65" s="46"/>
      <c r="AE65" s="257"/>
      <c r="AF65" s="196"/>
      <c r="AG65" s="46"/>
      <c r="AH65" s="46"/>
      <c r="AI65" s="196"/>
      <c r="AJ65" s="400"/>
      <c r="AK65" s="196"/>
      <c r="AL65" s="46"/>
      <c r="AM65" s="218"/>
      <c r="AN65" s="257"/>
      <c r="AO65" s="218"/>
      <c r="AP65" s="167"/>
      <c r="AQ65" s="524"/>
      <c r="AR65" s="196"/>
      <c r="AS65" s="46"/>
      <c r="AT65" s="257"/>
      <c r="AU65" s="196"/>
      <c r="AV65" s="46"/>
      <c r="AW65" s="257"/>
      <c r="AX65" s="196"/>
      <c r="AY65" s="46"/>
      <c r="AZ65" s="257"/>
      <c r="BA65" s="46"/>
      <c r="BB65" s="46"/>
      <c r="BC65" s="46"/>
      <c r="BD65" s="46"/>
      <c r="BE65" s="46"/>
      <c r="BF65" s="257"/>
      <c r="BG65" s="46"/>
      <c r="BH65" s="46"/>
      <c r="BI65" s="46"/>
      <c r="BJ65" s="196"/>
      <c r="BK65" s="46"/>
      <c r="BL65" s="46"/>
      <c r="BM65" s="46"/>
      <c r="BN65" s="46"/>
      <c r="BO65" s="257"/>
      <c r="BP65" s="196"/>
      <c r="BQ65" s="46"/>
      <c r="BR65" s="257"/>
      <c r="BS65" s="46"/>
      <c r="BT65" s="46"/>
      <c r="BU65" s="257"/>
      <c r="BV65" s="196"/>
      <c r="BW65" s="46"/>
      <c r="BX65" s="46"/>
      <c r="BY65" s="46"/>
      <c r="BZ65" s="46"/>
      <c r="CA65" s="257"/>
      <c r="CB65" s="196"/>
      <c r="CC65" s="46"/>
      <c r="CD65" s="257"/>
      <c r="CE65" s="46"/>
      <c r="CF65" s="46"/>
      <c r="CG65" s="257"/>
      <c r="CH65" s="46"/>
      <c r="CI65" s="46"/>
      <c r="CJ65" s="46"/>
      <c r="CK65" s="46"/>
      <c r="CL65" s="46"/>
      <c r="CM65" s="257"/>
      <c r="CN65" s="46"/>
      <c r="CO65" s="376"/>
      <c r="CP65" s="257"/>
      <c r="CQ65" s="196"/>
      <c r="CR65" s="190"/>
      <c r="CS65" s="257">
        <f t="shared" si="3"/>
        <v>0</v>
      </c>
      <c r="CT65" s="196"/>
      <c r="CU65" s="317"/>
      <c r="CV65" s="391">
        <f t="shared" si="4"/>
        <v>0</v>
      </c>
      <c r="CW65" s="41"/>
      <c r="CX65" s="41"/>
      <c r="CY65" s="256"/>
      <c r="CZ65" s="308"/>
      <c r="DA65" s="308"/>
      <c r="DB65" s="420"/>
      <c r="DC65" s="41"/>
      <c r="DD65" s="41"/>
      <c r="DE65" s="256"/>
      <c r="DF65" s="41"/>
      <c r="DG65" s="41"/>
      <c r="DH65" s="391"/>
      <c r="DI65" s="41"/>
      <c r="DJ65" s="41"/>
      <c r="DK65" s="203"/>
      <c r="DL65" s="256"/>
      <c r="DM65" s="41"/>
      <c r="DN65" s="41"/>
      <c r="DO65" s="41"/>
      <c r="DP65" s="420"/>
      <c r="DQ65" s="41"/>
      <c r="DR65" s="41"/>
      <c r="DS65" s="203"/>
      <c r="DT65" s="256"/>
      <c r="DU65" s="46"/>
      <c r="DV65" s="46"/>
      <c r="DW65" s="196"/>
      <c r="DX65" s="391"/>
      <c r="DY65" s="41"/>
      <c r="DZ65" s="41"/>
      <c r="EA65" s="41"/>
      <c r="EB65" s="69"/>
      <c r="EC65" s="41"/>
      <c r="ED65" s="41"/>
      <c r="EE65" s="41"/>
      <c r="EF65" s="420"/>
      <c r="EG65" s="41"/>
      <c r="EH65" s="41"/>
      <c r="EI65" s="41"/>
      <c r="EJ65" s="256"/>
      <c r="EK65" s="41"/>
      <c r="EL65" s="41"/>
      <c r="EM65" s="41"/>
      <c r="EN65" s="391"/>
    </row>
    <row r="66" spans="1:144" ht="25.5">
      <c r="A66" s="45">
        <v>59</v>
      </c>
      <c r="B66" s="53" t="s">
        <v>301</v>
      </c>
      <c r="C66" s="45">
        <v>1</v>
      </c>
      <c r="D66" s="55" t="s">
        <v>235</v>
      </c>
      <c r="E66" s="54">
        <v>28</v>
      </c>
      <c r="F66" s="54">
        <v>6</v>
      </c>
      <c r="G66" s="397">
        <f>69109.368/1000</f>
        <v>69.109368000000003</v>
      </c>
      <c r="H66" s="59">
        <v>19545.702000000001</v>
      </c>
      <c r="I66" s="59">
        <v>49563.666000000005</v>
      </c>
      <c r="J66" s="398">
        <v>155.82777600000003</v>
      </c>
      <c r="K66" s="414">
        <f t="shared" si="0"/>
        <v>224.93714400000005</v>
      </c>
      <c r="L66" s="397"/>
      <c r="M66" s="397"/>
      <c r="N66" s="397">
        <f t="shared" si="1"/>
        <v>224.93714400000005</v>
      </c>
      <c r="O66" s="399">
        <f t="shared" si="2"/>
        <v>198</v>
      </c>
      <c r="P66" s="196"/>
      <c r="Q66" s="46"/>
      <c r="R66" s="196"/>
      <c r="S66" s="257"/>
      <c r="T66" s="196"/>
      <c r="U66" s="46"/>
      <c r="V66" s="46"/>
      <c r="W66" s="257"/>
      <c r="X66" s="46"/>
      <c r="Y66" s="46"/>
      <c r="Z66" s="46"/>
      <c r="AA66" s="257"/>
      <c r="AB66" s="196"/>
      <c r="AC66" s="46"/>
      <c r="AD66" s="46"/>
      <c r="AE66" s="257"/>
      <c r="AF66" s="196" t="s">
        <v>229</v>
      </c>
      <c r="AG66" s="46" t="s">
        <v>335</v>
      </c>
      <c r="AH66" s="162">
        <v>60</v>
      </c>
      <c r="AI66" s="196" t="s">
        <v>552</v>
      </c>
      <c r="AJ66" s="400">
        <f>AH66*1300</f>
        <v>78000</v>
      </c>
      <c r="AK66" s="196"/>
      <c r="AL66" s="46"/>
      <c r="AM66" s="218"/>
      <c r="AN66" s="257"/>
      <c r="AO66" s="196"/>
      <c r="AP66" s="46"/>
      <c r="AQ66" s="257"/>
      <c r="AR66" s="196"/>
      <c r="AS66" s="46"/>
      <c r="AT66" s="257"/>
      <c r="AU66" s="196" t="s">
        <v>226</v>
      </c>
      <c r="AV66" s="46">
        <v>40</v>
      </c>
      <c r="AW66" s="257">
        <f>AV66*3000</f>
        <v>120000</v>
      </c>
      <c r="AX66" s="196"/>
      <c r="AY66" s="46"/>
      <c r="AZ66" s="257"/>
      <c r="BA66" s="46"/>
      <c r="BB66" s="46"/>
      <c r="BC66" s="46"/>
      <c r="BD66" s="46"/>
      <c r="BE66" s="46"/>
      <c r="BF66" s="257"/>
      <c r="BG66" s="46"/>
      <c r="BH66" s="46"/>
      <c r="BI66" s="46"/>
      <c r="BJ66" s="196"/>
      <c r="BK66" s="46"/>
      <c r="BL66" s="46"/>
      <c r="BM66" s="46"/>
      <c r="BN66" s="46"/>
      <c r="BO66" s="257"/>
      <c r="BP66" s="196"/>
      <c r="BQ66" s="46"/>
      <c r="BR66" s="257"/>
      <c r="BS66" s="46"/>
      <c r="BT66" s="46"/>
      <c r="BU66" s="257"/>
      <c r="BV66" s="196"/>
      <c r="BW66" s="46"/>
      <c r="BX66" s="46"/>
      <c r="BY66" s="46"/>
      <c r="BZ66" s="46"/>
      <c r="CA66" s="257"/>
      <c r="CB66" s="196"/>
      <c r="CC66" s="46"/>
      <c r="CD66" s="257"/>
      <c r="CE66" s="46"/>
      <c r="CF66" s="46"/>
      <c r="CG66" s="257"/>
      <c r="CH66" s="46"/>
      <c r="CI66" s="46"/>
      <c r="CJ66" s="46"/>
      <c r="CK66" s="46"/>
      <c r="CL66" s="46"/>
      <c r="CM66" s="257"/>
      <c r="CN66" s="46"/>
      <c r="CO66" s="376"/>
      <c r="CP66" s="257"/>
      <c r="CQ66" s="196"/>
      <c r="CR66" s="528"/>
      <c r="CS66" s="257">
        <f t="shared" si="3"/>
        <v>0</v>
      </c>
      <c r="CT66" s="196"/>
      <c r="CU66" s="317"/>
      <c r="CV66" s="391">
        <f t="shared" si="4"/>
        <v>0</v>
      </c>
      <c r="CW66" s="41"/>
      <c r="CX66" s="41"/>
      <c r="CY66" s="256"/>
      <c r="CZ66" s="308"/>
      <c r="DA66" s="308"/>
      <c r="DB66" s="420"/>
      <c r="DC66" s="41"/>
      <c r="DD66" s="41"/>
      <c r="DE66" s="256"/>
      <c r="DF66" s="41"/>
      <c r="DG66" s="41"/>
      <c r="DH66" s="391"/>
      <c r="DI66" s="41"/>
      <c r="DJ66" s="41"/>
      <c r="DK66" s="203"/>
      <c r="DL66" s="256"/>
      <c r="DM66" s="41"/>
      <c r="DN66" s="41"/>
      <c r="DO66" s="41"/>
      <c r="DP66" s="420"/>
      <c r="DQ66" s="41"/>
      <c r="DR66" s="41"/>
      <c r="DS66" s="203"/>
      <c r="DT66" s="256"/>
      <c r="DU66" s="46"/>
      <c r="DV66" s="46"/>
      <c r="DW66" s="196"/>
      <c r="DX66" s="391"/>
      <c r="DY66" s="41"/>
      <c r="DZ66" s="41"/>
      <c r="EA66" s="41"/>
      <c r="EB66" s="69"/>
      <c r="EC66" s="41"/>
      <c r="ED66" s="41"/>
      <c r="EE66" s="41"/>
      <c r="EF66" s="420"/>
      <c r="EG66" s="41"/>
      <c r="EH66" s="41"/>
      <c r="EI66" s="41"/>
      <c r="EJ66" s="256"/>
      <c r="EK66" s="41"/>
      <c r="EL66" s="41"/>
      <c r="EM66" s="41"/>
      <c r="EN66" s="391"/>
    </row>
    <row r="67" spans="1:144" ht="25.5">
      <c r="A67" s="45">
        <v>60</v>
      </c>
      <c r="B67" s="53" t="s">
        <v>301</v>
      </c>
      <c r="C67" s="45">
        <v>1</v>
      </c>
      <c r="D67" s="55" t="s">
        <v>235</v>
      </c>
      <c r="E67" s="54">
        <v>29</v>
      </c>
      <c r="F67" s="54">
        <v>6</v>
      </c>
      <c r="G67" s="397">
        <f>39254.472/1000</f>
        <v>39.254472</v>
      </c>
      <c r="H67" s="59">
        <v>11102.057999999999</v>
      </c>
      <c r="I67" s="59">
        <v>28152.413999999997</v>
      </c>
      <c r="J67" s="398">
        <v>-67.610839999999996</v>
      </c>
      <c r="K67" s="414">
        <f t="shared" si="0"/>
        <v>-28.356367999999996</v>
      </c>
      <c r="L67" s="397"/>
      <c r="M67" s="397"/>
      <c r="N67" s="397">
        <f t="shared" si="1"/>
        <v>-28.356367999999996</v>
      </c>
      <c r="O67" s="399">
        <f t="shared" si="2"/>
        <v>0</v>
      </c>
      <c r="P67" s="196"/>
      <c r="Q67" s="46"/>
      <c r="R67" s="196"/>
      <c r="S67" s="257"/>
      <c r="T67" s="196"/>
      <c r="U67" s="46"/>
      <c r="V67" s="46"/>
      <c r="W67" s="257"/>
      <c r="X67" s="46"/>
      <c r="Y67" s="46"/>
      <c r="Z67" s="46"/>
      <c r="AA67" s="257"/>
      <c r="AB67" s="196"/>
      <c r="AC67" s="46"/>
      <c r="AD67" s="46"/>
      <c r="AE67" s="257"/>
      <c r="AF67" s="196"/>
      <c r="AG67" s="46"/>
      <c r="AH67" s="46"/>
      <c r="AI67" s="196"/>
      <c r="AJ67" s="400"/>
      <c r="AK67" s="196"/>
      <c r="AL67" s="46"/>
      <c r="AM67" s="218"/>
      <c r="AN67" s="257"/>
      <c r="AO67" s="196"/>
      <c r="AP67" s="46"/>
      <c r="AQ67" s="257"/>
      <c r="AR67" s="196"/>
      <c r="AS67" s="46"/>
      <c r="AT67" s="257"/>
      <c r="AU67" s="196"/>
      <c r="AV67" s="46"/>
      <c r="AW67" s="257"/>
      <c r="AX67" s="196"/>
      <c r="AY67" s="46"/>
      <c r="AZ67" s="257"/>
      <c r="BA67" s="46"/>
      <c r="BB67" s="46"/>
      <c r="BC67" s="46"/>
      <c r="BD67" s="46"/>
      <c r="BE67" s="46"/>
      <c r="BF67" s="257"/>
      <c r="BG67" s="46"/>
      <c r="BH67" s="46"/>
      <c r="BI67" s="46"/>
      <c r="BJ67" s="196"/>
      <c r="BK67" s="46"/>
      <c r="BL67" s="46"/>
      <c r="BM67" s="46"/>
      <c r="BN67" s="46"/>
      <c r="BO67" s="257"/>
      <c r="BP67" s="196"/>
      <c r="BQ67" s="46"/>
      <c r="BR67" s="257"/>
      <c r="BS67" s="46"/>
      <c r="BT67" s="46"/>
      <c r="BU67" s="257"/>
      <c r="BV67" s="196"/>
      <c r="BW67" s="46"/>
      <c r="BX67" s="46"/>
      <c r="BY67" s="46"/>
      <c r="BZ67" s="46"/>
      <c r="CA67" s="257"/>
      <c r="CB67" s="196"/>
      <c r="CC67" s="46"/>
      <c r="CD67" s="257"/>
      <c r="CE67" s="46"/>
      <c r="CF67" s="46"/>
      <c r="CG67" s="257"/>
      <c r="CH67" s="46"/>
      <c r="CI67" s="46"/>
      <c r="CJ67" s="46"/>
      <c r="CK67" s="46"/>
      <c r="CL67" s="46"/>
      <c r="CM67" s="257"/>
      <c r="CN67" s="46"/>
      <c r="CO67" s="376"/>
      <c r="CP67" s="257"/>
      <c r="CQ67" s="196"/>
      <c r="CR67" s="190"/>
      <c r="CS67" s="257">
        <f t="shared" si="3"/>
        <v>0</v>
      </c>
      <c r="CT67" s="196"/>
      <c r="CU67" s="317"/>
      <c r="CV67" s="391">
        <f t="shared" si="4"/>
        <v>0</v>
      </c>
      <c r="CW67" s="41"/>
      <c r="CX67" s="41"/>
      <c r="CY67" s="256"/>
      <c r="CZ67" s="308"/>
      <c r="DA67" s="308"/>
      <c r="DB67" s="420"/>
      <c r="DC67" s="41"/>
      <c r="DD67" s="41"/>
      <c r="DE67" s="256"/>
      <c r="DF67" s="41"/>
      <c r="DG67" s="41"/>
      <c r="DH67" s="391"/>
      <c r="DI67" s="41"/>
      <c r="DJ67" s="41"/>
      <c r="DK67" s="203"/>
      <c r="DL67" s="256"/>
      <c r="DM67" s="41"/>
      <c r="DN67" s="41"/>
      <c r="DO67" s="41"/>
      <c r="DP67" s="420"/>
      <c r="DQ67" s="41"/>
      <c r="DR67" s="41"/>
      <c r="DS67" s="203"/>
      <c r="DT67" s="256"/>
      <c r="DU67" s="46"/>
      <c r="DV67" s="46"/>
      <c r="DW67" s="196"/>
      <c r="DX67" s="391"/>
      <c r="DY67" s="41"/>
      <c r="DZ67" s="41"/>
      <c r="EA67" s="41"/>
      <c r="EB67" s="69"/>
      <c r="EC67" s="41"/>
      <c r="ED67" s="41"/>
      <c r="EE67" s="41"/>
      <c r="EF67" s="420"/>
      <c r="EG67" s="41"/>
      <c r="EH67" s="41"/>
      <c r="EI67" s="41"/>
      <c r="EJ67" s="256"/>
      <c r="EK67" s="41"/>
      <c r="EL67" s="41"/>
      <c r="EM67" s="41"/>
      <c r="EN67" s="391"/>
    </row>
    <row r="68" spans="1:144" ht="25.5">
      <c r="A68" s="45">
        <v>61</v>
      </c>
      <c r="B68" s="53" t="s">
        <v>301</v>
      </c>
      <c r="C68" s="45">
        <v>1</v>
      </c>
      <c r="D68" s="55" t="s">
        <v>235</v>
      </c>
      <c r="E68" s="54">
        <v>30</v>
      </c>
      <c r="F68" s="54">
        <v>6</v>
      </c>
      <c r="G68" s="397">
        <f>70973.928/1000</f>
        <v>70.973928000000001</v>
      </c>
      <c r="H68" s="59">
        <v>20073.042000000001</v>
      </c>
      <c r="I68" s="59">
        <v>50900.885999999999</v>
      </c>
      <c r="J68" s="398">
        <v>-21.812534000000007</v>
      </c>
      <c r="K68" s="414">
        <f t="shared" si="0"/>
        <v>49.161393999999994</v>
      </c>
      <c r="L68" s="397"/>
      <c r="M68" s="397"/>
      <c r="N68" s="397">
        <f t="shared" si="1"/>
        <v>49.161393999999994</v>
      </c>
      <c r="O68" s="399">
        <f t="shared" si="2"/>
        <v>50</v>
      </c>
      <c r="P68" s="196"/>
      <c r="Q68" s="46"/>
      <c r="R68" s="196"/>
      <c r="S68" s="257"/>
      <c r="T68" s="196"/>
      <c r="U68" s="46"/>
      <c r="V68" s="46"/>
      <c r="W68" s="257"/>
      <c r="X68" s="46"/>
      <c r="Y68" s="46"/>
      <c r="Z68" s="46"/>
      <c r="AA68" s="257"/>
      <c r="AB68" s="196"/>
      <c r="AC68" s="46"/>
      <c r="AD68" s="46"/>
      <c r="AE68" s="257"/>
      <c r="AF68" s="196"/>
      <c r="AG68" s="46"/>
      <c r="AH68" s="46"/>
      <c r="AI68" s="196"/>
      <c r="AJ68" s="400"/>
      <c r="AK68" s="196"/>
      <c r="AL68" s="46"/>
      <c r="AM68" s="218"/>
      <c r="AN68" s="257"/>
      <c r="AO68" s="196"/>
      <c r="AP68" s="46"/>
      <c r="AQ68" s="257"/>
      <c r="AR68" s="196"/>
      <c r="AS68" s="46"/>
      <c r="AT68" s="257"/>
      <c r="AU68" s="196"/>
      <c r="AV68" s="46"/>
      <c r="AW68" s="257"/>
      <c r="AX68" s="196"/>
      <c r="AY68" s="46"/>
      <c r="AZ68" s="257"/>
      <c r="BA68" s="46"/>
      <c r="BB68" s="46"/>
      <c r="BC68" s="46"/>
      <c r="BD68" s="46"/>
      <c r="BE68" s="46"/>
      <c r="BF68" s="257"/>
      <c r="BG68" s="46"/>
      <c r="BH68" s="46"/>
      <c r="BI68" s="46"/>
      <c r="BJ68" s="196"/>
      <c r="BK68" s="46"/>
      <c r="BL68" s="46"/>
      <c r="BM68" s="46"/>
      <c r="BN68" s="46"/>
      <c r="BO68" s="257"/>
      <c r="BP68" s="196"/>
      <c r="BQ68" s="46"/>
      <c r="BR68" s="257"/>
      <c r="BS68" s="46"/>
      <c r="BT68" s="46"/>
      <c r="BU68" s="257"/>
      <c r="BV68" s="196"/>
      <c r="BW68" s="46"/>
      <c r="BX68" s="46"/>
      <c r="BY68" s="46"/>
      <c r="BZ68" s="46"/>
      <c r="CA68" s="257"/>
      <c r="CB68" s="196"/>
      <c r="CC68" s="46"/>
      <c r="CD68" s="257"/>
      <c r="CE68" s="46"/>
      <c r="CF68" s="46"/>
      <c r="CG68" s="257"/>
      <c r="CH68" s="46"/>
      <c r="CI68" s="46"/>
      <c r="CJ68" s="46"/>
      <c r="CK68" s="46"/>
      <c r="CL68" s="46"/>
      <c r="CM68" s="257"/>
      <c r="CN68" s="46"/>
      <c r="CO68" s="376"/>
      <c r="CP68" s="257"/>
      <c r="CQ68" s="196"/>
      <c r="CR68" s="190" t="s">
        <v>554</v>
      </c>
      <c r="CS68" s="257">
        <f>CY68+DE68+DL68+DT68+EB68+EJ68+50000</f>
        <v>50000</v>
      </c>
      <c r="CT68" s="218"/>
      <c r="CU68" s="317"/>
      <c r="CV68" s="391">
        <f t="shared" si="4"/>
        <v>0</v>
      </c>
      <c r="CW68" s="41"/>
      <c r="CX68" s="41"/>
      <c r="CY68" s="256"/>
      <c r="CZ68" s="308"/>
      <c r="DA68" s="308"/>
      <c r="DB68" s="420"/>
      <c r="DC68" s="41"/>
      <c r="DD68" s="41"/>
      <c r="DE68" s="256"/>
      <c r="DF68" s="41"/>
      <c r="DG68" s="41"/>
      <c r="DH68" s="391"/>
      <c r="DI68" s="41"/>
      <c r="DJ68" s="41"/>
      <c r="DK68" s="203"/>
      <c r="DL68" s="256"/>
      <c r="DM68" s="41"/>
      <c r="DN68" s="41"/>
      <c r="DO68" s="41"/>
      <c r="DP68" s="420"/>
      <c r="DQ68" s="41"/>
      <c r="DR68" s="41"/>
      <c r="DS68" s="203"/>
      <c r="DT68" s="256"/>
      <c r="DU68" s="46"/>
      <c r="DV68" s="46"/>
      <c r="DW68" s="196"/>
      <c r="DX68" s="391"/>
      <c r="DY68" s="41"/>
      <c r="DZ68" s="41"/>
      <c r="EA68" s="41"/>
      <c r="EB68" s="69"/>
      <c r="EC68" s="41"/>
      <c r="ED68" s="41"/>
      <c r="EE68" s="41"/>
      <c r="EF68" s="420"/>
      <c r="EG68" s="41"/>
      <c r="EH68" s="41"/>
      <c r="EI68" s="41"/>
      <c r="EJ68" s="256"/>
      <c r="EK68" s="41"/>
      <c r="EL68" s="41"/>
      <c r="EM68" s="41"/>
      <c r="EN68" s="391"/>
    </row>
    <row r="69" spans="1:144" ht="25.5">
      <c r="A69" s="45">
        <v>62</v>
      </c>
      <c r="B69" s="53" t="s">
        <v>301</v>
      </c>
      <c r="C69" s="45">
        <v>1</v>
      </c>
      <c r="D69" s="55" t="s">
        <v>235</v>
      </c>
      <c r="E69" s="54">
        <v>31</v>
      </c>
      <c r="F69" s="54">
        <v>6</v>
      </c>
      <c r="G69" s="397">
        <f>70337.784/1000</f>
        <v>70.337783999999999</v>
      </c>
      <c r="H69" s="59">
        <v>19893.125999999997</v>
      </c>
      <c r="I69" s="59">
        <v>50444.657999999996</v>
      </c>
      <c r="J69" s="398">
        <v>75.832207999999952</v>
      </c>
      <c r="K69" s="414">
        <f t="shared" si="0"/>
        <v>146.16999199999995</v>
      </c>
      <c r="L69" s="397"/>
      <c r="M69" s="397"/>
      <c r="N69" s="397">
        <f t="shared" si="1"/>
        <v>146.16999199999995</v>
      </c>
      <c r="O69" s="399">
        <f t="shared" si="2"/>
        <v>110</v>
      </c>
      <c r="P69" s="196" t="s">
        <v>226</v>
      </c>
      <c r="Q69" s="46">
        <v>1</v>
      </c>
      <c r="R69" s="196" t="s">
        <v>774</v>
      </c>
      <c r="S69" s="257">
        <f>90000+20000</f>
        <v>110000</v>
      </c>
      <c r="T69" s="196"/>
      <c r="U69" s="46"/>
      <c r="V69" s="46"/>
      <c r="W69" s="257"/>
      <c r="X69" s="46"/>
      <c r="Y69" s="46"/>
      <c r="Z69" s="46"/>
      <c r="AA69" s="257"/>
      <c r="AB69" s="196"/>
      <c r="AC69" s="46"/>
      <c r="AD69" s="46"/>
      <c r="AE69" s="257"/>
      <c r="AF69" s="196"/>
      <c r="AG69" s="46"/>
      <c r="AH69" s="46"/>
      <c r="AI69" s="196"/>
      <c r="AJ69" s="400"/>
      <c r="AK69" s="196"/>
      <c r="AL69" s="46"/>
      <c r="AM69" s="218"/>
      <c r="AN69" s="257"/>
      <c r="AO69" s="196"/>
      <c r="AP69" s="46"/>
      <c r="AQ69" s="257"/>
      <c r="AR69" s="196"/>
      <c r="AS69" s="46"/>
      <c r="AT69" s="257"/>
      <c r="AU69" s="196"/>
      <c r="AV69" s="46"/>
      <c r="AW69" s="257"/>
      <c r="AX69" s="196"/>
      <c r="AY69" s="46"/>
      <c r="AZ69" s="257"/>
      <c r="BA69" s="46"/>
      <c r="BB69" s="46"/>
      <c r="BC69" s="46"/>
      <c r="BD69" s="46"/>
      <c r="BE69" s="46"/>
      <c r="BF69" s="257"/>
      <c r="BG69" s="46"/>
      <c r="BH69" s="46"/>
      <c r="BI69" s="46"/>
      <c r="BJ69" s="196"/>
      <c r="BK69" s="46"/>
      <c r="BL69" s="46"/>
      <c r="BM69" s="46"/>
      <c r="BN69" s="46"/>
      <c r="BO69" s="257"/>
      <c r="BP69" s="196"/>
      <c r="BQ69" s="46"/>
      <c r="BR69" s="257"/>
      <c r="BS69" s="46"/>
      <c r="BT69" s="46"/>
      <c r="BU69" s="257"/>
      <c r="BV69" s="196"/>
      <c r="BW69" s="46"/>
      <c r="BX69" s="46"/>
      <c r="BY69" s="46"/>
      <c r="BZ69" s="46"/>
      <c r="CA69" s="257"/>
      <c r="CB69" s="196"/>
      <c r="CC69" s="46"/>
      <c r="CD69" s="257"/>
      <c r="CE69" s="46"/>
      <c r="CF69" s="46"/>
      <c r="CG69" s="257"/>
      <c r="CH69" s="46"/>
      <c r="CI69" s="46"/>
      <c r="CJ69" s="46"/>
      <c r="CK69" s="46"/>
      <c r="CL69" s="46"/>
      <c r="CM69" s="257"/>
      <c r="CN69" s="46"/>
      <c r="CO69" s="376"/>
      <c r="CP69" s="257"/>
      <c r="CQ69" s="196"/>
      <c r="CR69" s="190"/>
      <c r="CS69" s="257">
        <f>CY69+DE69+DL69+DT69+EB69+EJ69</f>
        <v>0</v>
      </c>
      <c r="CT69" s="196"/>
      <c r="CU69" s="317"/>
      <c r="CV69" s="391">
        <f t="shared" si="4"/>
        <v>10057.75</v>
      </c>
      <c r="CW69" s="41"/>
      <c r="CX69" s="41"/>
      <c r="CY69" s="256"/>
      <c r="CZ69" s="308"/>
      <c r="DA69" s="308"/>
      <c r="DB69" s="420"/>
      <c r="DC69" s="41"/>
      <c r="DD69" s="41"/>
      <c r="DE69" s="256"/>
      <c r="DF69" s="41"/>
      <c r="DG69" s="41"/>
      <c r="DH69" s="391"/>
      <c r="DI69" s="41"/>
      <c r="DJ69" s="41"/>
      <c r="DK69" s="203"/>
      <c r="DL69" s="256"/>
      <c r="DM69" s="41"/>
      <c r="DN69" s="41"/>
      <c r="DO69" s="41"/>
      <c r="DP69" s="420"/>
      <c r="DQ69" s="41"/>
      <c r="DR69" s="41"/>
      <c r="DS69" s="203"/>
      <c r="DT69" s="256"/>
      <c r="DU69" s="46"/>
      <c r="DV69" s="46"/>
      <c r="DW69" s="196"/>
      <c r="DX69" s="391"/>
      <c r="DY69" s="41"/>
      <c r="DZ69" s="41"/>
      <c r="EA69" s="41"/>
      <c r="EB69" s="69"/>
      <c r="EC69" s="41"/>
      <c r="ED69" s="41"/>
      <c r="EE69" s="41"/>
      <c r="EF69" s="420"/>
      <c r="EG69" s="41"/>
      <c r="EH69" s="41"/>
      <c r="EI69" s="41"/>
      <c r="EJ69" s="256"/>
      <c r="EK69" s="41">
        <v>1</v>
      </c>
      <c r="EL69" s="41">
        <v>1</v>
      </c>
      <c r="EM69" s="41">
        <v>1</v>
      </c>
      <c r="EN69" s="391">
        <f>10057.75</f>
        <v>10057.75</v>
      </c>
    </row>
    <row r="70" spans="1:144" ht="25.5">
      <c r="A70" s="45">
        <v>63</v>
      </c>
      <c r="B70" s="53" t="s">
        <v>301</v>
      </c>
      <c r="C70" s="45">
        <v>1</v>
      </c>
      <c r="D70" s="55" t="s">
        <v>235</v>
      </c>
      <c r="E70" s="54">
        <v>32</v>
      </c>
      <c r="F70" s="54">
        <v>6</v>
      </c>
      <c r="G70" s="397">
        <f>70030.68/1000</f>
        <v>70.03067999999999</v>
      </c>
      <c r="H70" s="59">
        <v>19806.27</v>
      </c>
      <c r="I70" s="59">
        <v>50224.41</v>
      </c>
      <c r="J70" s="398">
        <v>126.07031000000003</v>
      </c>
      <c r="K70" s="414">
        <f t="shared" si="0"/>
        <v>196.10099000000002</v>
      </c>
      <c r="L70" s="397"/>
      <c r="M70" s="397"/>
      <c r="N70" s="397">
        <f t="shared" si="1"/>
        <v>196.10099000000002</v>
      </c>
      <c r="O70" s="399">
        <f t="shared" si="2"/>
        <v>170</v>
      </c>
      <c r="P70" s="196"/>
      <c r="Q70" s="46"/>
      <c r="R70" s="196"/>
      <c r="S70" s="257"/>
      <c r="T70" s="196"/>
      <c r="U70" s="46"/>
      <c r="V70" s="46"/>
      <c r="W70" s="257"/>
      <c r="X70" s="46"/>
      <c r="Y70" s="46"/>
      <c r="Z70" s="46"/>
      <c r="AA70" s="257"/>
      <c r="AB70" s="196"/>
      <c r="AC70" s="46"/>
      <c r="AD70" s="46"/>
      <c r="AE70" s="257"/>
      <c r="AF70" s="196"/>
      <c r="AG70" s="46"/>
      <c r="AH70" s="46"/>
      <c r="AI70" s="196"/>
      <c r="AJ70" s="400"/>
      <c r="AK70" s="196"/>
      <c r="AL70" s="46"/>
      <c r="AM70" s="218"/>
      <c r="AN70" s="257"/>
      <c r="AO70" s="196"/>
      <c r="AP70" s="46"/>
      <c r="AQ70" s="257"/>
      <c r="AR70" s="196"/>
      <c r="AS70" s="46"/>
      <c r="AT70" s="257"/>
      <c r="AU70" s="196"/>
      <c r="AV70" s="46"/>
      <c r="AW70" s="257"/>
      <c r="AX70" s="196"/>
      <c r="AY70" s="46"/>
      <c r="AZ70" s="257"/>
      <c r="BA70" s="46"/>
      <c r="BB70" s="46"/>
      <c r="BC70" s="46"/>
      <c r="BD70" s="46"/>
      <c r="BE70" s="46"/>
      <c r="BF70" s="257"/>
      <c r="BG70" s="46"/>
      <c r="BH70" s="46"/>
      <c r="BI70" s="46"/>
      <c r="BJ70" s="196"/>
      <c r="BK70" s="46"/>
      <c r="BL70" s="257"/>
      <c r="BM70" s="46"/>
      <c r="BN70" s="46"/>
      <c r="BO70" s="257"/>
      <c r="BP70" s="196" t="s">
        <v>254</v>
      </c>
      <c r="BQ70" s="46" t="s">
        <v>522</v>
      </c>
      <c r="BR70" s="257">
        <v>120000</v>
      </c>
      <c r="BS70" s="46"/>
      <c r="BT70" s="46"/>
      <c r="BU70" s="257"/>
      <c r="BV70" s="196"/>
      <c r="BW70" s="46"/>
      <c r="BX70" s="46"/>
      <c r="BY70" s="46"/>
      <c r="BZ70" s="46"/>
      <c r="CA70" s="257"/>
      <c r="CB70" s="196"/>
      <c r="CC70" s="46"/>
      <c r="CD70" s="257"/>
      <c r="CE70" s="46"/>
      <c r="CF70" s="46"/>
      <c r="CG70" s="257"/>
      <c r="CH70" s="46"/>
      <c r="CI70" s="46"/>
      <c r="CJ70" s="46"/>
      <c r="CK70" s="46"/>
      <c r="CL70" s="46"/>
      <c r="CM70" s="257"/>
      <c r="CN70" s="46"/>
      <c r="CO70" s="376"/>
      <c r="CP70" s="257"/>
      <c r="CQ70" s="196"/>
      <c r="CR70" s="190" t="s">
        <v>554</v>
      </c>
      <c r="CS70" s="257">
        <f>CY70+DE70+DL70+DT70+EB70+EJ70+50000</f>
        <v>50000</v>
      </c>
      <c r="CT70" s="196"/>
      <c r="CU70" s="317"/>
      <c r="CV70" s="391">
        <f t="shared" si="4"/>
        <v>0</v>
      </c>
      <c r="CW70" s="41"/>
      <c r="CX70" s="41"/>
      <c r="CY70" s="256"/>
      <c r="CZ70" s="308"/>
      <c r="DA70" s="308"/>
      <c r="DB70" s="420"/>
      <c r="DC70" s="41"/>
      <c r="DD70" s="41"/>
      <c r="DE70" s="256"/>
      <c r="DF70" s="41"/>
      <c r="DG70" s="41"/>
      <c r="DH70" s="391"/>
      <c r="DI70" s="41"/>
      <c r="DJ70" s="41"/>
      <c r="DK70" s="203"/>
      <c r="DL70" s="256"/>
      <c r="DM70" s="41"/>
      <c r="DN70" s="41"/>
      <c r="DO70" s="41"/>
      <c r="DP70" s="420"/>
      <c r="DQ70" s="41"/>
      <c r="DR70" s="41"/>
      <c r="DS70" s="203"/>
      <c r="DT70" s="256"/>
      <c r="DU70" s="46"/>
      <c r="DV70" s="46"/>
      <c r="DW70" s="196"/>
      <c r="DX70" s="391"/>
      <c r="DY70" s="41"/>
      <c r="DZ70" s="41"/>
      <c r="EA70" s="41"/>
      <c r="EB70" s="69"/>
      <c r="EC70" s="41"/>
      <c r="ED70" s="41"/>
      <c r="EE70" s="41"/>
      <c r="EF70" s="420"/>
      <c r="EG70" s="41"/>
      <c r="EH70" s="41"/>
      <c r="EI70" s="41"/>
      <c r="EJ70" s="256"/>
      <c r="EK70" s="41"/>
      <c r="EL70" s="41"/>
      <c r="EM70" s="41"/>
      <c r="EN70" s="391"/>
    </row>
    <row r="71" spans="1:144" ht="25.5">
      <c r="A71" s="45">
        <v>64</v>
      </c>
      <c r="B71" s="53" t="s">
        <v>301</v>
      </c>
      <c r="C71" s="45">
        <v>1</v>
      </c>
      <c r="D71" s="55" t="s">
        <v>235</v>
      </c>
      <c r="E71" s="54">
        <v>33</v>
      </c>
      <c r="F71" s="54">
        <v>6</v>
      </c>
      <c r="G71" s="397">
        <f>70436.496/1000</f>
        <v>70.436496000000005</v>
      </c>
      <c r="H71" s="59">
        <v>19921.044000000002</v>
      </c>
      <c r="I71" s="59">
        <v>50515.452000000005</v>
      </c>
      <c r="J71" s="398">
        <v>190.41599200000002</v>
      </c>
      <c r="K71" s="414">
        <f t="shared" si="0"/>
        <v>260.85248799999999</v>
      </c>
      <c r="L71" s="397"/>
      <c r="M71" s="397"/>
      <c r="N71" s="397">
        <f t="shared" ref="N71:N131" si="5">K71-L71</f>
        <v>260.85248799999999</v>
      </c>
      <c r="O71" s="399">
        <f t="shared" si="2"/>
        <v>258</v>
      </c>
      <c r="P71" s="196" t="s">
        <v>226</v>
      </c>
      <c r="Q71" s="46">
        <v>2</v>
      </c>
      <c r="R71" s="196" t="s">
        <v>560</v>
      </c>
      <c r="S71" s="257">
        <f>90000*2</f>
        <v>180000</v>
      </c>
      <c r="T71" s="196"/>
      <c r="U71" s="46"/>
      <c r="V71" s="46"/>
      <c r="W71" s="257"/>
      <c r="X71" s="46"/>
      <c r="Y71" s="46"/>
      <c r="Z71" s="46"/>
      <c r="AA71" s="257"/>
      <c r="AB71" s="196"/>
      <c r="AC71" s="46"/>
      <c r="AD71" s="46"/>
      <c r="AE71" s="257"/>
      <c r="AF71" s="196" t="s">
        <v>229</v>
      </c>
      <c r="AG71" s="46" t="s">
        <v>335</v>
      </c>
      <c r="AH71" s="162">
        <v>60</v>
      </c>
      <c r="AI71" s="196" t="s">
        <v>552</v>
      </c>
      <c r="AJ71" s="400">
        <f>AH71*1300</f>
        <v>78000</v>
      </c>
      <c r="AK71" s="196"/>
      <c r="AL71" s="46"/>
      <c r="AM71" s="218"/>
      <c r="AN71" s="257"/>
      <c r="AO71" s="196"/>
      <c r="AP71" s="46"/>
      <c r="AQ71" s="257"/>
      <c r="AR71" s="196"/>
      <c r="AS71" s="46"/>
      <c r="AT71" s="257"/>
      <c r="AU71" s="196"/>
      <c r="AV71" s="46"/>
      <c r="AW71" s="257"/>
      <c r="AX71" s="196"/>
      <c r="AY71" s="46"/>
      <c r="AZ71" s="257"/>
      <c r="BA71" s="46"/>
      <c r="BB71" s="46"/>
      <c r="BC71" s="46"/>
      <c r="BD71" s="46"/>
      <c r="BE71" s="46"/>
      <c r="BF71" s="257"/>
      <c r="BG71" s="46"/>
      <c r="BH71" s="46"/>
      <c r="BI71" s="46"/>
      <c r="BJ71" s="196"/>
      <c r="BK71" s="46"/>
      <c r="BL71" s="46"/>
      <c r="BM71" s="46"/>
      <c r="BN71" s="46"/>
      <c r="BO71" s="257"/>
      <c r="BP71" s="196"/>
      <c r="BQ71" s="46"/>
      <c r="BR71" s="257"/>
      <c r="BS71" s="46"/>
      <c r="BT71" s="46"/>
      <c r="BU71" s="257"/>
      <c r="BV71" s="196"/>
      <c r="BW71" s="46"/>
      <c r="BX71" s="46"/>
      <c r="BY71" s="46"/>
      <c r="BZ71" s="46"/>
      <c r="CA71" s="257"/>
      <c r="CB71" s="196"/>
      <c r="CC71" s="46"/>
      <c r="CD71" s="257"/>
      <c r="CE71" s="46"/>
      <c r="CF71" s="46"/>
      <c r="CG71" s="257"/>
      <c r="CH71" s="46"/>
      <c r="CI71" s="46"/>
      <c r="CJ71" s="46"/>
      <c r="CK71" s="46"/>
      <c r="CL71" s="46"/>
      <c r="CM71" s="257"/>
      <c r="CN71" s="46"/>
      <c r="CO71" s="376"/>
      <c r="CP71" s="257"/>
      <c r="CQ71" s="196"/>
      <c r="CR71" s="190"/>
      <c r="CS71" s="257">
        <f t="shared" si="3"/>
        <v>0</v>
      </c>
      <c r="CT71" s="196"/>
      <c r="CU71" s="317"/>
      <c r="CV71" s="391">
        <f t="shared" si="4"/>
        <v>0</v>
      </c>
      <c r="CW71" s="41"/>
      <c r="CX71" s="41"/>
      <c r="CY71" s="256"/>
      <c r="CZ71" s="308"/>
      <c r="DA71" s="308"/>
      <c r="DB71" s="420"/>
      <c r="DC71" s="41"/>
      <c r="DD71" s="41"/>
      <c r="DE71" s="256"/>
      <c r="DF71" s="41"/>
      <c r="DG71" s="41"/>
      <c r="DH71" s="391"/>
      <c r="DI71" s="41"/>
      <c r="DJ71" s="41"/>
      <c r="DK71" s="203"/>
      <c r="DL71" s="256"/>
      <c r="DM71" s="41"/>
      <c r="DN71" s="41"/>
      <c r="DO71" s="41"/>
      <c r="DP71" s="420"/>
      <c r="DQ71" s="41"/>
      <c r="DR71" s="41"/>
      <c r="DS71" s="203"/>
      <c r="DT71" s="256"/>
      <c r="DU71" s="46"/>
      <c r="DV71" s="46"/>
      <c r="DW71" s="196"/>
      <c r="DX71" s="391"/>
      <c r="DY71" s="41"/>
      <c r="DZ71" s="41"/>
      <c r="EA71" s="41"/>
      <c r="EB71" s="69"/>
      <c r="EC71" s="41"/>
      <c r="ED71" s="41"/>
      <c r="EE71" s="41"/>
      <c r="EF71" s="420"/>
      <c r="EG71" s="41"/>
      <c r="EH71" s="41"/>
      <c r="EI71" s="41"/>
      <c r="EJ71" s="256"/>
      <c r="EK71" s="41"/>
      <c r="EL71" s="41"/>
      <c r="EM71" s="41"/>
      <c r="EN71" s="391"/>
    </row>
    <row r="72" spans="1:144" ht="25.5">
      <c r="A72" s="45">
        <v>65</v>
      </c>
      <c r="B72" s="53" t="s">
        <v>301</v>
      </c>
      <c r="C72" s="45">
        <v>1</v>
      </c>
      <c r="D72" s="55" t="s">
        <v>235</v>
      </c>
      <c r="E72" s="54">
        <v>34</v>
      </c>
      <c r="F72" s="54">
        <v>6</v>
      </c>
      <c r="G72" s="397">
        <f>70875.216/1000</f>
        <v>70.875215999999995</v>
      </c>
      <c r="H72" s="59">
        <v>20045.124000000003</v>
      </c>
      <c r="I72" s="59">
        <v>50830.092000000004</v>
      </c>
      <c r="J72" s="398">
        <v>38.937860000000008</v>
      </c>
      <c r="K72" s="414">
        <f t="shared" ref="K72:K135" si="6">J72+G72</f>
        <v>109.813076</v>
      </c>
      <c r="L72" s="397"/>
      <c r="M72" s="397"/>
      <c r="N72" s="397">
        <f t="shared" si="5"/>
        <v>109.813076</v>
      </c>
      <c r="O72" s="399">
        <f t="shared" ref="O72:O135" si="7">(S72+W72+AE72+AJ72+AQ72+AT72+AW72+AZ72+BC72+BF72+BL72+BR72+BX72+CD72+CJ72+CP72+CS72)/1000</f>
        <v>103</v>
      </c>
      <c r="P72" s="196"/>
      <c r="Q72" s="46"/>
      <c r="R72" s="196"/>
      <c r="S72" s="257"/>
      <c r="T72" s="196"/>
      <c r="U72" s="46"/>
      <c r="V72" s="46"/>
      <c r="W72" s="257"/>
      <c r="X72" s="46"/>
      <c r="Y72" s="46"/>
      <c r="Z72" s="46"/>
      <c r="AA72" s="257"/>
      <c r="AB72" s="196"/>
      <c r="AC72" s="46"/>
      <c r="AD72" s="46"/>
      <c r="AE72" s="257"/>
      <c r="AF72" s="196" t="s">
        <v>254</v>
      </c>
      <c r="AG72" s="46" t="s">
        <v>335</v>
      </c>
      <c r="AH72" s="162">
        <v>60</v>
      </c>
      <c r="AI72" s="196" t="s">
        <v>522</v>
      </c>
      <c r="AJ72" s="400">
        <f>AH72*1300</f>
        <v>78000</v>
      </c>
      <c r="AK72" s="196"/>
      <c r="AL72" s="46"/>
      <c r="AM72" s="218"/>
      <c r="AN72" s="257"/>
      <c r="AO72" s="196"/>
      <c r="AP72" s="46"/>
      <c r="AQ72" s="257"/>
      <c r="AR72" s="196"/>
      <c r="AS72" s="46"/>
      <c r="AT72" s="257"/>
      <c r="AU72" s="196"/>
      <c r="AV72" s="46"/>
      <c r="AW72" s="257"/>
      <c r="AX72" s="196"/>
      <c r="AY72" s="46"/>
      <c r="AZ72" s="257"/>
      <c r="BA72" s="46"/>
      <c r="BB72" s="46"/>
      <c r="BC72" s="46"/>
      <c r="BD72" s="46"/>
      <c r="BE72" s="46"/>
      <c r="BF72" s="257"/>
      <c r="BG72" s="46"/>
      <c r="BH72" s="46"/>
      <c r="BI72" s="46"/>
      <c r="BJ72" s="196"/>
      <c r="BK72" s="46"/>
      <c r="BL72" s="46"/>
      <c r="BM72" s="46"/>
      <c r="BN72" s="46"/>
      <c r="BO72" s="257"/>
      <c r="BP72" s="196"/>
      <c r="BQ72" s="46"/>
      <c r="BR72" s="257"/>
      <c r="BS72" s="46"/>
      <c r="BT72" s="46"/>
      <c r="BU72" s="257"/>
      <c r="BV72" s="196"/>
      <c r="BW72" s="46"/>
      <c r="BX72" s="46"/>
      <c r="BY72" s="46"/>
      <c r="BZ72" s="46"/>
      <c r="CA72" s="257"/>
      <c r="CB72" s="196"/>
      <c r="CC72" s="46"/>
      <c r="CD72" s="257"/>
      <c r="CE72" s="46"/>
      <c r="CF72" s="46"/>
      <c r="CG72" s="257"/>
      <c r="CH72" s="46"/>
      <c r="CI72" s="46"/>
      <c r="CJ72" s="46"/>
      <c r="CK72" s="46"/>
      <c r="CL72" s="46"/>
      <c r="CM72" s="257"/>
      <c r="CN72" s="46"/>
      <c r="CO72" s="376"/>
      <c r="CP72" s="257"/>
      <c r="CQ72" s="196"/>
      <c r="CR72" s="190" t="s">
        <v>554</v>
      </c>
      <c r="CS72" s="257">
        <f>CY72+DE72+DL72+DT72+EB72+EJ72+25000</f>
        <v>25000</v>
      </c>
      <c r="CT72" s="196"/>
      <c r="CU72" s="317"/>
      <c r="CV72" s="391">
        <f t="shared" si="4"/>
        <v>0</v>
      </c>
      <c r="CW72" s="41"/>
      <c r="CX72" s="41"/>
      <c r="CY72" s="256"/>
      <c r="CZ72" s="308"/>
      <c r="DA72" s="308"/>
      <c r="DB72" s="420"/>
      <c r="DC72" s="41"/>
      <c r="DD72" s="41"/>
      <c r="DE72" s="256"/>
      <c r="DF72" s="41"/>
      <c r="DG72" s="41"/>
      <c r="DH72" s="391"/>
      <c r="DI72" s="41"/>
      <c r="DJ72" s="41"/>
      <c r="DK72" s="203"/>
      <c r="DL72" s="256"/>
      <c r="DM72" s="41"/>
      <c r="DN72" s="41"/>
      <c r="DO72" s="41"/>
      <c r="DP72" s="420"/>
      <c r="DQ72" s="41"/>
      <c r="DR72" s="41"/>
      <c r="DS72" s="203"/>
      <c r="DT72" s="256"/>
      <c r="DU72" s="46"/>
      <c r="DV72" s="46"/>
      <c r="DW72" s="196"/>
      <c r="DX72" s="391"/>
      <c r="DY72" s="41"/>
      <c r="DZ72" s="41"/>
      <c r="EA72" s="41"/>
      <c r="EB72" s="69"/>
      <c r="EC72" s="41"/>
      <c r="ED72" s="41"/>
      <c r="EE72" s="41"/>
      <c r="EF72" s="420"/>
      <c r="EG72" s="41"/>
      <c r="EH72" s="41"/>
      <c r="EI72" s="41"/>
      <c r="EJ72" s="256"/>
      <c r="EK72" s="41"/>
      <c r="EL72" s="41"/>
      <c r="EM72" s="41"/>
      <c r="EN72" s="391"/>
    </row>
    <row r="73" spans="1:144" ht="34.5">
      <c r="A73" s="45">
        <v>66</v>
      </c>
      <c r="B73" s="53" t="s">
        <v>301</v>
      </c>
      <c r="C73" s="45">
        <v>1</v>
      </c>
      <c r="D73" s="55" t="s">
        <v>235</v>
      </c>
      <c r="E73" s="54">
        <v>35</v>
      </c>
      <c r="F73" s="54">
        <v>6</v>
      </c>
      <c r="G73" s="397">
        <f>94642.872/1000</f>
        <v>94.642871999999997</v>
      </c>
      <c r="H73" s="59">
        <v>26767.157999999996</v>
      </c>
      <c r="I73" s="59">
        <v>67875.713999999993</v>
      </c>
      <c r="J73" s="398">
        <v>56.21825400000003</v>
      </c>
      <c r="K73" s="414">
        <f t="shared" si="6"/>
        <v>150.86112600000001</v>
      </c>
      <c r="L73" s="397"/>
      <c r="M73" s="397"/>
      <c r="N73" s="397">
        <f t="shared" si="5"/>
        <v>150.86112600000001</v>
      </c>
      <c r="O73" s="399">
        <f t="shared" si="7"/>
        <v>60</v>
      </c>
      <c r="P73" s="196"/>
      <c r="Q73" s="46"/>
      <c r="R73" s="196"/>
      <c r="S73" s="257"/>
      <c r="T73" s="196"/>
      <c r="U73" s="46"/>
      <c r="V73" s="46"/>
      <c r="W73" s="257"/>
      <c r="X73" s="46"/>
      <c r="Y73" s="46"/>
      <c r="Z73" s="46"/>
      <c r="AA73" s="257"/>
      <c r="AB73" s="196"/>
      <c r="AC73" s="46"/>
      <c r="AD73" s="46"/>
      <c r="AE73" s="257"/>
      <c r="AF73" s="196"/>
      <c r="AG73" s="46"/>
      <c r="AH73" s="162"/>
      <c r="AI73" s="196"/>
      <c r="AJ73" s="400"/>
      <c r="AK73" s="196"/>
      <c r="AL73" s="46"/>
      <c r="AM73" s="218"/>
      <c r="AN73" s="257"/>
      <c r="AO73" s="196"/>
      <c r="AP73" s="46"/>
      <c r="AQ73" s="257"/>
      <c r="AR73" s="196"/>
      <c r="AS73" s="46"/>
      <c r="AT73" s="257"/>
      <c r="AU73" s="196"/>
      <c r="AV73" s="46"/>
      <c r="AW73" s="257"/>
      <c r="AX73" s="196"/>
      <c r="AY73" s="46"/>
      <c r="AZ73" s="257"/>
      <c r="BA73" s="46"/>
      <c r="BB73" s="46"/>
      <c r="BC73" s="46"/>
      <c r="BD73" s="46"/>
      <c r="BE73" s="46"/>
      <c r="BF73" s="257"/>
      <c r="BG73" s="46"/>
      <c r="BH73" s="46"/>
      <c r="BI73" s="46"/>
      <c r="BJ73" s="196"/>
      <c r="BK73" s="46"/>
      <c r="BL73" s="46"/>
      <c r="BM73" s="46"/>
      <c r="BN73" s="46"/>
      <c r="BO73" s="257"/>
      <c r="BP73" s="196"/>
      <c r="BQ73" s="46"/>
      <c r="BR73" s="257"/>
      <c r="BS73" s="46"/>
      <c r="BT73" s="46"/>
      <c r="BU73" s="257"/>
      <c r="BV73" s="196"/>
      <c r="BW73" s="46"/>
      <c r="BX73" s="46"/>
      <c r="BY73" s="46"/>
      <c r="BZ73" s="46"/>
      <c r="CA73" s="257"/>
      <c r="CB73" s="196"/>
      <c r="CC73" s="46"/>
      <c r="CD73" s="257"/>
      <c r="CE73" s="46"/>
      <c r="CF73" s="46"/>
      <c r="CG73" s="257"/>
      <c r="CH73" s="46"/>
      <c r="CI73" s="46"/>
      <c r="CJ73" s="46"/>
      <c r="CK73" s="46"/>
      <c r="CL73" s="46"/>
      <c r="CM73" s="257"/>
      <c r="CN73" s="46"/>
      <c r="CO73" s="376"/>
      <c r="CP73" s="257"/>
      <c r="CQ73" s="196" t="s">
        <v>254</v>
      </c>
      <c r="CR73" s="190" t="s">
        <v>688</v>
      </c>
      <c r="CS73" s="257">
        <f>CY73+DE73+DL73+DT73+EB73+EJ73+15000</f>
        <v>60000</v>
      </c>
      <c r="CT73" s="196"/>
      <c r="CU73" s="317"/>
      <c r="CV73" s="391">
        <f t="shared" ref="CV73:CV135" si="8">DB73+DH73+DP73+DX73+EF73+EN73</f>
        <v>0</v>
      </c>
      <c r="CW73" s="41"/>
      <c r="CX73" s="41"/>
      <c r="CY73" s="256"/>
      <c r="CZ73" s="308"/>
      <c r="DA73" s="308"/>
      <c r="DB73" s="420"/>
      <c r="DC73" s="41"/>
      <c r="DD73" s="41"/>
      <c r="DE73" s="256"/>
      <c r="DF73" s="41"/>
      <c r="DG73" s="41"/>
      <c r="DH73" s="391"/>
      <c r="DI73" s="41"/>
      <c r="DJ73" s="41"/>
      <c r="DK73" s="203"/>
      <c r="DL73" s="256"/>
      <c r="DM73" s="41"/>
      <c r="DN73" s="41"/>
      <c r="DO73" s="41"/>
      <c r="DP73" s="420"/>
      <c r="DQ73" s="41">
        <v>4</v>
      </c>
      <c r="DR73" s="41">
        <v>3</v>
      </c>
      <c r="DS73" s="203" t="s">
        <v>529</v>
      </c>
      <c r="DT73" s="256">
        <v>45000</v>
      </c>
      <c r="DU73" s="46"/>
      <c r="DV73" s="46"/>
      <c r="DW73" s="196"/>
      <c r="DX73" s="391"/>
      <c r="DY73" s="41"/>
      <c r="DZ73" s="41"/>
      <c r="EA73" s="41"/>
      <c r="EB73" s="69"/>
      <c r="EC73" s="41"/>
      <c r="ED73" s="41"/>
      <c r="EE73" s="41"/>
      <c r="EF73" s="420"/>
      <c r="EG73" s="41"/>
      <c r="EH73" s="41"/>
      <c r="EI73" s="41"/>
      <c r="EJ73" s="256"/>
      <c r="EK73" s="41"/>
      <c r="EL73" s="41"/>
      <c r="EM73" s="41"/>
      <c r="EN73" s="391"/>
    </row>
    <row r="74" spans="1:144" ht="25.5">
      <c r="A74" s="45">
        <v>67</v>
      </c>
      <c r="B74" s="53" t="s">
        <v>301</v>
      </c>
      <c r="C74" s="45">
        <v>1</v>
      </c>
      <c r="D74" s="55" t="s">
        <v>235</v>
      </c>
      <c r="E74" s="54">
        <v>36</v>
      </c>
      <c r="F74" s="54">
        <v>6</v>
      </c>
      <c r="G74" s="397">
        <f>94467.384/1000</f>
        <v>94.46738400000001</v>
      </c>
      <c r="H74" s="59">
        <v>26717.525999999998</v>
      </c>
      <c r="I74" s="59">
        <v>67749.858000000007</v>
      </c>
      <c r="J74" s="398">
        <v>72.595582000000064</v>
      </c>
      <c r="K74" s="414">
        <f t="shared" si="6"/>
        <v>167.06296600000007</v>
      </c>
      <c r="L74" s="397"/>
      <c r="M74" s="397"/>
      <c r="N74" s="397">
        <f t="shared" si="5"/>
        <v>167.06296600000007</v>
      </c>
      <c r="O74" s="399">
        <f t="shared" si="7"/>
        <v>140</v>
      </c>
      <c r="P74" s="196" t="s">
        <v>226</v>
      </c>
      <c r="Q74" s="46">
        <v>1</v>
      </c>
      <c r="R74" s="196" t="s">
        <v>523</v>
      </c>
      <c r="S74" s="257">
        <v>90000</v>
      </c>
      <c r="T74" s="196"/>
      <c r="U74" s="46"/>
      <c r="V74" s="46"/>
      <c r="W74" s="257"/>
      <c r="X74" s="46"/>
      <c r="Y74" s="46"/>
      <c r="Z74" s="46"/>
      <c r="AA74" s="257"/>
      <c r="AB74" s="196"/>
      <c r="AC74" s="46"/>
      <c r="AD74" s="46"/>
      <c r="AE74" s="257"/>
      <c r="AF74" s="196"/>
      <c r="AG74" s="46"/>
      <c r="AH74" s="162"/>
      <c r="AI74" s="218"/>
      <c r="AJ74" s="400"/>
      <c r="AK74" s="196"/>
      <c r="AL74" s="46"/>
      <c r="AM74" s="218"/>
      <c r="AN74" s="257"/>
      <c r="AO74" s="196"/>
      <c r="AP74" s="46"/>
      <c r="AQ74" s="257"/>
      <c r="AR74" s="196"/>
      <c r="AS74" s="46"/>
      <c r="AT74" s="257"/>
      <c r="AU74" s="196"/>
      <c r="AV74" s="46"/>
      <c r="AW74" s="257"/>
      <c r="AX74" s="196"/>
      <c r="AY74" s="46"/>
      <c r="AZ74" s="257"/>
      <c r="BA74" s="46"/>
      <c r="BB74" s="46"/>
      <c r="BC74" s="46"/>
      <c r="BD74" s="46"/>
      <c r="BE74" s="46"/>
      <c r="BF74" s="257"/>
      <c r="BG74" s="46"/>
      <c r="BH74" s="46"/>
      <c r="BI74" s="46"/>
      <c r="BJ74" s="196"/>
      <c r="BK74" s="46"/>
      <c r="BL74" s="46"/>
      <c r="BM74" s="46"/>
      <c r="BN74" s="46"/>
      <c r="BO74" s="257"/>
      <c r="BP74" s="196"/>
      <c r="BQ74" s="46"/>
      <c r="BR74" s="257"/>
      <c r="BS74" s="46"/>
      <c r="BT74" s="46"/>
      <c r="BU74" s="257"/>
      <c r="BV74" s="196"/>
      <c r="BW74" s="46"/>
      <c r="BX74" s="46"/>
      <c r="BY74" s="46"/>
      <c r="BZ74" s="46"/>
      <c r="CA74" s="257"/>
      <c r="CB74" s="196"/>
      <c r="CC74" s="46"/>
      <c r="CD74" s="257"/>
      <c r="CE74" s="46"/>
      <c r="CF74" s="46"/>
      <c r="CG74" s="257"/>
      <c r="CH74" s="46"/>
      <c r="CI74" s="46"/>
      <c r="CJ74" s="46"/>
      <c r="CK74" s="46"/>
      <c r="CL74" s="46"/>
      <c r="CM74" s="257"/>
      <c r="CN74" s="46"/>
      <c r="CO74" s="376"/>
      <c r="CP74" s="257"/>
      <c r="CQ74" s="196"/>
      <c r="CR74" s="190" t="s">
        <v>554</v>
      </c>
      <c r="CS74" s="257">
        <f>CY74+DE74+DL74+DT74+EB74+EJ74+50000</f>
        <v>50000</v>
      </c>
      <c r="CT74" s="196"/>
      <c r="CU74" s="317"/>
      <c r="CV74" s="391">
        <f t="shared" si="8"/>
        <v>0</v>
      </c>
      <c r="CW74" s="41"/>
      <c r="CX74" s="41"/>
      <c r="CY74" s="256"/>
      <c r="CZ74" s="308"/>
      <c r="DA74" s="308"/>
      <c r="DB74" s="420"/>
      <c r="DC74" s="41"/>
      <c r="DD74" s="41"/>
      <c r="DE74" s="256"/>
      <c r="DF74" s="41"/>
      <c r="DG74" s="41"/>
      <c r="DH74" s="391"/>
      <c r="DI74" s="41"/>
      <c r="DJ74" s="41"/>
      <c r="DK74" s="203"/>
      <c r="DL74" s="256"/>
      <c r="DM74" s="41"/>
      <c r="DN74" s="41"/>
      <c r="DO74" s="41"/>
      <c r="DP74" s="420"/>
      <c r="DQ74" s="41"/>
      <c r="DR74" s="41"/>
      <c r="DS74" s="203"/>
      <c r="DT74" s="256"/>
      <c r="DU74" s="46"/>
      <c r="DV74" s="46"/>
      <c r="DW74" s="196"/>
      <c r="DX74" s="391"/>
      <c r="DY74" s="41"/>
      <c r="DZ74" s="41"/>
      <c r="EA74" s="41"/>
      <c r="EB74" s="69"/>
      <c r="EC74" s="41"/>
      <c r="ED74" s="41"/>
      <c r="EE74" s="41"/>
      <c r="EF74" s="420"/>
      <c r="EG74" s="41"/>
      <c r="EH74" s="41"/>
      <c r="EI74" s="41"/>
      <c r="EJ74" s="256"/>
      <c r="EK74" s="41"/>
      <c r="EL74" s="41"/>
      <c r="EM74" s="41"/>
      <c r="EN74" s="391"/>
    </row>
    <row r="75" spans="1:144" ht="25.5">
      <c r="A75" s="45">
        <v>68</v>
      </c>
      <c r="B75" s="53" t="s">
        <v>301</v>
      </c>
      <c r="C75" s="45">
        <v>1</v>
      </c>
      <c r="D75" s="55" t="s">
        <v>235</v>
      </c>
      <c r="E75" s="54">
        <v>38</v>
      </c>
      <c r="F75" s="54">
        <v>6</v>
      </c>
      <c r="G75" s="397">
        <f>96222.264/1000</f>
        <v>96.222263999999996</v>
      </c>
      <c r="H75" s="59">
        <v>27213.845999999998</v>
      </c>
      <c r="I75" s="59">
        <v>69008.417999999991</v>
      </c>
      <c r="J75" s="398">
        <v>104.74095799999999</v>
      </c>
      <c r="K75" s="414">
        <f t="shared" si="6"/>
        <v>200.96322199999997</v>
      </c>
      <c r="L75" s="397"/>
      <c r="M75" s="397"/>
      <c r="N75" s="397">
        <f t="shared" si="5"/>
        <v>200.96322199999997</v>
      </c>
      <c r="O75" s="399">
        <f t="shared" si="7"/>
        <v>110</v>
      </c>
      <c r="P75" s="196" t="s">
        <v>247</v>
      </c>
      <c r="Q75" s="46">
        <v>1</v>
      </c>
      <c r="R75" s="196" t="s">
        <v>523</v>
      </c>
      <c r="S75" s="257">
        <v>90000</v>
      </c>
      <c r="T75" s="196"/>
      <c r="U75" s="46"/>
      <c r="V75" s="46"/>
      <c r="W75" s="257"/>
      <c r="X75" s="46"/>
      <c r="Y75" s="46"/>
      <c r="Z75" s="46"/>
      <c r="AA75" s="257"/>
      <c r="AB75" s="196"/>
      <c r="AC75" s="46"/>
      <c r="AD75" s="46"/>
      <c r="AE75" s="257"/>
      <c r="AF75" s="196"/>
      <c r="AG75" s="46"/>
      <c r="AH75" s="46"/>
      <c r="AI75" s="196"/>
      <c r="AJ75" s="400"/>
      <c r="AK75" s="196"/>
      <c r="AL75" s="46"/>
      <c r="AM75" s="218"/>
      <c r="AN75" s="257"/>
      <c r="AO75" s="196"/>
      <c r="AP75" s="46"/>
      <c r="AQ75" s="257"/>
      <c r="AR75" s="196"/>
      <c r="AS75" s="46"/>
      <c r="AT75" s="257"/>
      <c r="AU75" s="196"/>
      <c r="AV75" s="46"/>
      <c r="AW75" s="257"/>
      <c r="AX75" s="196"/>
      <c r="AY75" s="46"/>
      <c r="AZ75" s="257"/>
      <c r="BA75" s="46"/>
      <c r="BB75" s="46"/>
      <c r="BC75" s="46"/>
      <c r="BD75" s="46"/>
      <c r="BE75" s="46"/>
      <c r="BF75" s="257"/>
      <c r="BG75" s="46"/>
      <c r="BH75" s="46"/>
      <c r="BI75" s="46"/>
      <c r="BJ75" s="196"/>
      <c r="BK75" s="46"/>
      <c r="BL75" s="46"/>
      <c r="BM75" s="46"/>
      <c r="BN75" s="46"/>
      <c r="BO75" s="257"/>
      <c r="BP75" s="196"/>
      <c r="BQ75" s="46"/>
      <c r="BR75" s="257"/>
      <c r="BS75" s="46"/>
      <c r="BT75" s="46"/>
      <c r="BU75" s="257"/>
      <c r="BV75" s="196"/>
      <c r="BW75" s="46"/>
      <c r="BX75" s="46"/>
      <c r="BY75" s="46"/>
      <c r="BZ75" s="46"/>
      <c r="CA75" s="257"/>
      <c r="CB75" s="196"/>
      <c r="CC75" s="46"/>
      <c r="CD75" s="257"/>
      <c r="CE75" s="46"/>
      <c r="CF75" s="46"/>
      <c r="CG75" s="257"/>
      <c r="CH75" s="46"/>
      <c r="CI75" s="46"/>
      <c r="CJ75" s="46"/>
      <c r="CK75" s="46"/>
      <c r="CL75" s="46"/>
      <c r="CM75" s="257"/>
      <c r="CN75" s="46"/>
      <c r="CO75" s="376"/>
      <c r="CP75" s="257"/>
      <c r="CQ75" s="196"/>
      <c r="CR75" s="191" t="s">
        <v>554</v>
      </c>
      <c r="CS75" s="257">
        <f>CY75+DE75+DL75+DT75+EB75+EJ75+20000</f>
        <v>20000</v>
      </c>
      <c r="CT75" s="218"/>
      <c r="CU75" s="317"/>
      <c r="CV75" s="391">
        <f t="shared" si="8"/>
        <v>0</v>
      </c>
      <c r="CW75" s="41"/>
      <c r="CX75" s="41"/>
      <c r="CY75" s="256"/>
      <c r="CZ75" s="308"/>
      <c r="DA75" s="308"/>
      <c r="DB75" s="420"/>
      <c r="DC75" s="41"/>
      <c r="DD75" s="41"/>
      <c r="DE75" s="256"/>
      <c r="DF75" s="41"/>
      <c r="DG75" s="41"/>
      <c r="DH75" s="391"/>
      <c r="DI75" s="41"/>
      <c r="DJ75" s="41"/>
      <c r="DK75" s="203"/>
      <c r="DL75" s="256"/>
      <c r="DM75" s="41"/>
      <c r="DN75" s="41"/>
      <c r="DO75" s="41"/>
      <c r="DP75" s="420"/>
      <c r="DQ75" s="41"/>
      <c r="DR75" s="41"/>
      <c r="DS75" s="203"/>
      <c r="DT75" s="256"/>
      <c r="DU75" s="46"/>
      <c r="DV75" s="46"/>
      <c r="DW75" s="196"/>
      <c r="DX75" s="391"/>
      <c r="DY75" s="41"/>
      <c r="DZ75" s="41"/>
      <c r="EA75" s="41"/>
      <c r="EB75" s="69"/>
      <c r="EC75" s="41"/>
      <c r="ED75" s="41"/>
      <c r="EE75" s="41"/>
      <c r="EF75" s="420"/>
      <c r="EG75" s="41"/>
      <c r="EH75" s="41"/>
      <c r="EI75" s="41"/>
      <c r="EJ75" s="256"/>
      <c r="EK75" s="41"/>
      <c r="EL75" s="41"/>
      <c r="EM75" s="41"/>
      <c r="EN75" s="391"/>
    </row>
    <row r="76" spans="1:144" ht="30">
      <c r="A76" s="45">
        <v>69</v>
      </c>
      <c r="B76" s="53" t="s">
        <v>301</v>
      </c>
      <c r="C76" s="45">
        <v>1</v>
      </c>
      <c r="D76" s="55" t="s">
        <v>235</v>
      </c>
      <c r="E76" s="54">
        <v>39</v>
      </c>
      <c r="F76" s="54">
        <v>6</v>
      </c>
      <c r="G76" s="397">
        <f>94357.704/1000</f>
        <v>94.357703999999998</v>
      </c>
      <c r="H76" s="59">
        <v>26686.506000000001</v>
      </c>
      <c r="I76" s="59">
        <v>67671.198000000004</v>
      </c>
      <c r="J76" s="398">
        <v>99.07870800000002</v>
      </c>
      <c r="K76" s="414">
        <f t="shared" si="6"/>
        <v>193.43641200000002</v>
      </c>
      <c r="L76" s="397"/>
      <c r="M76" s="397"/>
      <c r="N76" s="397">
        <f t="shared" si="5"/>
        <v>193.43641200000002</v>
      </c>
      <c r="O76" s="399">
        <f t="shared" si="7"/>
        <v>154.6</v>
      </c>
      <c r="P76" s="196"/>
      <c r="Q76" s="46"/>
      <c r="R76" s="196"/>
      <c r="S76" s="257"/>
      <c r="T76" s="196"/>
      <c r="U76" s="46"/>
      <c r="V76" s="190"/>
      <c r="W76" s="257"/>
      <c r="X76" s="46"/>
      <c r="Y76" s="46"/>
      <c r="Z76" s="46"/>
      <c r="AA76" s="257"/>
      <c r="AB76" s="196"/>
      <c r="AC76" s="46"/>
      <c r="AD76" s="46"/>
      <c r="AE76" s="257"/>
      <c r="AF76" s="196"/>
      <c r="AG76" s="46"/>
      <c r="AH76" s="46"/>
      <c r="AI76" s="196"/>
      <c r="AJ76" s="400"/>
      <c r="AK76" s="196"/>
      <c r="AL76" s="46"/>
      <c r="AM76" s="218"/>
      <c r="AN76" s="257"/>
      <c r="AO76" s="196" t="s">
        <v>249</v>
      </c>
      <c r="AP76" s="167" t="s">
        <v>689</v>
      </c>
      <c r="AQ76" s="257">
        <f>63*2000</f>
        <v>126000</v>
      </c>
      <c r="AR76" s="196"/>
      <c r="AS76" s="46"/>
      <c r="AT76" s="257"/>
      <c r="AU76" s="196"/>
      <c r="AV76" s="46"/>
      <c r="AW76" s="257"/>
      <c r="AX76" s="196" t="s">
        <v>229</v>
      </c>
      <c r="AY76" s="46">
        <v>22</v>
      </c>
      <c r="AZ76" s="257">
        <f>AY76*1300</f>
        <v>28600</v>
      </c>
      <c r="BA76" s="46"/>
      <c r="BB76" s="46"/>
      <c r="BC76" s="46"/>
      <c r="BD76" s="46"/>
      <c r="BE76" s="46"/>
      <c r="BF76" s="257"/>
      <c r="BG76" s="46"/>
      <c r="BH76" s="46"/>
      <c r="BI76" s="46"/>
      <c r="BJ76" s="196"/>
      <c r="BK76" s="46"/>
      <c r="BL76" s="46"/>
      <c r="BM76" s="46"/>
      <c r="BN76" s="46"/>
      <c r="BO76" s="257"/>
      <c r="BP76" s="196"/>
      <c r="BQ76" s="46"/>
      <c r="BR76" s="257"/>
      <c r="BS76" s="46"/>
      <c r="BT76" s="46"/>
      <c r="BU76" s="257"/>
      <c r="BV76" s="196"/>
      <c r="BW76" s="46"/>
      <c r="BX76" s="46"/>
      <c r="BY76" s="46"/>
      <c r="BZ76" s="46"/>
      <c r="CA76" s="257"/>
      <c r="CB76" s="196"/>
      <c r="CC76" s="46"/>
      <c r="CD76" s="257"/>
      <c r="CE76" s="46"/>
      <c r="CF76" s="46"/>
      <c r="CG76" s="257"/>
      <c r="CH76" s="46"/>
      <c r="CI76" s="46"/>
      <c r="CJ76" s="46"/>
      <c r="CK76" s="46"/>
      <c r="CL76" s="46"/>
      <c r="CM76" s="257"/>
      <c r="CN76" s="46"/>
      <c r="CO76" s="376"/>
      <c r="CP76" s="257"/>
      <c r="CQ76" s="196"/>
      <c r="CR76" s="191"/>
      <c r="CS76" s="257">
        <f t="shared" ref="CS76:CS135" si="9">CY76+DE76+DL76+DT76+EB76+EJ76</f>
        <v>0</v>
      </c>
      <c r="CT76" s="218"/>
      <c r="CU76" s="317"/>
      <c r="CV76" s="391">
        <f t="shared" si="8"/>
        <v>0</v>
      </c>
      <c r="CW76" s="41"/>
      <c r="CX76" s="41"/>
      <c r="CY76" s="256"/>
      <c r="CZ76" s="308"/>
      <c r="DA76" s="308"/>
      <c r="DB76" s="420"/>
      <c r="DC76" s="41"/>
      <c r="DD76" s="41"/>
      <c r="DE76" s="256"/>
      <c r="DF76" s="41"/>
      <c r="DG76" s="41"/>
      <c r="DH76" s="391"/>
      <c r="DI76" s="41"/>
      <c r="DJ76" s="41"/>
      <c r="DK76" s="203"/>
      <c r="DL76" s="256"/>
      <c r="DM76" s="41"/>
      <c r="DN76" s="41"/>
      <c r="DO76" s="41"/>
      <c r="DP76" s="420"/>
      <c r="DQ76" s="41"/>
      <c r="DR76" s="41"/>
      <c r="DS76" s="203"/>
      <c r="DT76" s="256"/>
      <c r="DU76" s="46"/>
      <c r="DV76" s="46"/>
      <c r="DW76" s="196"/>
      <c r="DX76" s="391"/>
      <c r="DY76" s="41"/>
      <c r="DZ76" s="41"/>
      <c r="EA76" s="41"/>
      <c r="EB76" s="69"/>
      <c r="EC76" s="41"/>
      <c r="ED76" s="41"/>
      <c r="EE76" s="41"/>
      <c r="EF76" s="420"/>
      <c r="EG76" s="41"/>
      <c r="EH76" s="41"/>
      <c r="EI76" s="41"/>
      <c r="EJ76" s="256"/>
      <c r="EK76" s="41"/>
      <c r="EL76" s="41"/>
      <c r="EM76" s="41"/>
      <c r="EN76" s="391"/>
    </row>
    <row r="77" spans="1:144" ht="25.5">
      <c r="A77" s="45">
        <v>70</v>
      </c>
      <c r="B77" s="53" t="s">
        <v>301</v>
      </c>
      <c r="C77" s="45">
        <v>1</v>
      </c>
      <c r="D77" s="55" t="s">
        <v>235</v>
      </c>
      <c r="E77" s="54">
        <v>41</v>
      </c>
      <c r="F77" s="54">
        <v>6</v>
      </c>
      <c r="G77" s="397">
        <f>13863.552/1000</f>
        <v>13.863552</v>
      </c>
      <c r="H77" s="59">
        <v>3920.9280000000003</v>
      </c>
      <c r="I77" s="59">
        <v>9942.6239999999998</v>
      </c>
      <c r="J77" s="398">
        <v>57.798569999999998</v>
      </c>
      <c r="K77" s="414">
        <f t="shared" si="6"/>
        <v>71.662121999999997</v>
      </c>
      <c r="L77" s="397"/>
      <c r="M77" s="397"/>
      <c r="N77" s="397">
        <f t="shared" si="5"/>
        <v>71.662121999999997</v>
      </c>
      <c r="O77" s="399">
        <f t="shared" si="7"/>
        <v>70</v>
      </c>
      <c r="P77" s="196"/>
      <c r="Q77" s="46"/>
      <c r="R77" s="196"/>
      <c r="S77" s="257"/>
      <c r="T77" s="196"/>
      <c r="U77" s="46"/>
      <c r="V77" s="46"/>
      <c r="W77" s="257"/>
      <c r="X77" s="46"/>
      <c r="Y77" s="46"/>
      <c r="Z77" s="46"/>
      <c r="AA77" s="257"/>
      <c r="AB77" s="196"/>
      <c r="AC77" s="46"/>
      <c r="AD77" s="46"/>
      <c r="AE77" s="257"/>
      <c r="AF77" s="196"/>
      <c r="AG77" s="46"/>
      <c r="AH77" s="46"/>
      <c r="AI77" s="196"/>
      <c r="AJ77" s="400"/>
      <c r="AK77" s="196"/>
      <c r="AL77" s="46"/>
      <c r="AM77" s="218"/>
      <c r="AN77" s="257"/>
      <c r="AO77" s="196"/>
      <c r="AP77" s="46"/>
      <c r="AQ77" s="257"/>
      <c r="AR77" s="196"/>
      <c r="AS77" s="46"/>
      <c r="AT77" s="257"/>
      <c r="AU77" s="196"/>
      <c r="AV77" s="46"/>
      <c r="AW77" s="257"/>
      <c r="AX77" s="196"/>
      <c r="AY77" s="46"/>
      <c r="AZ77" s="257"/>
      <c r="BA77" s="46"/>
      <c r="BB77" s="46"/>
      <c r="BC77" s="46"/>
      <c r="BD77" s="46"/>
      <c r="BE77" s="46"/>
      <c r="BF77" s="257"/>
      <c r="BG77" s="46"/>
      <c r="BH77" s="46"/>
      <c r="BI77" s="46"/>
      <c r="BJ77" s="196"/>
      <c r="BK77" s="46"/>
      <c r="BL77" s="46"/>
      <c r="BM77" s="46"/>
      <c r="BN77" s="46"/>
      <c r="BO77" s="257"/>
      <c r="BP77" s="196"/>
      <c r="BQ77" s="46"/>
      <c r="BR77" s="257"/>
      <c r="BS77" s="46"/>
      <c r="BT77" s="46"/>
      <c r="BU77" s="257"/>
      <c r="BV77" s="196"/>
      <c r="BW77" s="46"/>
      <c r="BX77" s="46"/>
      <c r="BY77" s="46"/>
      <c r="BZ77" s="46"/>
      <c r="CA77" s="257"/>
      <c r="CB77" s="196"/>
      <c r="CC77" s="46"/>
      <c r="CD77" s="257"/>
      <c r="CE77" s="46"/>
      <c r="CF77" s="46"/>
      <c r="CG77" s="257"/>
      <c r="CH77" s="46"/>
      <c r="CI77" s="46"/>
      <c r="CJ77" s="46"/>
      <c r="CK77" s="46"/>
      <c r="CL77" s="46"/>
      <c r="CM77" s="257"/>
      <c r="CN77" s="46"/>
      <c r="CO77" s="376"/>
      <c r="CP77" s="257"/>
      <c r="CQ77" s="196"/>
      <c r="CR77" s="191" t="s">
        <v>554</v>
      </c>
      <c r="CS77" s="257">
        <f>CY77+DE77+DL77+DT77+EB77+EJ77+70000</f>
        <v>70000</v>
      </c>
      <c r="CT77" s="196"/>
      <c r="CU77" s="317"/>
      <c r="CV77" s="391">
        <f t="shared" si="8"/>
        <v>0</v>
      </c>
      <c r="CW77" s="41"/>
      <c r="CX77" s="41"/>
      <c r="CY77" s="256"/>
      <c r="CZ77" s="308"/>
      <c r="DA77" s="308"/>
      <c r="DB77" s="420"/>
      <c r="DC77" s="41"/>
      <c r="DD77" s="41"/>
      <c r="DE77" s="256"/>
      <c r="DF77" s="41"/>
      <c r="DG77" s="41"/>
      <c r="DH77" s="391"/>
      <c r="DI77" s="41"/>
      <c r="DJ77" s="41"/>
      <c r="DK77" s="203"/>
      <c r="DL77" s="256"/>
      <c r="DM77" s="41"/>
      <c r="DN77" s="41"/>
      <c r="DO77" s="41"/>
      <c r="DP77" s="420"/>
      <c r="DQ77" s="41"/>
      <c r="DR77" s="41"/>
      <c r="DS77" s="203"/>
      <c r="DT77" s="256"/>
      <c r="DU77" s="46"/>
      <c r="DV77" s="46"/>
      <c r="DW77" s="196"/>
      <c r="DX77" s="391"/>
      <c r="DY77" s="41"/>
      <c r="DZ77" s="41"/>
      <c r="EA77" s="41"/>
      <c r="EB77" s="69"/>
      <c r="EC77" s="41"/>
      <c r="ED77" s="41"/>
      <c r="EE77" s="41"/>
      <c r="EF77" s="420"/>
      <c r="EG77" s="41"/>
      <c r="EH77" s="41"/>
      <c r="EI77" s="41"/>
      <c r="EJ77" s="256"/>
      <c r="EK77" s="41"/>
      <c r="EL77" s="41"/>
      <c r="EM77" s="41"/>
      <c r="EN77" s="391"/>
    </row>
    <row r="78" spans="1:144" ht="25.5">
      <c r="A78" s="45">
        <v>71</v>
      </c>
      <c r="B78" s="53" t="s">
        <v>301</v>
      </c>
      <c r="C78" s="45">
        <v>1</v>
      </c>
      <c r="D78" s="55" t="s">
        <v>237</v>
      </c>
      <c r="E78" s="54">
        <v>2</v>
      </c>
      <c r="F78" s="54">
        <v>7</v>
      </c>
      <c r="G78" s="397">
        <v>0</v>
      </c>
      <c r="H78" s="59">
        <v>0</v>
      </c>
      <c r="I78" s="59">
        <v>0</v>
      </c>
      <c r="J78" s="398">
        <v>13.90075</v>
      </c>
      <c r="K78" s="414">
        <f t="shared" si="6"/>
        <v>13.90075</v>
      </c>
      <c r="L78" s="397"/>
      <c r="M78" s="397"/>
      <c r="N78" s="397">
        <f t="shared" si="5"/>
        <v>13.90075</v>
      </c>
      <c r="O78" s="399">
        <f t="shared" si="7"/>
        <v>13</v>
      </c>
      <c r="P78" s="196"/>
      <c r="Q78" s="46"/>
      <c r="R78" s="196"/>
      <c r="S78" s="257"/>
      <c r="T78" s="196"/>
      <c r="U78" s="46"/>
      <c r="V78" s="46"/>
      <c r="W78" s="257"/>
      <c r="X78" s="46"/>
      <c r="Y78" s="46"/>
      <c r="Z78" s="46"/>
      <c r="AA78" s="257"/>
      <c r="AB78" s="196"/>
      <c r="AC78" s="46"/>
      <c r="AD78" s="46"/>
      <c r="AE78" s="257"/>
      <c r="AF78" s="196"/>
      <c r="AG78" s="46"/>
      <c r="AH78" s="46"/>
      <c r="AI78" s="196"/>
      <c r="AJ78" s="400"/>
      <c r="AK78" s="196"/>
      <c r="AL78" s="46"/>
      <c r="AM78" s="218"/>
      <c r="AN78" s="257"/>
      <c r="AO78" s="196"/>
      <c r="AP78" s="46"/>
      <c r="AQ78" s="257"/>
      <c r="AR78" s="196"/>
      <c r="AS78" s="46"/>
      <c r="AT78" s="257"/>
      <c r="AU78" s="196"/>
      <c r="AV78" s="46"/>
      <c r="AW78" s="257"/>
      <c r="AX78" s="196"/>
      <c r="AY78" s="46"/>
      <c r="AZ78" s="257"/>
      <c r="BA78" s="46"/>
      <c r="BB78" s="46"/>
      <c r="BC78" s="46"/>
      <c r="BD78" s="46"/>
      <c r="BE78" s="46"/>
      <c r="BF78" s="257"/>
      <c r="BG78" s="46"/>
      <c r="BH78" s="46"/>
      <c r="BI78" s="46"/>
      <c r="BJ78" s="196"/>
      <c r="BK78" s="46"/>
      <c r="BL78" s="46"/>
      <c r="BM78" s="46"/>
      <c r="BN78" s="46"/>
      <c r="BO78" s="257"/>
      <c r="BP78" s="196"/>
      <c r="BQ78" s="46"/>
      <c r="BR78" s="257"/>
      <c r="BS78" s="46"/>
      <c r="BT78" s="46"/>
      <c r="BU78" s="257"/>
      <c r="BV78" s="196"/>
      <c r="BW78" s="46"/>
      <c r="BX78" s="46"/>
      <c r="BY78" s="46"/>
      <c r="BZ78" s="46"/>
      <c r="CA78" s="257"/>
      <c r="CB78" s="196"/>
      <c r="CC78" s="46"/>
      <c r="CD78" s="257"/>
      <c r="CE78" s="46"/>
      <c r="CF78" s="46"/>
      <c r="CG78" s="257"/>
      <c r="CH78" s="46"/>
      <c r="CI78" s="46"/>
      <c r="CJ78" s="46"/>
      <c r="CK78" s="46"/>
      <c r="CL78" s="46"/>
      <c r="CM78" s="257"/>
      <c r="CN78" s="46"/>
      <c r="CO78" s="376"/>
      <c r="CP78" s="257"/>
      <c r="CQ78" s="196"/>
      <c r="CR78" s="528" t="s">
        <v>521</v>
      </c>
      <c r="CS78" s="257">
        <f>CY78+DE78+DL78+DT78+EB78+EJ78+13000</f>
        <v>13000</v>
      </c>
      <c r="CT78" s="196"/>
      <c r="CU78" s="317"/>
      <c r="CV78" s="391">
        <f t="shared" si="8"/>
        <v>0</v>
      </c>
      <c r="CW78" s="41"/>
      <c r="CX78" s="41"/>
      <c r="CY78" s="256"/>
      <c r="CZ78" s="308"/>
      <c r="DA78" s="308"/>
      <c r="DB78" s="420"/>
      <c r="DC78" s="41"/>
      <c r="DD78" s="41"/>
      <c r="DE78" s="256"/>
      <c r="DF78" s="41"/>
      <c r="DG78" s="41"/>
      <c r="DH78" s="391"/>
      <c r="DI78" s="41"/>
      <c r="DJ78" s="41"/>
      <c r="DK78" s="203"/>
      <c r="DL78" s="256"/>
      <c r="DM78" s="41"/>
      <c r="DN78" s="41"/>
      <c r="DO78" s="41"/>
      <c r="DP78" s="420"/>
      <c r="DQ78" s="41"/>
      <c r="DR78" s="41"/>
      <c r="DS78" s="203"/>
      <c r="DT78" s="256"/>
      <c r="DU78" s="46"/>
      <c r="DV78" s="46"/>
      <c r="DW78" s="196"/>
      <c r="DX78" s="391"/>
      <c r="DY78" s="41"/>
      <c r="DZ78" s="41"/>
      <c r="EA78" s="41"/>
      <c r="EB78" s="69"/>
      <c r="EC78" s="41"/>
      <c r="ED78" s="41"/>
      <c r="EE78" s="41"/>
      <c r="EF78" s="420"/>
      <c r="EG78" s="41"/>
      <c r="EH78" s="41"/>
      <c r="EI78" s="41"/>
      <c r="EJ78" s="256"/>
      <c r="EK78" s="41"/>
      <c r="EL78" s="41"/>
      <c r="EM78" s="41"/>
      <c r="EN78" s="391"/>
    </row>
    <row r="79" spans="1:144" ht="25.5">
      <c r="A79" s="45">
        <v>72</v>
      </c>
      <c r="B79" s="53" t="s">
        <v>301</v>
      </c>
      <c r="C79" s="45">
        <v>1</v>
      </c>
      <c r="D79" s="55" t="s">
        <v>237</v>
      </c>
      <c r="E79" s="54">
        <v>5</v>
      </c>
      <c r="F79" s="54">
        <v>7</v>
      </c>
      <c r="G79" s="397">
        <v>0</v>
      </c>
      <c r="H79" s="59">
        <v>0</v>
      </c>
      <c r="I79" s="59">
        <v>0</v>
      </c>
      <c r="J79" s="398">
        <v>32.475079999999998</v>
      </c>
      <c r="K79" s="414">
        <f t="shared" si="6"/>
        <v>32.475079999999998</v>
      </c>
      <c r="L79" s="397"/>
      <c r="M79" s="397"/>
      <c r="N79" s="397">
        <f t="shared" si="5"/>
        <v>32.475079999999998</v>
      </c>
      <c r="O79" s="399">
        <f t="shared" si="7"/>
        <v>26</v>
      </c>
      <c r="P79" s="196"/>
      <c r="Q79" s="46"/>
      <c r="R79" s="196"/>
      <c r="S79" s="257"/>
      <c r="T79" s="196"/>
      <c r="U79" s="46"/>
      <c r="V79" s="46"/>
      <c r="W79" s="257"/>
      <c r="X79" s="46"/>
      <c r="Y79" s="46"/>
      <c r="Z79" s="46"/>
      <c r="AA79" s="257"/>
      <c r="AB79" s="196"/>
      <c r="AC79" s="46"/>
      <c r="AD79" s="46"/>
      <c r="AE79" s="257"/>
      <c r="AF79" s="196" t="s">
        <v>254</v>
      </c>
      <c r="AG79" s="46" t="s">
        <v>335</v>
      </c>
      <c r="AH79" s="46">
        <v>20</v>
      </c>
      <c r="AI79" s="196" t="s">
        <v>552</v>
      </c>
      <c r="AJ79" s="400">
        <f>AH79*1300</f>
        <v>26000</v>
      </c>
      <c r="AK79" s="196"/>
      <c r="AL79" s="46"/>
      <c r="AM79" s="218"/>
      <c r="AN79" s="257"/>
      <c r="AO79" s="196"/>
      <c r="AP79" s="46"/>
      <c r="AQ79" s="257"/>
      <c r="AR79" s="196"/>
      <c r="AS79" s="46"/>
      <c r="AT79" s="257"/>
      <c r="AU79" s="196"/>
      <c r="AV79" s="46"/>
      <c r="AW79" s="257"/>
      <c r="AX79" s="196"/>
      <c r="AY79" s="46"/>
      <c r="AZ79" s="257"/>
      <c r="BA79" s="46"/>
      <c r="BB79" s="46"/>
      <c r="BC79" s="46"/>
      <c r="BD79" s="46"/>
      <c r="BE79" s="46"/>
      <c r="BF79" s="257"/>
      <c r="BG79" s="46"/>
      <c r="BH79" s="46"/>
      <c r="BI79" s="46"/>
      <c r="BJ79" s="196"/>
      <c r="BK79" s="46"/>
      <c r="BL79" s="46"/>
      <c r="BM79" s="46"/>
      <c r="BN79" s="46"/>
      <c r="BO79" s="257"/>
      <c r="BP79" s="196"/>
      <c r="BQ79" s="46"/>
      <c r="BR79" s="257"/>
      <c r="BS79" s="46"/>
      <c r="BT79" s="46"/>
      <c r="BU79" s="257"/>
      <c r="BV79" s="196"/>
      <c r="BW79" s="46"/>
      <c r="BX79" s="46"/>
      <c r="BY79" s="46"/>
      <c r="BZ79" s="46"/>
      <c r="CA79" s="257"/>
      <c r="CB79" s="196"/>
      <c r="CC79" s="46"/>
      <c r="CD79" s="257"/>
      <c r="CE79" s="46"/>
      <c r="CF79" s="46"/>
      <c r="CG79" s="257"/>
      <c r="CH79" s="46"/>
      <c r="CI79" s="46"/>
      <c r="CJ79" s="46"/>
      <c r="CK79" s="46"/>
      <c r="CL79" s="46"/>
      <c r="CM79" s="257"/>
      <c r="CN79" s="46"/>
      <c r="CO79" s="376"/>
      <c r="CP79" s="257"/>
      <c r="CQ79" s="196"/>
      <c r="CR79" s="528"/>
      <c r="CS79" s="257">
        <f t="shared" si="9"/>
        <v>0</v>
      </c>
      <c r="CT79" s="196"/>
      <c r="CU79" s="317"/>
      <c r="CV79" s="391">
        <f t="shared" si="8"/>
        <v>0</v>
      </c>
      <c r="CW79" s="41"/>
      <c r="CX79" s="41"/>
      <c r="CY79" s="256"/>
      <c r="CZ79" s="308"/>
      <c r="DA79" s="308"/>
      <c r="DB79" s="420"/>
      <c r="DC79" s="41"/>
      <c r="DD79" s="41"/>
      <c r="DE79" s="256"/>
      <c r="DF79" s="41"/>
      <c r="DG79" s="41"/>
      <c r="DH79" s="391"/>
      <c r="DI79" s="41"/>
      <c r="DJ79" s="41"/>
      <c r="DK79" s="203"/>
      <c r="DL79" s="256"/>
      <c r="DM79" s="41"/>
      <c r="DN79" s="41"/>
      <c r="DO79" s="41"/>
      <c r="DP79" s="420"/>
      <c r="DQ79" s="41"/>
      <c r="DR79" s="41"/>
      <c r="DS79" s="203"/>
      <c r="DT79" s="256"/>
      <c r="DU79" s="46"/>
      <c r="DV79" s="46"/>
      <c r="DW79" s="196"/>
      <c r="DX79" s="391"/>
      <c r="DY79" s="41"/>
      <c r="DZ79" s="41"/>
      <c r="EA79" s="41"/>
      <c r="EB79" s="69"/>
      <c r="EC79" s="41"/>
      <c r="ED79" s="41"/>
      <c r="EE79" s="41"/>
      <c r="EF79" s="420"/>
      <c r="EG79" s="41"/>
      <c r="EH79" s="41"/>
      <c r="EI79" s="41"/>
      <c r="EJ79" s="256"/>
      <c r="EK79" s="41"/>
      <c r="EL79" s="41"/>
      <c r="EM79" s="41"/>
      <c r="EN79" s="391"/>
    </row>
    <row r="80" spans="1:144" ht="25.5">
      <c r="A80" s="45">
        <v>73</v>
      </c>
      <c r="B80" s="53" t="s">
        <v>301</v>
      </c>
      <c r="C80" s="45">
        <v>1</v>
      </c>
      <c r="D80" s="55" t="s">
        <v>237</v>
      </c>
      <c r="E80" s="54" t="s">
        <v>238</v>
      </c>
      <c r="F80" s="54">
        <v>7</v>
      </c>
      <c r="G80" s="397">
        <v>0</v>
      </c>
      <c r="H80" s="59">
        <v>0</v>
      </c>
      <c r="I80" s="59">
        <v>0</v>
      </c>
      <c r="J80" s="398">
        <v>48.99944</v>
      </c>
      <c r="K80" s="414">
        <f t="shared" si="6"/>
        <v>48.99944</v>
      </c>
      <c r="L80" s="397"/>
      <c r="M80" s="397"/>
      <c r="N80" s="397">
        <f t="shared" si="5"/>
        <v>48.99944</v>
      </c>
      <c r="O80" s="399">
        <f t="shared" si="7"/>
        <v>48</v>
      </c>
      <c r="P80" s="196"/>
      <c r="Q80" s="46"/>
      <c r="R80" s="196"/>
      <c r="S80" s="257"/>
      <c r="T80" s="196"/>
      <c r="U80" s="46"/>
      <c r="V80" s="46"/>
      <c r="W80" s="257"/>
      <c r="X80" s="46"/>
      <c r="Y80" s="46"/>
      <c r="Z80" s="46"/>
      <c r="AA80" s="257"/>
      <c r="AB80" s="196"/>
      <c r="AC80" s="46"/>
      <c r="AD80" s="46"/>
      <c r="AE80" s="257"/>
      <c r="AF80" s="196"/>
      <c r="AG80" s="46"/>
      <c r="AH80" s="46"/>
      <c r="AI80" s="196"/>
      <c r="AJ80" s="400"/>
      <c r="AK80" s="196"/>
      <c r="AL80" s="46"/>
      <c r="AM80" s="218"/>
      <c r="AN80" s="257"/>
      <c r="AO80" s="196"/>
      <c r="AP80" s="46"/>
      <c r="AQ80" s="257"/>
      <c r="AR80" s="196"/>
      <c r="AS80" s="46"/>
      <c r="AT80" s="257"/>
      <c r="AU80" s="196"/>
      <c r="AV80" s="46"/>
      <c r="AW80" s="257"/>
      <c r="AX80" s="196"/>
      <c r="AY80" s="46"/>
      <c r="AZ80" s="257"/>
      <c r="BA80" s="46"/>
      <c r="BB80" s="46"/>
      <c r="BC80" s="46"/>
      <c r="BD80" s="46"/>
      <c r="BE80" s="46"/>
      <c r="BF80" s="257"/>
      <c r="BG80" s="46"/>
      <c r="BH80" s="46"/>
      <c r="BI80" s="46"/>
      <c r="BJ80" s="196"/>
      <c r="BK80" s="46"/>
      <c r="BL80" s="46"/>
      <c r="BM80" s="46"/>
      <c r="BN80" s="46"/>
      <c r="BO80" s="257"/>
      <c r="BP80" s="196"/>
      <c r="BQ80" s="46"/>
      <c r="BR80" s="257"/>
      <c r="BS80" s="46"/>
      <c r="BT80" s="46"/>
      <c r="BU80" s="257"/>
      <c r="BV80" s="196"/>
      <c r="BW80" s="46"/>
      <c r="BX80" s="46"/>
      <c r="BY80" s="46"/>
      <c r="BZ80" s="46"/>
      <c r="CA80" s="257"/>
      <c r="CB80" s="196"/>
      <c r="CC80" s="46"/>
      <c r="CD80" s="257"/>
      <c r="CE80" s="46"/>
      <c r="CF80" s="46"/>
      <c r="CG80" s="257"/>
      <c r="CH80" s="46"/>
      <c r="CI80" s="46"/>
      <c r="CJ80" s="46"/>
      <c r="CK80" s="46"/>
      <c r="CL80" s="46"/>
      <c r="CM80" s="257"/>
      <c r="CN80" s="46"/>
      <c r="CO80" s="376"/>
      <c r="CP80" s="257"/>
      <c r="CQ80" s="196"/>
      <c r="CR80" s="528" t="s">
        <v>521</v>
      </c>
      <c r="CS80" s="257">
        <f>CY80+DE80+DL80+DT80+EB80+EJ80+48000</f>
        <v>48000</v>
      </c>
      <c r="CT80" s="196"/>
      <c r="CU80" s="317"/>
      <c r="CV80" s="391">
        <f t="shared" si="8"/>
        <v>0</v>
      </c>
      <c r="CW80" s="41"/>
      <c r="CX80" s="41"/>
      <c r="CY80" s="256"/>
      <c r="CZ80" s="308"/>
      <c r="DA80" s="308"/>
      <c r="DB80" s="420"/>
      <c r="DC80" s="41"/>
      <c r="DD80" s="41"/>
      <c r="DE80" s="256"/>
      <c r="DF80" s="41"/>
      <c r="DG80" s="41"/>
      <c r="DH80" s="391"/>
      <c r="DI80" s="41"/>
      <c r="DJ80" s="41"/>
      <c r="DK80" s="203"/>
      <c r="DL80" s="256"/>
      <c r="DM80" s="41"/>
      <c r="DN80" s="41"/>
      <c r="DO80" s="41"/>
      <c r="DP80" s="420"/>
      <c r="DQ80" s="41"/>
      <c r="DR80" s="41"/>
      <c r="DS80" s="203"/>
      <c r="DT80" s="256"/>
      <c r="DU80" s="46"/>
      <c r="DV80" s="46"/>
      <c r="DW80" s="196"/>
      <c r="DX80" s="391"/>
      <c r="DY80" s="41"/>
      <c r="DZ80" s="41"/>
      <c r="EA80" s="41"/>
      <c r="EB80" s="69"/>
      <c r="EC80" s="41"/>
      <c r="ED80" s="41"/>
      <c r="EE80" s="41"/>
      <c r="EF80" s="420"/>
      <c r="EG80" s="41"/>
      <c r="EH80" s="41"/>
      <c r="EI80" s="41"/>
      <c r="EJ80" s="256"/>
      <c r="EK80" s="41"/>
      <c r="EL80" s="41"/>
      <c r="EM80" s="41"/>
      <c r="EN80" s="391"/>
    </row>
    <row r="81" spans="1:144" ht="25.5">
      <c r="A81" s="45">
        <v>74</v>
      </c>
      <c r="B81" s="53" t="s">
        <v>301</v>
      </c>
      <c r="C81" s="45">
        <v>1</v>
      </c>
      <c r="D81" s="55" t="s">
        <v>237</v>
      </c>
      <c r="E81" s="54">
        <v>7</v>
      </c>
      <c r="F81" s="54">
        <v>7</v>
      </c>
      <c r="G81" s="397">
        <v>0</v>
      </c>
      <c r="H81" s="59">
        <v>0</v>
      </c>
      <c r="I81" s="59">
        <v>0</v>
      </c>
      <c r="J81" s="398">
        <v>22.576840000000001</v>
      </c>
      <c r="K81" s="414">
        <f t="shared" si="6"/>
        <v>22.576840000000001</v>
      </c>
      <c r="L81" s="397"/>
      <c r="M81" s="397"/>
      <c r="N81" s="397">
        <f t="shared" si="5"/>
        <v>22.576840000000001</v>
      </c>
      <c r="O81" s="399">
        <f t="shared" si="7"/>
        <v>22</v>
      </c>
      <c r="P81" s="196"/>
      <c r="Q81" s="46"/>
      <c r="R81" s="196"/>
      <c r="S81" s="257"/>
      <c r="T81" s="196"/>
      <c r="U81" s="46"/>
      <c r="V81" s="46"/>
      <c r="W81" s="257"/>
      <c r="X81" s="46"/>
      <c r="Y81" s="46"/>
      <c r="Z81" s="46"/>
      <c r="AA81" s="257"/>
      <c r="AB81" s="196"/>
      <c r="AC81" s="46"/>
      <c r="AD81" s="46"/>
      <c r="AE81" s="257"/>
      <c r="AF81" s="196"/>
      <c r="AG81" s="46"/>
      <c r="AH81" s="46"/>
      <c r="AI81" s="196"/>
      <c r="AJ81" s="400"/>
      <c r="AK81" s="196"/>
      <c r="AL81" s="46"/>
      <c r="AM81" s="218"/>
      <c r="AN81" s="257"/>
      <c r="AO81" s="196"/>
      <c r="AP81" s="46"/>
      <c r="AQ81" s="257"/>
      <c r="AR81" s="196"/>
      <c r="AS81" s="46"/>
      <c r="AT81" s="257"/>
      <c r="AU81" s="196"/>
      <c r="AV81" s="46"/>
      <c r="AW81" s="257"/>
      <c r="AX81" s="196"/>
      <c r="AY81" s="46"/>
      <c r="AZ81" s="257"/>
      <c r="BA81" s="46"/>
      <c r="BB81" s="46"/>
      <c r="BC81" s="46"/>
      <c r="BD81" s="46"/>
      <c r="BE81" s="46"/>
      <c r="BF81" s="257"/>
      <c r="BG81" s="46"/>
      <c r="BH81" s="46"/>
      <c r="BI81" s="46"/>
      <c r="BJ81" s="196"/>
      <c r="BK81" s="46"/>
      <c r="BL81" s="46"/>
      <c r="BM81" s="46"/>
      <c r="BN81" s="46"/>
      <c r="BO81" s="257"/>
      <c r="BP81" s="196"/>
      <c r="BQ81" s="46"/>
      <c r="BR81" s="257"/>
      <c r="BS81" s="46"/>
      <c r="BT81" s="46"/>
      <c r="BU81" s="257"/>
      <c r="BV81" s="196"/>
      <c r="BW81" s="46"/>
      <c r="BX81" s="46"/>
      <c r="BY81" s="46"/>
      <c r="BZ81" s="46"/>
      <c r="CA81" s="257"/>
      <c r="CB81" s="196"/>
      <c r="CC81" s="46"/>
      <c r="CD81" s="257"/>
      <c r="CE81" s="46"/>
      <c r="CF81" s="46"/>
      <c r="CG81" s="257"/>
      <c r="CH81" s="46"/>
      <c r="CI81" s="46"/>
      <c r="CJ81" s="46"/>
      <c r="CK81" s="46"/>
      <c r="CL81" s="46"/>
      <c r="CM81" s="257"/>
      <c r="CN81" s="46"/>
      <c r="CO81" s="376"/>
      <c r="CP81" s="257"/>
      <c r="CQ81" s="196"/>
      <c r="CR81" s="190" t="s">
        <v>521</v>
      </c>
      <c r="CS81" s="257">
        <f>CY81+DE81+DL81+DT81+EB81+EJ81+22000</f>
        <v>22000</v>
      </c>
      <c r="CT81" s="196"/>
      <c r="CU81" s="317"/>
      <c r="CV81" s="391">
        <f t="shared" si="8"/>
        <v>0</v>
      </c>
      <c r="CW81" s="41"/>
      <c r="CX81" s="41"/>
      <c r="CY81" s="256"/>
      <c r="CZ81" s="308"/>
      <c r="DA81" s="308"/>
      <c r="DB81" s="420"/>
      <c r="DC81" s="41"/>
      <c r="DD81" s="41"/>
      <c r="DE81" s="256"/>
      <c r="DF81" s="41"/>
      <c r="DG81" s="41"/>
      <c r="DH81" s="391"/>
      <c r="DI81" s="41"/>
      <c r="DJ81" s="41"/>
      <c r="DK81" s="203"/>
      <c r="DL81" s="256"/>
      <c r="DM81" s="41"/>
      <c r="DN81" s="41"/>
      <c r="DO81" s="41"/>
      <c r="DP81" s="420"/>
      <c r="DQ81" s="41"/>
      <c r="DR81" s="41"/>
      <c r="DS81" s="203"/>
      <c r="DT81" s="256"/>
      <c r="DU81" s="46"/>
      <c r="DV81" s="46"/>
      <c r="DW81" s="196"/>
      <c r="DX81" s="391"/>
      <c r="DY81" s="41"/>
      <c r="DZ81" s="41"/>
      <c r="EA81" s="41"/>
      <c r="EB81" s="69"/>
      <c r="EC81" s="41"/>
      <c r="ED81" s="41"/>
      <c r="EE81" s="41"/>
      <c r="EF81" s="420"/>
      <c r="EG81" s="41"/>
      <c r="EH81" s="41"/>
      <c r="EI81" s="41"/>
      <c r="EJ81" s="256"/>
      <c r="EK81" s="41"/>
      <c r="EL81" s="41"/>
      <c r="EM81" s="41"/>
      <c r="EN81" s="391"/>
    </row>
    <row r="82" spans="1:144" ht="25.5">
      <c r="A82" s="45">
        <v>75</v>
      </c>
      <c r="B82" s="53" t="s">
        <v>301</v>
      </c>
      <c r="C82" s="45">
        <v>1</v>
      </c>
      <c r="D82" s="55" t="s">
        <v>237</v>
      </c>
      <c r="E82" s="54">
        <v>8</v>
      </c>
      <c r="F82" s="54">
        <v>7</v>
      </c>
      <c r="G82" s="397">
        <v>0</v>
      </c>
      <c r="H82" s="59">
        <v>0</v>
      </c>
      <c r="I82" s="59">
        <v>0</v>
      </c>
      <c r="J82" s="398">
        <v>14.26144</v>
      </c>
      <c r="K82" s="414">
        <f t="shared" si="6"/>
        <v>14.26144</v>
      </c>
      <c r="L82" s="397"/>
      <c r="M82" s="397"/>
      <c r="N82" s="397">
        <f t="shared" si="5"/>
        <v>14.26144</v>
      </c>
      <c r="O82" s="399">
        <f t="shared" si="7"/>
        <v>14</v>
      </c>
      <c r="P82" s="196"/>
      <c r="Q82" s="46"/>
      <c r="R82" s="196"/>
      <c r="S82" s="257"/>
      <c r="T82" s="196"/>
      <c r="U82" s="46"/>
      <c r="V82" s="46"/>
      <c r="W82" s="257"/>
      <c r="X82" s="46"/>
      <c r="Y82" s="46"/>
      <c r="Z82" s="46"/>
      <c r="AA82" s="257"/>
      <c r="AB82" s="196"/>
      <c r="AC82" s="46"/>
      <c r="AD82" s="46"/>
      <c r="AE82" s="257"/>
      <c r="AF82" s="196"/>
      <c r="AG82" s="46"/>
      <c r="AH82" s="46"/>
      <c r="AI82" s="196"/>
      <c r="AJ82" s="400"/>
      <c r="AK82" s="196"/>
      <c r="AL82" s="46"/>
      <c r="AM82" s="218"/>
      <c r="AN82" s="257"/>
      <c r="AO82" s="196"/>
      <c r="AP82" s="46"/>
      <c r="AQ82" s="257"/>
      <c r="AR82" s="196"/>
      <c r="AS82" s="46"/>
      <c r="AT82" s="257"/>
      <c r="AU82" s="196"/>
      <c r="AV82" s="46"/>
      <c r="AW82" s="257"/>
      <c r="AX82" s="196"/>
      <c r="AY82" s="46"/>
      <c r="AZ82" s="257"/>
      <c r="BA82" s="46"/>
      <c r="BB82" s="46"/>
      <c r="BC82" s="46"/>
      <c r="BD82" s="46"/>
      <c r="BE82" s="46"/>
      <c r="BF82" s="257"/>
      <c r="BG82" s="46"/>
      <c r="BH82" s="46"/>
      <c r="BI82" s="46"/>
      <c r="BJ82" s="196"/>
      <c r="BK82" s="46"/>
      <c r="BL82" s="46"/>
      <c r="BM82" s="46"/>
      <c r="BN82" s="46"/>
      <c r="BO82" s="257"/>
      <c r="BP82" s="196"/>
      <c r="BQ82" s="46"/>
      <c r="BR82" s="257"/>
      <c r="BS82" s="46"/>
      <c r="BT82" s="46"/>
      <c r="BU82" s="257"/>
      <c r="BV82" s="196"/>
      <c r="BW82" s="46"/>
      <c r="BX82" s="46"/>
      <c r="BY82" s="46"/>
      <c r="BZ82" s="46"/>
      <c r="CA82" s="257"/>
      <c r="CB82" s="196"/>
      <c r="CC82" s="46"/>
      <c r="CD82" s="257"/>
      <c r="CE82" s="46"/>
      <c r="CF82" s="46"/>
      <c r="CG82" s="257"/>
      <c r="CH82" s="46"/>
      <c r="CI82" s="46"/>
      <c r="CJ82" s="46"/>
      <c r="CK82" s="46"/>
      <c r="CL82" s="46"/>
      <c r="CM82" s="257"/>
      <c r="CN82" s="46"/>
      <c r="CO82" s="376"/>
      <c r="CP82" s="257"/>
      <c r="CQ82" s="196"/>
      <c r="CR82" s="190" t="s">
        <v>521</v>
      </c>
      <c r="CS82" s="257">
        <f>CY82+DE82+DL82+DT82+EB82+EJ82+14000</f>
        <v>14000</v>
      </c>
      <c r="CT82" s="196"/>
      <c r="CU82" s="317"/>
      <c r="CV82" s="391">
        <f t="shared" si="8"/>
        <v>0</v>
      </c>
      <c r="CW82" s="41"/>
      <c r="CX82" s="41"/>
      <c r="CY82" s="256"/>
      <c r="CZ82" s="308"/>
      <c r="DA82" s="308"/>
      <c r="DB82" s="420"/>
      <c r="DC82" s="41"/>
      <c r="DD82" s="41"/>
      <c r="DE82" s="256"/>
      <c r="DF82" s="41"/>
      <c r="DG82" s="41"/>
      <c r="DH82" s="391"/>
      <c r="DI82" s="41"/>
      <c r="DJ82" s="41"/>
      <c r="DK82" s="203"/>
      <c r="DL82" s="256"/>
      <c r="DM82" s="41"/>
      <c r="DN82" s="41"/>
      <c r="DO82" s="41"/>
      <c r="DP82" s="420"/>
      <c r="DQ82" s="41"/>
      <c r="DR82" s="41"/>
      <c r="DS82" s="203"/>
      <c r="DT82" s="256"/>
      <c r="DU82" s="46"/>
      <c r="DV82" s="46"/>
      <c r="DW82" s="196"/>
      <c r="DX82" s="391"/>
      <c r="DY82" s="41"/>
      <c r="DZ82" s="41"/>
      <c r="EA82" s="41"/>
      <c r="EB82" s="69"/>
      <c r="EC82" s="41"/>
      <c r="ED82" s="41"/>
      <c r="EE82" s="41"/>
      <c r="EF82" s="420"/>
      <c r="EG82" s="41"/>
      <c r="EH82" s="41"/>
      <c r="EI82" s="41"/>
      <c r="EJ82" s="256"/>
      <c r="EK82" s="41"/>
      <c r="EL82" s="41"/>
      <c r="EM82" s="41"/>
      <c r="EN82" s="391"/>
    </row>
    <row r="83" spans="1:144" ht="25.5">
      <c r="A83" s="45">
        <v>76</v>
      </c>
      <c r="B83" s="53" t="s">
        <v>301</v>
      </c>
      <c r="C83" s="45">
        <v>1</v>
      </c>
      <c r="D83" s="55" t="s">
        <v>237</v>
      </c>
      <c r="E83" s="54">
        <v>9</v>
      </c>
      <c r="F83" s="54">
        <v>7</v>
      </c>
      <c r="G83" s="397">
        <v>0</v>
      </c>
      <c r="H83" s="59">
        <v>0</v>
      </c>
      <c r="I83" s="59">
        <v>0</v>
      </c>
      <c r="J83" s="398">
        <v>54.023180000000004</v>
      </c>
      <c r="K83" s="414">
        <f t="shared" si="6"/>
        <v>54.023180000000004</v>
      </c>
      <c r="L83" s="397"/>
      <c r="M83" s="397"/>
      <c r="N83" s="397">
        <f t="shared" si="5"/>
        <v>54.023180000000004</v>
      </c>
      <c r="O83" s="399">
        <f t="shared" si="7"/>
        <v>54</v>
      </c>
      <c r="P83" s="196"/>
      <c r="Q83" s="46"/>
      <c r="R83" s="196"/>
      <c r="S83" s="257"/>
      <c r="T83" s="196"/>
      <c r="U83" s="46"/>
      <c r="V83" s="46"/>
      <c r="W83" s="257"/>
      <c r="X83" s="46"/>
      <c r="Y83" s="46"/>
      <c r="Z83" s="46"/>
      <c r="AA83" s="257"/>
      <c r="AB83" s="196"/>
      <c r="AC83" s="46"/>
      <c r="AD83" s="46"/>
      <c r="AE83" s="257"/>
      <c r="AF83" s="196"/>
      <c r="AG83" s="46"/>
      <c r="AH83" s="46"/>
      <c r="AI83" s="196"/>
      <c r="AJ83" s="400"/>
      <c r="AK83" s="196"/>
      <c r="AL83" s="46"/>
      <c r="AM83" s="218"/>
      <c r="AN83" s="257"/>
      <c r="AO83" s="196"/>
      <c r="AP83" s="46"/>
      <c r="AQ83" s="257"/>
      <c r="AR83" s="196"/>
      <c r="AS83" s="46"/>
      <c r="AT83" s="257"/>
      <c r="AU83" s="196"/>
      <c r="AV83" s="46"/>
      <c r="AW83" s="257"/>
      <c r="AX83" s="196"/>
      <c r="AY83" s="46"/>
      <c r="AZ83" s="257"/>
      <c r="BA83" s="46"/>
      <c r="BB83" s="46"/>
      <c r="BC83" s="46"/>
      <c r="BD83" s="46"/>
      <c r="BE83" s="46"/>
      <c r="BF83" s="257"/>
      <c r="BG83" s="46"/>
      <c r="BH83" s="46"/>
      <c r="BI83" s="46"/>
      <c r="BJ83" s="196"/>
      <c r="BK83" s="46"/>
      <c r="BL83" s="46"/>
      <c r="BM83" s="46"/>
      <c r="BN83" s="46"/>
      <c r="BO83" s="257"/>
      <c r="BP83" s="196"/>
      <c r="BQ83" s="46"/>
      <c r="BR83" s="257"/>
      <c r="BS83" s="46"/>
      <c r="BT83" s="46"/>
      <c r="BU83" s="257"/>
      <c r="BV83" s="196"/>
      <c r="BW83" s="46"/>
      <c r="BX83" s="46"/>
      <c r="BY83" s="46"/>
      <c r="BZ83" s="46"/>
      <c r="CA83" s="257"/>
      <c r="CB83" s="196"/>
      <c r="CC83" s="46"/>
      <c r="CD83" s="257"/>
      <c r="CE83" s="46"/>
      <c r="CF83" s="46"/>
      <c r="CG83" s="257"/>
      <c r="CH83" s="46"/>
      <c r="CI83" s="46"/>
      <c r="CJ83" s="46"/>
      <c r="CK83" s="46"/>
      <c r="CL83" s="46"/>
      <c r="CM83" s="257"/>
      <c r="CN83" s="46"/>
      <c r="CO83" s="376"/>
      <c r="CP83" s="257"/>
      <c r="CQ83" s="196"/>
      <c r="CR83" s="528" t="s">
        <v>521</v>
      </c>
      <c r="CS83" s="257">
        <f>CY83+DE83+DL83+DT83+EB83+EJ83+54000</f>
        <v>54000</v>
      </c>
      <c r="CT83" s="196"/>
      <c r="CU83" s="317"/>
      <c r="CV83" s="391">
        <f t="shared" si="8"/>
        <v>0</v>
      </c>
      <c r="CW83" s="41"/>
      <c r="CX83" s="41"/>
      <c r="CY83" s="256"/>
      <c r="CZ83" s="308"/>
      <c r="DA83" s="308"/>
      <c r="DB83" s="420"/>
      <c r="DC83" s="41"/>
      <c r="DD83" s="41"/>
      <c r="DE83" s="256"/>
      <c r="DF83" s="41"/>
      <c r="DG83" s="41"/>
      <c r="DH83" s="391"/>
      <c r="DI83" s="41"/>
      <c r="DJ83" s="41"/>
      <c r="DK83" s="203"/>
      <c r="DL83" s="256"/>
      <c r="DM83" s="41"/>
      <c r="DN83" s="41"/>
      <c r="DO83" s="41"/>
      <c r="DP83" s="420"/>
      <c r="DQ83" s="41"/>
      <c r="DR83" s="41"/>
      <c r="DS83" s="203"/>
      <c r="DT83" s="256"/>
      <c r="DU83" s="46"/>
      <c r="DV83" s="46"/>
      <c r="DW83" s="196"/>
      <c r="DX83" s="391"/>
      <c r="DY83" s="41"/>
      <c r="DZ83" s="41"/>
      <c r="EA83" s="41"/>
      <c r="EB83" s="69"/>
      <c r="EC83" s="41"/>
      <c r="ED83" s="41"/>
      <c r="EE83" s="41"/>
      <c r="EF83" s="420"/>
      <c r="EG83" s="41"/>
      <c r="EH83" s="41"/>
      <c r="EI83" s="41"/>
      <c r="EJ83" s="256"/>
      <c r="EK83" s="41"/>
      <c r="EL83" s="41"/>
      <c r="EM83" s="41"/>
      <c r="EN83" s="391"/>
    </row>
    <row r="84" spans="1:144" ht="25.5">
      <c r="A84" s="45">
        <v>77</v>
      </c>
      <c r="B84" s="53" t="s">
        <v>301</v>
      </c>
      <c r="C84" s="45">
        <v>1</v>
      </c>
      <c r="D84" s="55" t="s">
        <v>237</v>
      </c>
      <c r="E84" s="54">
        <v>10</v>
      </c>
      <c r="F84" s="54">
        <v>7</v>
      </c>
      <c r="G84" s="397">
        <v>0</v>
      </c>
      <c r="H84" s="59">
        <v>0</v>
      </c>
      <c r="I84" s="59">
        <v>0</v>
      </c>
      <c r="J84" s="398">
        <v>28.665929999999999</v>
      </c>
      <c r="K84" s="414">
        <f t="shared" si="6"/>
        <v>28.665929999999999</v>
      </c>
      <c r="L84" s="397"/>
      <c r="M84" s="397"/>
      <c r="N84" s="397">
        <f t="shared" si="5"/>
        <v>28.665929999999999</v>
      </c>
      <c r="O84" s="399">
        <f t="shared" si="7"/>
        <v>28</v>
      </c>
      <c r="P84" s="196"/>
      <c r="Q84" s="46"/>
      <c r="R84" s="196"/>
      <c r="S84" s="257"/>
      <c r="T84" s="196"/>
      <c r="U84" s="46"/>
      <c r="V84" s="46"/>
      <c r="W84" s="257"/>
      <c r="X84" s="46"/>
      <c r="Y84" s="46"/>
      <c r="Z84" s="46"/>
      <c r="AA84" s="257"/>
      <c r="AB84" s="196"/>
      <c r="AC84" s="46"/>
      <c r="AD84" s="46"/>
      <c r="AE84" s="257"/>
      <c r="AF84" s="196"/>
      <c r="AG84" s="46"/>
      <c r="AH84" s="46"/>
      <c r="AI84" s="196"/>
      <c r="AJ84" s="400"/>
      <c r="AK84" s="196"/>
      <c r="AL84" s="46"/>
      <c r="AM84" s="218"/>
      <c r="AN84" s="257"/>
      <c r="AO84" s="196"/>
      <c r="AP84" s="46"/>
      <c r="AQ84" s="257"/>
      <c r="AR84" s="196"/>
      <c r="AS84" s="46"/>
      <c r="AT84" s="257"/>
      <c r="AU84" s="196"/>
      <c r="AV84" s="46"/>
      <c r="AW84" s="257"/>
      <c r="AX84" s="196"/>
      <c r="AY84" s="46"/>
      <c r="AZ84" s="257"/>
      <c r="BA84" s="46"/>
      <c r="BB84" s="46"/>
      <c r="BC84" s="46"/>
      <c r="BD84" s="46"/>
      <c r="BE84" s="46"/>
      <c r="BF84" s="257"/>
      <c r="BG84" s="46"/>
      <c r="BH84" s="46"/>
      <c r="BI84" s="46"/>
      <c r="BJ84" s="196"/>
      <c r="BK84" s="46"/>
      <c r="BL84" s="46"/>
      <c r="BM84" s="46"/>
      <c r="BN84" s="46"/>
      <c r="BO84" s="257"/>
      <c r="BP84" s="196"/>
      <c r="BQ84" s="46"/>
      <c r="BR84" s="257"/>
      <c r="BS84" s="46"/>
      <c r="BT84" s="46"/>
      <c r="BU84" s="257"/>
      <c r="BV84" s="196"/>
      <c r="BW84" s="46"/>
      <c r="BX84" s="46"/>
      <c r="BY84" s="46"/>
      <c r="BZ84" s="46"/>
      <c r="CA84" s="257"/>
      <c r="CB84" s="196"/>
      <c r="CC84" s="46"/>
      <c r="CD84" s="257"/>
      <c r="CE84" s="46"/>
      <c r="CF84" s="46"/>
      <c r="CG84" s="257"/>
      <c r="CH84" s="46"/>
      <c r="CI84" s="46"/>
      <c r="CJ84" s="46"/>
      <c r="CK84" s="46"/>
      <c r="CL84" s="46"/>
      <c r="CM84" s="257"/>
      <c r="CN84" s="46"/>
      <c r="CO84" s="376"/>
      <c r="CP84" s="257"/>
      <c r="CQ84" s="196"/>
      <c r="CR84" s="528" t="s">
        <v>521</v>
      </c>
      <c r="CS84" s="257">
        <f>CY84+DE84+DL84+DT84+EB84+EJ84+28000</f>
        <v>28000</v>
      </c>
      <c r="CT84" s="196"/>
      <c r="CU84" s="317"/>
      <c r="CV84" s="391">
        <f t="shared" si="8"/>
        <v>0</v>
      </c>
      <c r="CW84" s="41"/>
      <c r="CX84" s="41"/>
      <c r="CY84" s="256"/>
      <c r="CZ84" s="308"/>
      <c r="DA84" s="308"/>
      <c r="DB84" s="420"/>
      <c r="DC84" s="41"/>
      <c r="DD84" s="41"/>
      <c r="DE84" s="256"/>
      <c r="DF84" s="41"/>
      <c r="DG84" s="41"/>
      <c r="DH84" s="391"/>
      <c r="DI84" s="41"/>
      <c r="DJ84" s="41"/>
      <c r="DK84" s="203"/>
      <c r="DL84" s="256"/>
      <c r="DM84" s="41"/>
      <c r="DN84" s="41"/>
      <c r="DO84" s="41"/>
      <c r="DP84" s="420"/>
      <c r="DQ84" s="41"/>
      <c r="DR84" s="41"/>
      <c r="DS84" s="203"/>
      <c r="DT84" s="256"/>
      <c r="DU84" s="46"/>
      <c r="DV84" s="46"/>
      <c r="DW84" s="196"/>
      <c r="DX84" s="391"/>
      <c r="DY84" s="41"/>
      <c r="DZ84" s="41"/>
      <c r="EA84" s="41"/>
      <c r="EB84" s="69"/>
      <c r="EC84" s="41"/>
      <c r="ED84" s="41"/>
      <c r="EE84" s="41"/>
      <c r="EF84" s="420"/>
      <c r="EG84" s="41"/>
      <c r="EH84" s="41"/>
      <c r="EI84" s="41"/>
      <c r="EJ84" s="256"/>
      <c r="EK84" s="41"/>
      <c r="EL84" s="41"/>
      <c r="EM84" s="41"/>
      <c r="EN84" s="391"/>
    </row>
    <row r="85" spans="1:144" ht="25.5">
      <c r="A85" s="45">
        <v>78</v>
      </c>
      <c r="B85" s="53" t="s">
        <v>301</v>
      </c>
      <c r="C85" s="45">
        <v>1</v>
      </c>
      <c r="D85" s="55" t="s">
        <v>239</v>
      </c>
      <c r="E85" s="54">
        <v>5</v>
      </c>
      <c r="F85" s="54">
        <v>5</v>
      </c>
      <c r="G85" s="397">
        <f>278835.48/1000</f>
        <v>278.83547999999996</v>
      </c>
      <c r="H85" s="59">
        <v>278835.48</v>
      </c>
      <c r="I85" s="59">
        <v>0</v>
      </c>
      <c r="J85" s="398">
        <v>165.46604000000008</v>
      </c>
      <c r="K85" s="414">
        <f t="shared" si="6"/>
        <v>444.30152000000004</v>
      </c>
      <c r="L85" s="397"/>
      <c r="M85" s="529"/>
      <c r="N85" s="529">
        <f t="shared" si="5"/>
        <v>444.30152000000004</v>
      </c>
      <c r="O85" s="399">
        <f t="shared" si="7"/>
        <v>202.4</v>
      </c>
      <c r="P85" s="46"/>
      <c r="Q85" s="46"/>
      <c r="R85" s="196"/>
      <c r="S85" s="46"/>
      <c r="T85" s="46"/>
      <c r="U85" s="46"/>
      <c r="V85" s="46"/>
      <c r="W85" s="46"/>
      <c r="X85" s="46"/>
      <c r="Y85" s="46"/>
      <c r="Z85" s="46"/>
      <c r="AA85" s="257"/>
      <c r="AB85" s="46"/>
      <c r="AC85" s="46"/>
      <c r="AD85" s="46"/>
      <c r="AE85" s="46"/>
      <c r="AF85" s="196" t="s">
        <v>229</v>
      </c>
      <c r="AG85" s="46" t="s">
        <v>335</v>
      </c>
      <c r="AH85" s="46">
        <v>60</v>
      </c>
      <c r="AI85" s="196" t="s">
        <v>552</v>
      </c>
      <c r="AJ85" s="400">
        <f>AH85*1300</f>
        <v>78000</v>
      </c>
      <c r="AK85" s="196"/>
      <c r="AL85" s="46"/>
      <c r="AM85" s="218"/>
      <c r="AN85" s="257"/>
      <c r="AO85" s="46"/>
      <c r="AP85" s="46"/>
      <c r="AQ85" s="257"/>
      <c r="AR85" s="46"/>
      <c r="AS85" s="46"/>
      <c r="AT85" s="257"/>
      <c r="AU85" s="46"/>
      <c r="AV85" s="46"/>
      <c r="AW85" s="257"/>
      <c r="AX85" s="46">
        <v>10</v>
      </c>
      <c r="AY85" s="46">
        <v>88</v>
      </c>
      <c r="AZ85" s="257">
        <f>AY85*1300</f>
        <v>114400</v>
      </c>
      <c r="BA85" s="46"/>
      <c r="BB85" s="46"/>
      <c r="BC85" s="46"/>
      <c r="BD85" s="46"/>
      <c r="BE85" s="46"/>
      <c r="BF85" s="257"/>
      <c r="BG85" s="46"/>
      <c r="BH85" s="46"/>
      <c r="BI85" s="46"/>
      <c r="BJ85" s="46"/>
      <c r="BK85" s="46"/>
      <c r="BL85" s="46"/>
      <c r="BM85" s="46"/>
      <c r="BN85" s="46"/>
      <c r="BO85" s="257"/>
      <c r="BP85" s="46"/>
      <c r="BQ85" s="46"/>
      <c r="BR85" s="257"/>
      <c r="BS85" s="46"/>
      <c r="BT85" s="46"/>
      <c r="BU85" s="257"/>
      <c r="BV85" s="46"/>
      <c r="BW85" s="46"/>
      <c r="BX85" s="46"/>
      <c r="BY85" s="46"/>
      <c r="BZ85" s="46"/>
      <c r="CA85" s="257"/>
      <c r="CB85" s="196"/>
      <c r="CC85" s="46"/>
      <c r="CD85" s="257"/>
      <c r="CE85" s="46"/>
      <c r="CF85" s="46"/>
      <c r="CG85" s="257"/>
      <c r="CH85" s="46"/>
      <c r="CI85" s="46"/>
      <c r="CJ85" s="46"/>
      <c r="CK85" s="46"/>
      <c r="CL85" s="46"/>
      <c r="CM85" s="257"/>
      <c r="CN85" s="46"/>
      <c r="CO85" s="376"/>
      <c r="CP85" s="257"/>
      <c r="CQ85" s="196" t="s">
        <v>229</v>
      </c>
      <c r="CR85" s="286" t="s">
        <v>766</v>
      </c>
      <c r="CS85" s="257">
        <f>CY85+DE85+DL85+DT85+EB85+EJ85+10000</f>
        <v>10000</v>
      </c>
      <c r="CT85" s="46"/>
      <c r="CU85" s="317"/>
      <c r="CV85" s="391">
        <f t="shared" si="8"/>
        <v>0</v>
      </c>
      <c r="CW85" s="41"/>
      <c r="CX85" s="41"/>
      <c r="CY85" s="256"/>
      <c r="CZ85" s="308"/>
      <c r="DA85" s="308"/>
      <c r="DB85" s="420"/>
      <c r="DC85" s="41"/>
      <c r="DD85" s="41"/>
      <c r="DE85" s="256"/>
      <c r="DF85" s="41"/>
      <c r="DG85" s="41"/>
      <c r="DH85" s="391"/>
      <c r="DI85" s="41"/>
      <c r="DJ85" s="41"/>
      <c r="DK85" s="203"/>
      <c r="DL85" s="256"/>
      <c r="DM85" s="41"/>
      <c r="DN85" s="41"/>
      <c r="DO85" s="41"/>
      <c r="DP85" s="420"/>
      <c r="DQ85" s="41"/>
      <c r="DR85" s="41"/>
      <c r="DS85" s="203"/>
      <c r="DT85" s="256"/>
      <c r="DU85" s="46"/>
      <c r="DV85" s="46"/>
      <c r="DW85" s="196"/>
      <c r="DX85" s="391"/>
      <c r="DY85" s="41"/>
      <c r="DZ85" s="41"/>
      <c r="EA85" s="41"/>
      <c r="EB85" s="69"/>
      <c r="EC85" s="41"/>
      <c r="ED85" s="41"/>
      <c r="EE85" s="41"/>
      <c r="EF85" s="420"/>
      <c r="EG85" s="41"/>
      <c r="EH85" s="41"/>
      <c r="EI85" s="41"/>
      <c r="EJ85" s="256"/>
      <c r="EK85" s="41"/>
      <c r="EL85" s="41"/>
      <c r="EM85" s="41"/>
      <c r="EN85" s="420"/>
    </row>
    <row r="86" spans="1:144" ht="48.75">
      <c r="A86" s="45">
        <v>79</v>
      </c>
      <c r="B86" s="53" t="s">
        <v>301</v>
      </c>
      <c r="C86" s="45">
        <v>1</v>
      </c>
      <c r="D86" s="55" t="s">
        <v>239</v>
      </c>
      <c r="E86" s="54">
        <v>6</v>
      </c>
      <c r="F86" s="54">
        <v>5</v>
      </c>
      <c r="G86" s="397">
        <f>276806.376/1000</f>
        <v>276.806376</v>
      </c>
      <c r="H86" s="59">
        <v>276806.37599999993</v>
      </c>
      <c r="I86" s="59">
        <v>0</v>
      </c>
      <c r="J86" s="398">
        <v>333.47987000000001</v>
      </c>
      <c r="K86" s="414">
        <f t="shared" si="6"/>
        <v>610.28624600000001</v>
      </c>
      <c r="L86" s="397"/>
      <c r="M86" s="397"/>
      <c r="N86" s="397">
        <f t="shared" si="5"/>
        <v>610.28624600000001</v>
      </c>
      <c r="O86" s="399">
        <f t="shared" si="7"/>
        <v>565</v>
      </c>
      <c r="P86" s="196" t="s">
        <v>523</v>
      </c>
      <c r="Q86" s="46">
        <v>1</v>
      </c>
      <c r="R86" s="196" t="s">
        <v>642</v>
      </c>
      <c r="S86" s="257">
        <f>80000+180000</f>
        <v>260000</v>
      </c>
      <c r="T86" s="196"/>
      <c r="U86" s="46"/>
      <c r="V86" s="46"/>
      <c r="W86" s="257"/>
      <c r="X86" s="46"/>
      <c r="Y86" s="46"/>
      <c r="Z86" s="46"/>
      <c r="AA86" s="257"/>
      <c r="AB86" s="196"/>
      <c r="AC86" s="46"/>
      <c r="AD86" s="46"/>
      <c r="AE86" s="257"/>
      <c r="AF86" s="196" t="s">
        <v>229</v>
      </c>
      <c r="AG86" s="46" t="s">
        <v>335</v>
      </c>
      <c r="AH86" s="46">
        <v>200</v>
      </c>
      <c r="AI86" s="196" t="s">
        <v>552</v>
      </c>
      <c r="AJ86" s="400">
        <f>AH86*1300</f>
        <v>260000</v>
      </c>
      <c r="AK86" s="196"/>
      <c r="AL86" s="46"/>
      <c r="AM86" s="218"/>
      <c r="AN86" s="257"/>
      <c r="AO86" s="196"/>
      <c r="AP86" s="46"/>
      <c r="AQ86" s="257"/>
      <c r="AR86" s="196"/>
      <c r="AS86" s="46"/>
      <c r="AT86" s="257"/>
      <c r="AU86" s="196"/>
      <c r="AV86" s="46"/>
      <c r="AW86" s="257"/>
      <c r="AX86" s="196"/>
      <c r="AY86" s="46"/>
      <c r="AZ86" s="257"/>
      <c r="BA86" s="46"/>
      <c r="BB86" s="46"/>
      <c r="BC86" s="46"/>
      <c r="BD86" s="46"/>
      <c r="BE86" s="46"/>
      <c r="BF86" s="257"/>
      <c r="BG86" s="46"/>
      <c r="BH86" s="46"/>
      <c r="BI86" s="46"/>
      <c r="BJ86" s="196"/>
      <c r="BK86" s="46"/>
      <c r="BL86" s="46"/>
      <c r="BM86" s="46"/>
      <c r="BN86" s="46"/>
      <c r="BO86" s="257"/>
      <c r="BP86" s="196"/>
      <c r="BQ86" s="46"/>
      <c r="BR86" s="257"/>
      <c r="BS86" s="46"/>
      <c r="BT86" s="46"/>
      <c r="BU86" s="257"/>
      <c r="BV86" s="196"/>
      <c r="BW86" s="46"/>
      <c r="BX86" s="46"/>
      <c r="BY86" s="46"/>
      <c r="BZ86" s="46"/>
      <c r="CA86" s="257"/>
      <c r="CB86" s="196"/>
      <c r="CC86" s="46"/>
      <c r="CD86" s="257"/>
      <c r="CE86" s="46"/>
      <c r="CF86" s="46"/>
      <c r="CG86" s="257"/>
      <c r="CH86" s="46"/>
      <c r="CI86" s="46"/>
      <c r="CJ86" s="46"/>
      <c r="CK86" s="46"/>
      <c r="CL86" s="46"/>
      <c r="CM86" s="257"/>
      <c r="CN86" s="46"/>
      <c r="CO86" s="376"/>
      <c r="CP86" s="257"/>
      <c r="CQ86" s="196" t="s">
        <v>248</v>
      </c>
      <c r="CR86" s="286" t="s">
        <v>641</v>
      </c>
      <c r="CS86" s="257">
        <f>CY86+DE86+DL86+DT86+EB86+EJ86+20000+10000</f>
        <v>45000</v>
      </c>
      <c r="CT86" s="218"/>
      <c r="CU86" s="317"/>
      <c r="CV86" s="391">
        <f t="shared" si="8"/>
        <v>0</v>
      </c>
      <c r="CW86" s="41"/>
      <c r="CX86" s="41"/>
      <c r="CY86" s="256"/>
      <c r="CZ86" s="308"/>
      <c r="DA86" s="308"/>
      <c r="DB86" s="420"/>
      <c r="DC86" s="41"/>
      <c r="DD86" s="41"/>
      <c r="DE86" s="256"/>
      <c r="DF86" s="41"/>
      <c r="DG86" s="41"/>
      <c r="DH86" s="391"/>
      <c r="DI86" s="41">
        <v>8</v>
      </c>
      <c r="DJ86" s="41">
        <v>1</v>
      </c>
      <c r="DK86" s="203" t="s">
        <v>523</v>
      </c>
      <c r="DL86" s="256">
        <v>15000</v>
      </c>
      <c r="DM86" s="41"/>
      <c r="DN86" s="41"/>
      <c r="DO86" s="41"/>
      <c r="DP86" s="420"/>
      <c r="DQ86" s="41"/>
      <c r="DR86" s="41"/>
      <c r="DS86" s="203"/>
      <c r="DT86" s="256"/>
      <c r="DU86" s="46"/>
      <c r="DV86" s="46"/>
      <c r="DW86" s="196"/>
      <c r="DX86" s="391"/>
      <c r="DY86" s="41"/>
      <c r="DZ86" s="41"/>
      <c r="EA86" s="41"/>
      <c r="EB86" s="69"/>
      <c r="EC86" s="41"/>
      <c r="ED86" s="41"/>
      <c r="EE86" s="41"/>
      <c r="EF86" s="420"/>
      <c r="EG86" s="41"/>
      <c r="EH86" s="41"/>
      <c r="EI86" s="41"/>
      <c r="EJ86" s="256"/>
      <c r="EK86" s="41"/>
      <c r="EL86" s="41"/>
      <c r="EM86" s="41"/>
      <c r="EN86" s="391"/>
    </row>
    <row r="87" spans="1:144" ht="25.5">
      <c r="A87" s="45">
        <v>80</v>
      </c>
      <c r="B87" s="53" t="s">
        <v>301</v>
      </c>
      <c r="C87" s="45">
        <v>1</v>
      </c>
      <c r="D87" s="55" t="s">
        <v>239</v>
      </c>
      <c r="E87" s="54">
        <v>7</v>
      </c>
      <c r="F87" s="54">
        <v>5</v>
      </c>
      <c r="G87" s="397">
        <f>279060.012/1000</f>
        <v>279.06001199999997</v>
      </c>
      <c r="H87" s="59">
        <v>279060.01199999999</v>
      </c>
      <c r="I87" s="59">
        <v>0</v>
      </c>
      <c r="J87" s="398">
        <v>335.55385999999999</v>
      </c>
      <c r="K87" s="414">
        <f t="shared" si="6"/>
        <v>614.6138719999999</v>
      </c>
      <c r="L87" s="397"/>
      <c r="M87" s="397"/>
      <c r="N87" s="397">
        <f t="shared" si="5"/>
        <v>614.6138719999999</v>
      </c>
      <c r="O87" s="399">
        <f t="shared" si="7"/>
        <v>585</v>
      </c>
      <c r="P87" s="196" t="s">
        <v>224</v>
      </c>
      <c r="Q87" s="46">
        <v>2</v>
      </c>
      <c r="R87" s="218" t="s">
        <v>254</v>
      </c>
      <c r="S87" s="257">
        <v>150000</v>
      </c>
      <c r="T87" s="196"/>
      <c r="U87" s="46"/>
      <c r="V87" s="46"/>
      <c r="W87" s="257"/>
      <c r="X87" s="46"/>
      <c r="Y87" s="46"/>
      <c r="Z87" s="46"/>
      <c r="AA87" s="257"/>
      <c r="AB87" s="196"/>
      <c r="AC87" s="46"/>
      <c r="AD87" s="46"/>
      <c r="AE87" s="257"/>
      <c r="AF87" s="196"/>
      <c r="AG87" s="46"/>
      <c r="AH87" s="46"/>
      <c r="AI87" s="196"/>
      <c r="AJ87" s="400"/>
      <c r="AK87" s="196"/>
      <c r="AL87" s="46"/>
      <c r="AM87" s="218"/>
      <c r="AN87" s="257"/>
      <c r="AO87" s="196"/>
      <c r="AP87" s="46"/>
      <c r="AQ87" s="257"/>
      <c r="AR87" s="196"/>
      <c r="AS87" s="46"/>
      <c r="AT87" s="257"/>
      <c r="AU87" s="196" t="s">
        <v>248</v>
      </c>
      <c r="AV87" s="46">
        <v>140</v>
      </c>
      <c r="AW87" s="257">
        <f>AV87*3000</f>
        <v>420000</v>
      </c>
      <c r="AX87" s="196"/>
      <c r="AY87" s="167"/>
      <c r="AZ87" s="257"/>
      <c r="BA87" s="46"/>
      <c r="BB87" s="46"/>
      <c r="BC87" s="46"/>
      <c r="BD87" s="46"/>
      <c r="BE87" s="46"/>
      <c r="BF87" s="257"/>
      <c r="BG87" s="46"/>
      <c r="BH87" s="46"/>
      <c r="BI87" s="46"/>
      <c r="BJ87" s="196"/>
      <c r="BK87" s="46"/>
      <c r="BL87" s="257"/>
      <c r="BM87" s="46"/>
      <c r="BN87" s="46"/>
      <c r="BO87" s="257"/>
      <c r="BP87" s="196"/>
      <c r="BQ87" s="46"/>
      <c r="BR87" s="257"/>
      <c r="BS87" s="46"/>
      <c r="BT87" s="46"/>
      <c r="BU87" s="257"/>
      <c r="BV87" s="196"/>
      <c r="BW87" s="46"/>
      <c r="BX87" s="257"/>
      <c r="BY87" s="46"/>
      <c r="BZ87" s="46"/>
      <c r="CA87" s="257"/>
      <c r="CB87" s="196"/>
      <c r="CC87" s="46"/>
      <c r="CD87" s="257"/>
      <c r="CE87" s="46"/>
      <c r="CF87" s="46"/>
      <c r="CG87" s="257"/>
      <c r="CH87" s="46"/>
      <c r="CI87" s="46"/>
      <c r="CJ87" s="46"/>
      <c r="CK87" s="46"/>
      <c r="CL87" s="46"/>
      <c r="CM87" s="257"/>
      <c r="CN87" s="46"/>
      <c r="CO87" s="376"/>
      <c r="CP87" s="257"/>
      <c r="CQ87" s="196" t="s">
        <v>249</v>
      </c>
      <c r="CR87" s="286" t="s">
        <v>767</v>
      </c>
      <c r="CS87" s="257">
        <f>CY87+DE87+DL87+DT87+EB87+EJ87+15000</f>
        <v>15000</v>
      </c>
      <c r="CT87" s="218"/>
      <c r="CU87" s="317"/>
      <c r="CV87" s="391">
        <f t="shared" si="8"/>
        <v>0</v>
      </c>
      <c r="CW87" s="41"/>
      <c r="CX87" s="41"/>
      <c r="CY87" s="256"/>
      <c r="CZ87" s="308"/>
      <c r="DA87" s="308"/>
      <c r="DB87" s="420"/>
      <c r="DC87" s="41"/>
      <c r="DD87" s="41"/>
      <c r="DE87" s="256"/>
      <c r="DF87" s="41"/>
      <c r="DG87" s="41"/>
      <c r="DH87" s="391"/>
      <c r="DI87" s="41"/>
      <c r="DJ87" s="41"/>
      <c r="DK87" s="203"/>
      <c r="DL87" s="256"/>
      <c r="DM87" s="41"/>
      <c r="DN87" s="41"/>
      <c r="DO87" s="41"/>
      <c r="DP87" s="420"/>
      <c r="DQ87" s="41"/>
      <c r="DR87" s="41"/>
      <c r="DS87" s="203"/>
      <c r="DT87" s="256"/>
      <c r="DU87" s="46"/>
      <c r="DV87" s="46"/>
      <c r="DW87" s="196"/>
      <c r="DX87" s="391"/>
      <c r="DY87" s="41"/>
      <c r="DZ87" s="41"/>
      <c r="EA87" s="41"/>
      <c r="EB87" s="69"/>
      <c r="EC87" s="41"/>
      <c r="ED87" s="41"/>
      <c r="EE87" s="41"/>
      <c r="EF87" s="420"/>
      <c r="EG87" s="41"/>
      <c r="EH87" s="41"/>
      <c r="EI87" s="41"/>
      <c r="EJ87" s="256"/>
      <c r="EK87" s="41"/>
      <c r="EL87" s="41"/>
      <c r="EM87" s="41"/>
      <c r="EN87" s="391"/>
    </row>
    <row r="88" spans="1:144" ht="48.75">
      <c r="A88" s="45">
        <v>81</v>
      </c>
      <c r="B88" s="53" t="s">
        <v>301</v>
      </c>
      <c r="C88" s="45">
        <v>1</v>
      </c>
      <c r="D88" s="55" t="s">
        <v>239</v>
      </c>
      <c r="E88" s="54">
        <v>8</v>
      </c>
      <c r="F88" s="54">
        <v>5</v>
      </c>
      <c r="G88" s="397">
        <f>275558.976/1000</f>
        <v>275.55897600000003</v>
      </c>
      <c r="H88" s="59">
        <v>275558.97600000002</v>
      </c>
      <c r="I88" s="59">
        <v>0</v>
      </c>
      <c r="J88" s="398">
        <v>406.05011999999999</v>
      </c>
      <c r="K88" s="414">
        <f t="shared" si="6"/>
        <v>681.60909600000002</v>
      </c>
      <c r="L88" s="397"/>
      <c r="M88" s="397"/>
      <c r="N88" s="397">
        <f t="shared" si="5"/>
        <v>681.60909600000002</v>
      </c>
      <c r="O88" s="399">
        <f t="shared" si="7"/>
        <v>638.20000000000005</v>
      </c>
      <c r="P88" s="196"/>
      <c r="Q88" s="46"/>
      <c r="R88" s="196"/>
      <c r="S88" s="257"/>
      <c r="T88" s="196"/>
      <c r="U88" s="46"/>
      <c r="V88" s="46"/>
      <c r="W88" s="257"/>
      <c r="X88" s="46"/>
      <c r="Y88" s="46"/>
      <c r="Z88" s="46"/>
      <c r="AA88" s="257"/>
      <c r="AB88" s="196"/>
      <c r="AC88" s="46"/>
      <c r="AD88" s="46"/>
      <c r="AE88" s="257"/>
      <c r="AF88" s="196" t="s">
        <v>226</v>
      </c>
      <c r="AG88" s="46" t="s">
        <v>335</v>
      </c>
      <c r="AH88" s="46">
        <v>274</v>
      </c>
      <c r="AI88" s="218" t="s">
        <v>522</v>
      </c>
      <c r="AJ88" s="400">
        <f>AH88*1300</f>
        <v>356200</v>
      </c>
      <c r="AK88" s="196"/>
      <c r="AL88" s="46"/>
      <c r="AM88" s="218"/>
      <c r="AN88" s="257"/>
      <c r="AO88" s="218"/>
      <c r="AP88" s="167"/>
      <c r="AQ88" s="524"/>
      <c r="AR88" s="196"/>
      <c r="AS88" s="46"/>
      <c r="AT88" s="257"/>
      <c r="AU88" s="196"/>
      <c r="AV88" s="190"/>
      <c r="AW88" s="257"/>
      <c r="AX88" s="196"/>
      <c r="AY88" s="167"/>
      <c r="AZ88" s="257"/>
      <c r="BA88" s="46"/>
      <c r="BB88" s="46"/>
      <c r="BC88" s="46"/>
      <c r="BD88" s="46"/>
      <c r="BE88" s="46"/>
      <c r="BF88" s="257"/>
      <c r="BG88" s="46"/>
      <c r="BH88" s="46"/>
      <c r="BI88" s="46"/>
      <c r="BJ88" s="196"/>
      <c r="BK88" s="46"/>
      <c r="BL88" s="46"/>
      <c r="BM88" s="46"/>
      <c r="BN88" s="46"/>
      <c r="BO88" s="257"/>
      <c r="BP88" s="196" t="s">
        <v>228</v>
      </c>
      <c r="BQ88" s="46" t="s">
        <v>326</v>
      </c>
      <c r="BR88" s="257">
        <v>100000</v>
      </c>
      <c r="BS88" s="46"/>
      <c r="BT88" s="46"/>
      <c r="BU88" s="257"/>
      <c r="BV88" s="196"/>
      <c r="BW88" s="46"/>
      <c r="BX88" s="46"/>
      <c r="BY88" s="46"/>
      <c r="BZ88" s="46"/>
      <c r="CA88" s="257"/>
      <c r="CB88" s="196"/>
      <c r="CC88" s="46"/>
      <c r="CD88" s="257"/>
      <c r="CE88" s="46"/>
      <c r="CF88" s="46"/>
      <c r="CG88" s="257"/>
      <c r="CH88" s="46"/>
      <c r="CI88" s="46"/>
      <c r="CJ88" s="46"/>
      <c r="CK88" s="46"/>
      <c r="CL88" s="46"/>
      <c r="CM88" s="257"/>
      <c r="CN88" s="46">
        <v>4</v>
      </c>
      <c r="CO88" s="377" t="s">
        <v>643</v>
      </c>
      <c r="CP88" s="257">
        <v>25000</v>
      </c>
      <c r="CQ88" s="196" t="s">
        <v>254</v>
      </c>
      <c r="CR88" s="286" t="s">
        <v>644</v>
      </c>
      <c r="CS88" s="257">
        <f>CY88+DE88+DL88+DT88+EB88+EJ88+40*800+25000</f>
        <v>157000</v>
      </c>
      <c r="CT88" s="218"/>
      <c r="CU88" s="317"/>
      <c r="CV88" s="391">
        <f t="shared" si="8"/>
        <v>0</v>
      </c>
      <c r="CW88" s="41">
        <v>4</v>
      </c>
      <c r="CX88" s="41">
        <v>4</v>
      </c>
      <c r="CY88" s="256">
        <v>100000</v>
      </c>
      <c r="CZ88" s="308"/>
      <c r="DA88" s="308"/>
      <c r="DB88" s="420"/>
      <c r="DC88" s="41"/>
      <c r="DD88" s="41"/>
      <c r="DE88" s="256"/>
      <c r="DF88" s="41"/>
      <c r="DG88" s="41"/>
      <c r="DH88" s="391"/>
      <c r="DI88" s="41"/>
      <c r="DJ88" s="41"/>
      <c r="DK88" s="203"/>
      <c r="DL88" s="256"/>
      <c r="DM88" s="41"/>
      <c r="DN88" s="41"/>
      <c r="DO88" s="41"/>
      <c r="DP88" s="420"/>
      <c r="DQ88" s="41"/>
      <c r="DR88" s="41"/>
      <c r="DS88" s="203"/>
      <c r="DT88" s="256"/>
      <c r="DU88" s="46"/>
      <c r="DV88" s="46"/>
      <c r="DW88" s="196"/>
      <c r="DX88" s="391"/>
      <c r="DY88" s="41"/>
      <c r="DZ88" s="41"/>
      <c r="EA88" s="41"/>
      <c r="EB88" s="69"/>
      <c r="EC88" s="41"/>
      <c r="ED88" s="41"/>
      <c r="EE88" s="41"/>
      <c r="EF88" s="420"/>
      <c r="EG88" s="41"/>
      <c r="EH88" s="41"/>
      <c r="EI88" s="41"/>
      <c r="EJ88" s="256"/>
      <c r="EK88" s="41"/>
      <c r="EL88" s="41"/>
      <c r="EM88" s="41"/>
      <c r="EN88" s="391"/>
    </row>
    <row r="89" spans="1:144" ht="34.5">
      <c r="A89" s="45">
        <v>82</v>
      </c>
      <c r="B89" s="53" t="s">
        <v>301</v>
      </c>
      <c r="C89" s="45">
        <v>1</v>
      </c>
      <c r="D89" s="53" t="s">
        <v>240</v>
      </c>
      <c r="E89" s="54">
        <v>4</v>
      </c>
      <c r="F89" s="54">
        <v>5</v>
      </c>
      <c r="G89" s="397">
        <f>223126.596/1000</f>
        <v>223.12659599999998</v>
      </c>
      <c r="H89" s="59">
        <v>223126.59600000002</v>
      </c>
      <c r="I89" s="59">
        <v>0</v>
      </c>
      <c r="J89" s="398">
        <v>311.71168000000006</v>
      </c>
      <c r="K89" s="414">
        <f t="shared" si="6"/>
        <v>534.83827600000006</v>
      </c>
      <c r="L89" s="397"/>
      <c r="M89" s="397"/>
      <c r="N89" s="397">
        <f t="shared" si="5"/>
        <v>534.83827600000006</v>
      </c>
      <c r="O89" s="399">
        <f t="shared" si="7"/>
        <v>506.8</v>
      </c>
      <c r="P89" s="196"/>
      <c r="Q89" s="46"/>
      <c r="R89" s="196"/>
      <c r="S89" s="257"/>
      <c r="T89" s="196"/>
      <c r="U89" s="46"/>
      <c r="V89" s="46"/>
      <c r="W89" s="257"/>
      <c r="X89" s="46"/>
      <c r="Y89" s="46"/>
      <c r="Z89" s="46"/>
      <c r="AA89" s="257"/>
      <c r="AB89" s="196"/>
      <c r="AC89" s="46"/>
      <c r="AD89" s="46"/>
      <c r="AE89" s="257"/>
      <c r="AF89" s="196" t="s">
        <v>229</v>
      </c>
      <c r="AG89" s="46" t="s">
        <v>335</v>
      </c>
      <c r="AH89" s="46">
        <v>60</v>
      </c>
      <c r="AI89" s="196" t="s">
        <v>552</v>
      </c>
      <c r="AJ89" s="400">
        <f>AH89*1300</f>
        <v>78000</v>
      </c>
      <c r="AK89" s="196"/>
      <c r="AL89" s="46"/>
      <c r="AM89" s="218"/>
      <c r="AN89" s="257"/>
      <c r="AO89" s="218" t="s">
        <v>229</v>
      </c>
      <c r="AP89" s="167">
        <v>66</v>
      </c>
      <c r="AQ89" s="524">
        <f>AP89*2000</f>
        <v>132000</v>
      </c>
      <c r="AR89" s="196"/>
      <c r="AS89" s="46"/>
      <c r="AT89" s="257"/>
      <c r="AU89" s="196" t="s">
        <v>248</v>
      </c>
      <c r="AV89" s="46">
        <v>52</v>
      </c>
      <c r="AW89" s="257">
        <f>AV89*3000</f>
        <v>156000</v>
      </c>
      <c r="AX89" s="196" t="s">
        <v>254</v>
      </c>
      <c r="AY89" s="167">
        <v>66</v>
      </c>
      <c r="AZ89" s="257">
        <f>AY89*1300</f>
        <v>85800</v>
      </c>
      <c r="BA89" s="46"/>
      <c r="BB89" s="46"/>
      <c r="BC89" s="46"/>
      <c r="BD89" s="46"/>
      <c r="BE89" s="46"/>
      <c r="BF89" s="257"/>
      <c r="BG89" s="46"/>
      <c r="BH89" s="46"/>
      <c r="BI89" s="46"/>
      <c r="BJ89" s="196"/>
      <c r="BK89" s="46"/>
      <c r="BL89" s="46"/>
      <c r="BM89" s="46"/>
      <c r="BN89" s="46"/>
      <c r="BO89" s="257"/>
      <c r="BP89" s="196" t="s">
        <v>226</v>
      </c>
      <c r="BQ89" s="190" t="s">
        <v>645</v>
      </c>
      <c r="BR89" s="257">
        <v>10000</v>
      </c>
      <c r="BS89" s="46"/>
      <c r="BT89" s="46"/>
      <c r="BU89" s="257"/>
      <c r="BV89" s="196"/>
      <c r="BW89" s="46"/>
      <c r="BX89" s="46"/>
      <c r="BY89" s="46"/>
      <c r="BZ89" s="46"/>
      <c r="CA89" s="257"/>
      <c r="CB89" s="196"/>
      <c r="CC89" s="46"/>
      <c r="CD89" s="257"/>
      <c r="CE89" s="46"/>
      <c r="CF89" s="46"/>
      <c r="CG89" s="257"/>
      <c r="CH89" s="46"/>
      <c r="CI89" s="46"/>
      <c r="CJ89" s="46"/>
      <c r="CK89" s="46"/>
      <c r="CL89" s="46"/>
      <c r="CM89" s="257"/>
      <c r="CN89" s="46"/>
      <c r="CO89" s="376"/>
      <c r="CP89" s="257"/>
      <c r="CQ89" s="218" t="s">
        <v>248</v>
      </c>
      <c r="CR89" s="286" t="s">
        <v>646</v>
      </c>
      <c r="CS89" s="257">
        <f t="shared" si="9"/>
        <v>45000</v>
      </c>
      <c r="CT89" s="525"/>
      <c r="CU89" s="317"/>
      <c r="CV89" s="391">
        <f t="shared" si="8"/>
        <v>0</v>
      </c>
      <c r="CW89" s="41"/>
      <c r="CX89" s="41"/>
      <c r="CY89" s="256"/>
      <c r="CZ89" s="308"/>
      <c r="DA89" s="308"/>
      <c r="DB89" s="420"/>
      <c r="DC89" s="41"/>
      <c r="DD89" s="41"/>
      <c r="DE89" s="256"/>
      <c r="DF89" s="60"/>
      <c r="DG89" s="41"/>
      <c r="DH89" s="391"/>
      <c r="DI89" s="41">
        <v>8</v>
      </c>
      <c r="DJ89" s="41">
        <v>3</v>
      </c>
      <c r="DK89" s="203" t="s">
        <v>529</v>
      </c>
      <c r="DL89" s="256">
        <v>45000</v>
      </c>
      <c r="DM89" s="41"/>
      <c r="DN89" s="41"/>
      <c r="DO89" s="41"/>
      <c r="DP89" s="420"/>
      <c r="DQ89" s="41"/>
      <c r="DR89" s="41"/>
      <c r="DS89" s="203"/>
      <c r="DT89" s="256"/>
      <c r="DU89" s="46"/>
      <c r="DV89" s="46"/>
      <c r="DW89" s="196"/>
      <c r="DX89" s="391"/>
      <c r="DY89" s="41"/>
      <c r="DZ89" s="41"/>
      <c r="EA89" s="41"/>
      <c r="EB89" s="69"/>
      <c r="EC89" s="41"/>
      <c r="ED89" s="41"/>
      <c r="EE89" s="41"/>
      <c r="EF89" s="420"/>
      <c r="EG89" s="41"/>
      <c r="EH89" s="41"/>
      <c r="EI89" s="41"/>
      <c r="EJ89" s="256"/>
      <c r="EK89" s="41"/>
      <c r="EL89" s="41"/>
      <c r="EM89" s="41"/>
      <c r="EN89" s="391"/>
    </row>
    <row r="90" spans="1:144" ht="34.5">
      <c r="A90" s="45">
        <v>83</v>
      </c>
      <c r="B90" s="53" t="s">
        <v>301</v>
      </c>
      <c r="C90" s="45">
        <v>1</v>
      </c>
      <c r="D90" s="55" t="s">
        <v>240</v>
      </c>
      <c r="E90" s="54">
        <v>5</v>
      </c>
      <c r="F90" s="54">
        <v>5</v>
      </c>
      <c r="G90" s="397">
        <f>219475.872/1000</f>
        <v>219.47587200000001</v>
      </c>
      <c r="H90" s="59">
        <v>219475.87200000003</v>
      </c>
      <c r="I90" s="59">
        <v>0</v>
      </c>
      <c r="J90" s="398">
        <v>316.67626999999993</v>
      </c>
      <c r="K90" s="414">
        <f t="shared" si="6"/>
        <v>536.15214199999991</v>
      </c>
      <c r="L90" s="397"/>
      <c r="M90" s="397"/>
      <c r="N90" s="397">
        <f t="shared" si="5"/>
        <v>536.15214199999991</v>
      </c>
      <c r="O90" s="399">
        <f t="shared" si="7"/>
        <v>534</v>
      </c>
      <c r="P90" s="196"/>
      <c r="Q90" s="46"/>
      <c r="R90" s="196"/>
      <c r="S90" s="257"/>
      <c r="T90" s="196"/>
      <c r="U90" s="46"/>
      <c r="V90" s="46"/>
      <c r="W90" s="257"/>
      <c r="X90" s="46"/>
      <c r="Y90" s="46"/>
      <c r="Z90" s="46"/>
      <c r="AA90" s="257"/>
      <c r="AB90" s="196"/>
      <c r="AC90" s="46"/>
      <c r="AD90" s="46"/>
      <c r="AE90" s="257"/>
      <c r="AF90" s="196" t="s">
        <v>247</v>
      </c>
      <c r="AG90" s="46" t="s">
        <v>310</v>
      </c>
      <c r="AH90" s="46">
        <v>120</v>
      </c>
      <c r="AI90" s="196" t="s">
        <v>552</v>
      </c>
      <c r="AJ90" s="400">
        <f>AH90*800</f>
        <v>96000</v>
      </c>
      <c r="AK90" s="196"/>
      <c r="AL90" s="46"/>
      <c r="AM90" s="218"/>
      <c r="AN90" s="257"/>
      <c r="AO90" s="196"/>
      <c r="AP90" s="46"/>
      <c r="AQ90" s="257"/>
      <c r="AR90" s="196" t="s">
        <v>247</v>
      </c>
      <c r="AS90" s="190" t="s">
        <v>559</v>
      </c>
      <c r="AT90" s="257">
        <v>150000</v>
      </c>
      <c r="AU90" s="196"/>
      <c r="AV90" s="46"/>
      <c r="AW90" s="257"/>
      <c r="AX90" s="196"/>
      <c r="AY90" s="46"/>
      <c r="AZ90" s="257"/>
      <c r="BA90" s="46"/>
      <c r="BB90" s="46"/>
      <c r="BC90" s="46"/>
      <c r="BD90" s="46"/>
      <c r="BE90" s="46"/>
      <c r="BF90" s="257"/>
      <c r="BG90" s="46"/>
      <c r="BH90" s="46"/>
      <c r="BI90" s="46"/>
      <c r="BJ90" s="196"/>
      <c r="BK90" s="46"/>
      <c r="BL90" s="46"/>
      <c r="BM90" s="46"/>
      <c r="BN90" s="46"/>
      <c r="BO90" s="257"/>
      <c r="BP90" s="196" t="s">
        <v>226</v>
      </c>
      <c r="BQ90" s="190" t="s">
        <v>648</v>
      </c>
      <c r="BR90" s="257">
        <f>28*1000</f>
        <v>28000</v>
      </c>
      <c r="BS90" s="46"/>
      <c r="BT90" s="46"/>
      <c r="BU90" s="257"/>
      <c r="BV90" s="196"/>
      <c r="BW90" s="46"/>
      <c r="BX90" s="46"/>
      <c r="BY90" s="46"/>
      <c r="BZ90" s="46"/>
      <c r="CA90" s="257"/>
      <c r="CB90" s="196"/>
      <c r="CC90" s="46"/>
      <c r="CD90" s="257"/>
      <c r="CE90" s="46"/>
      <c r="CF90" s="46"/>
      <c r="CG90" s="257"/>
      <c r="CH90" s="46"/>
      <c r="CI90" s="46"/>
      <c r="CJ90" s="46"/>
      <c r="CK90" s="46"/>
      <c r="CL90" s="46"/>
      <c r="CM90" s="257"/>
      <c r="CN90" s="46"/>
      <c r="CO90" s="376"/>
      <c r="CP90" s="257"/>
      <c r="CQ90" s="196" t="s">
        <v>228</v>
      </c>
      <c r="CR90" s="286" t="s">
        <v>647</v>
      </c>
      <c r="CS90" s="257">
        <f t="shared" si="9"/>
        <v>260000</v>
      </c>
      <c r="CT90" s="218"/>
      <c r="CU90" s="317"/>
      <c r="CV90" s="391">
        <f t="shared" si="8"/>
        <v>0</v>
      </c>
      <c r="CW90" s="41"/>
      <c r="CX90" s="41"/>
      <c r="CY90" s="256"/>
      <c r="CZ90" s="308"/>
      <c r="DA90" s="308"/>
      <c r="DB90" s="420"/>
      <c r="DC90" s="41"/>
      <c r="DD90" s="41"/>
      <c r="DE90" s="256"/>
      <c r="DF90" s="41"/>
      <c r="DG90" s="41"/>
      <c r="DH90" s="391"/>
      <c r="DI90" s="41">
        <v>9</v>
      </c>
      <c r="DJ90" s="41">
        <v>4</v>
      </c>
      <c r="DK90" s="203" t="s">
        <v>632</v>
      </c>
      <c r="DL90" s="256">
        <v>60000</v>
      </c>
      <c r="DM90" s="41"/>
      <c r="DN90" s="41"/>
      <c r="DO90" s="41"/>
      <c r="DP90" s="420"/>
      <c r="DQ90" s="41">
        <v>9</v>
      </c>
      <c r="DR90" s="41">
        <v>4</v>
      </c>
      <c r="DS90" s="203" t="s">
        <v>632</v>
      </c>
      <c r="DT90" s="256">
        <v>200000</v>
      </c>
      <c r="DU90" s="46"/>
      <c r="DV90" s="46"/>
      <c r="DW90" s="196"/>
      <c r="DX90" s="391"/>
      <c r="DY90" s="41"/>
      <c r="DZ90" s="41"/>
      <c r="EA90" s="41"/>
      <c r="EB90" s="69"/>
      <c r="EC90" s="41"/>
      <c r="ED90" s="41"/>
      <c r="EE90" s="41"/>
      <c r="EF90" s="420"/>
      <c r="EG90" s="41"/>
      <c r="EH90" s="41"/>
      <c r="EI90" s="41"/>
      <c r="EJ90" s="256"/>
      <c r="EK90" s="41"/>
      <c r="EL90" s="41"/>
      <c r="EM90" s="41"/>
      <c r="EN90" s="391"/>
    </row>
    <row r="91" spans="1:144" ht="25.5">
      <c r="A91" s="45">
        <v>84</v>
      </c>
      <c r="B91" s="53" t="s">
        <v>301</v>
      </c>
      <c r="C91" s="45">
        <v>1</v>
      </c>
      <c r="D91" s="55" t="s">
        <v>240</v>
      </c>
      <c r="E91" s="54">
        <v>6</v>
      </c>
      <c r="F91" s="54">
        <v>5</v>
      </c>
      <c r="G91" s="397">
        <f>208631.808/1000</f>
        <v>208.63180799999998</v>
      </c>
      <c r="H91" s="59">
        <v>208631.80800000002</v>
      </c>
      <c r="I91" s="59">
        <v>0</v>
      </c>
      <c r="J91" s="398">
        <v>381.26628999999997</v>
      </c>
      <c r="K91" s="414">
        <f t="shared" si="6"/>
        <v>589.89809799999989</v>
      </c>
      <c r="L91" s="397"/>
      <c r="M91" s="397"/>
      <c r="N91" s="397">
        <f t="shared" si="5"/>
        <v>589.89809799999989</v>
      </c>
      <c r="O91" s="399">
        <f t="shared" si="7"/>
        <v>539.5</v>
      </c>
      <c r="P91" s="196"/>
      <c r="Q91" s="46"/>
      <c r="R91" s="196"/>
      <c r="S91" s="257"/>
      <c r="T91" s="196"/>
      <c r="U91" s="46"/>
      <c r="V91" s="46"/>
      <c r="W91" s="257"/>
      <c r="X91" s="46"/>
      <c r="Y91" s="46"/>
      <c r="Z91" s="46"/>
      <c r="AA91" s="257"/>
      <c r="AB91" s="196"/>
      <c r="AC91" s="46"/>
      <c r="AD91" s="46"/>
      <c r="AE91" s="257"/>
      <c r="AF91" s="196" t="s">
        <v>249</v>
      </c>
      <c r="AG91" s="46" t="s">
        <v>324</v>
      </c>
      <c r="AH91" s="46">
        <v>415</v>
      </c>
      <c r="AI91" s="196" t="s">
        <v>552</v>
      </c>
      <c r="AJ91" s="400">
        <f>AH91*1300</f>
        <v>539500</v>
      </c>
      <c r="AK91" s="196"/>
      <c r="AL91" s="46"/>
      <c r="AM91" s="218"/>
      <c r="AN91" s="257"/>
      <c r="AO91" s="196"/>
      <c r="AP91" s="46"/>
      <c r="AQ91" s="257"/>
      <c r="AR91" s="196"/>
      <c r="AS91" s="46"/>
      <c r="AT91" s="257"/>
      <c r="AU91" s="196"/>
      <c r="AV91" s="46"/>
      <c r="AW91" s="257"/>
      <c r="AX91" s="196"/>
      <c r="AY91" s="167"/>
      <c r="AZ91" s="257"/>
      <c r="BA91" s="46"/>
      <c r="BB91" s="46"/>
      <c r="BC91" s="46"/>
      <c r="BD91" s="46"/>
      <c r="BE91" s="46"/>
      <c r="BF91" s="257"/>
      <c r="BG91" s="46"/>
      <c r="BH91" s="46"/>
      <c r="BI91" s="46"/>
      <c r="BJ91" s="196"/>
      <c r="BK91" s="46"/>
      <c r="BL91" s="46"/>
      <c r="BM91" s="46"/>
      <c r="BN91" s="46"/>
      <c r="BO91" s="257"/>
      <c r="BP91" s="196"/>
      <c r="BQ91" s="46"/>
      <c r="BR91" s="257"/>
      <c r="BS91" s="46"/>
      <c r="BT91" s="46"/>
      <c r="BU91" s="257"/>
      <c r="BV91" s="196"/>
      <c r="BW91" s="46"/>
      <c r="BX91" s="46"/>
      <c r="BY91" s="46"/>
      <c r="BZ91" s="46"/>
      <c r="CA91" s="257"/>
      <c r="CB91" s="196"/>
      <c r="CC91" s="46"/>
      <c r="CD91" s="257"/>
      <c r="CE91" s="46"/>
      <c r="CF91" s="46"/>
      <c r="CG91" s="257"/>
      <c r="CH91" s="46"/>
      <c r="CI91" s="46"/>
      <c r="CJ91" s="46"/>
      <c r="CK91" s="46"/>
      <c r="CL91" s="46"/>
      <c r="CM91" s="257"/>
      <c r="CN91" s="46"/>
      <c r="CO91" s="376"/>
      <c r="CP91" s="257"/>
      <c r="CQ91" s="196"/>
      <c r="CR91" s="286"/>
      <c r="CS91" s="257">
        <f t="shared" si="9"/>
        <v>0</v>
      </c>
      <c r="CT91" s="218"/>
      <c r="CU91" s="317"/>
      <c r="CV91" s="391">
        <f t="shared" si="8"/>
        <v>0</v>
      </c>
      <c r="CW91" s="41"/>
      <c r="CX91" s="41"/>
      <c r="CY91" s="256"/>
      <c r="CZ91" s="308"/>
      <c r="DA91" s="308"/>
      <c r="DB91" s="420"/>
      <c r="DC91" s="41"/>
      <c r="DD91" s="41"/>
      <c r="DE91" s="256"/>
      <c r="DF91" s="41"/>
      <c r="DG91" s="41"/>
      <c r="DH91" s="391"/>
      <c r="DI91" s="41"/>
      <c r="DJ91" s="41"/>
      <c r="DK91" s="203"/>
      <c r="DL91" s="256"/>
      <c r="DM91" s="41"/>
      <c r="DN91" s="41"/>
      <c r="DO91" s="41"/>
      <c r="DP91" s="420"/>
      <c r="DQ91" s="41"/>
      <c r="DR91" s="41"/>
      <c r="DS91" s="203"/>
      <c r="DT91" s="256"/>
      <c r="DU91" s="46"/>
      <c r="DV91" s="46"/>
      <c r="DW91" s="196"/>
      <c r="DX91" s="391"/>
      <c r="DY91" s="41"/>
      <c r="DZ91" s="41"/>
      <c r="EA91" s="41"/>
      <c r="EB91" s="69"/>
      <c r="EC91" s="41"/>
      <c r="ED91" s="41"/>
      <c r="EE91" s="41"/>
      <c r="EF91" s="420"/>
      <c r="EG91" s="41"/>
      <c r="EH91" s="41"/>
      <c r="EI91" s="41"/>
      <c r="EJ91" s="256"/>
      <c r="EK91" s="41"/>
      <c r="EL91" s="41"/>
      <c r="EM91" s="41"/>
      <c r="EN91" s="391"/>
    </row>
    <row r="92" spans="1:144" ht="25.5">
      <c r="A92" s="45">
        <v>85</v>
      </c>
      <c r="B92" s="53" t="s">
        <v>301</v>
      </c>
      <c r="C92" s="45">
        <v>1</v>
      </c>
      <c r="D92" s="53" t="s">
        <v>240</v>
      </c>
      <c r="E92" s="54">
        <v>12</v>
      </c>
      <c r="F92" s="54">
        <v>5</v>
      </c>
      <c r="G92" s="397">
        <f>291958.128/1000</f>
        <v>291.95812800000004</v>
      </c>
      <c r="H92" s="59">
        <v>291958.12799999997</v>
      </c>
      <c r="I92" s="59">
        <v>0</v>
      </c>
      <c r="J92" s="398">
        <v>253.36794999999987</v>
      </c>
      <c r="K92" s="414">
        <f t="shared" si="6"/>
        <v>545.32607799999994</v>
      </c>
      <c r="L92" s="397"/>
      <c r="M92" s="397"/>
      <c r="N92" s="397">
        <f t="shared" si="5"/>
        <v>545.32607799999994</v>
      </c>
      <c r="O92" s="399">
        <f t="shared" si="7"/>
        <v>195</v>
      </c>
      <c r="P92" s="196" t="s">
        <v>227</v>
      </c>
      <c r="Q92" s="46">
        <v>2</v>
      </c>
      <c r="R92" s="218">
        <v>4.0999999999999996</v>
      </c>
      <c r="S92" s="257">
        <v>180000</v>
      </c>
      <c r="T92" s="196"/>
      <c r="U92" s="46"/>
      <c r="V92" s="46"/>
      <c r="W92" s="257"/>
      <c r="X92" s="46"/>
      <c r="Y92" s="46"/>
      <c r="Z92" s="46"/>
      <c r="AA92" s="257"/>
      <c r="AB92" s="196"/>
      <c r="AC92" s="46"/>
      <c r="AD92" s="46"/>
      <c r="AE92" s="257"/>
      <c r="AF92" s="196"/>
      <c r="AG92" s="46"/>
      <c r="AH92" s="46"/>
      <c r="AI92" s="218"/>
      <c r="AJ92" s="400"/>
      <c r="AK92" s="196"/>
      <c r="AL92" s="46"/>
      <c r="AM92" s="218"/>
      <c r="AN92" s="257"/>
      <c r="AO92" s="237"/>
      <c r="AP92" s="46"/>
      <c r="AQ92" s="257"/>
      <c r="AR92" s="237"/>
      <c r="AS92" s="46"/>
      <c r="AT92" s="257"/>
      <c r="AU92" s="237"/>
      <c r="AV92" s="46"/>
      <c r="AW92" s="257"/>
      <c r="AX92" s="237"/>
      <c r="AY92" s="46"/>
      <c r="AZ92" s="257"/>
      <c r="BA92" s="46"/>
      <c r="BB92" s="46"/>
      <c r="BC92" s="46"/>
      <c r="BD92" s="46"/>
      <c r="BE92" s="46"/>
      <c r="BF92" s="257"/>
      <c r="BG92" s="46"/>
      <c r="BH92" s="46"/>
      <c r="BI92" s="46"/>
      <c r="BJ92" s="196"/>
      <c r="BK92" s="46"/>
      <c r="BL92" s="46"/>
      <c r="BM92" s="46"/>
      <c r="BN92" s="46"/>
      <c r="BO92" s="257"/>
      <c r="BP92" s="196"/>
      <c r="BQ92" s="191"/>
      <c r="BR92" s="257"/>
      <c r="BS92" s="46"/>
      <c r="BT92" s="46"/>
      <c r="BU92" s="257"/>
      <c r="BV92" s="196"/>
      <c r="BW92" s="46"/>
      <c r="BX92" s="46"/>
      <c r="BY92" s="46"/>
      <c r="BZ92" s="46"/>
      <c r="CA92" s="257"/>
      <c r="CB92" s="196"/>
      <c r="CC92" s="46"/>
      <c r="CD92" s="257"/>
      <c r="CE92" s="46"/>
      <c r="CF92" s="46"/>
      <c r="CG92" s="257"/>
      <c r="CH92" s="46"/>
      <c r="CI92" s="46"/>
      <c r="CJ92" s="46"/>
      <c r="CK92" s="46"/>
      <c r="CL92" s="46"/>
      <c r="CM92" s="257"/>
      <c r="CN92" s="46"/>
      <c r="CO92" s="376"/>
      <c r="CP92" s="257"/>
      <c r="CQ92" s="196" t="s">
        <v>249</v>
      </c>
      <c r="CR92" s="286" t="s">
        <v>649</v>
      </c>
      <c r="CS92" s="257">
        <f>CY92+DE92+DL92+DT92+EB92+EJ92+15000</f>
        <v>15000</v>
      </c>
      <c r="CT92" s="196"/>
      <c r="CU92" s="317"/>
      <c r="CV92" s="391">
        <f t="shared" si="8"/>
        <v>0</v>
      </c>
      <c r="CW92" s="41"/>
      <c r="CX92" s="41"/>
      <c r="CY92" s="256"/>
      <c r="CZ92" s="308"/>
      <c r="DA92" s="308"/>
      <c r="DB92" s="420"/>
      <c r="DC92" s="41"/>
      <c r="DD92" s="41"/>
      <c r="DE92" s="256"/>
      <c r="DF92" s="41"/>
      <c r="DG92" s="41"/>
      <c r="DH92" s="391"/>
      <c r="DI92" s="41"/>
      <c r="DJ92" s="41"/>
      <c r="DK92" s="203"/>
      <c r="DL92" s="256"/>
      <c r="DM92" s="41"/>
      <c r="DN92" s="41"/>
      <c r="DO92" s="41"/>
      <c r="DP92" s="420"/>
      <c r="DQ92" s="41"/>
      <c r="DR92" s="41"/>
      <c r="DS92" s="203"/>
      <c r="DT92" s="256"/>
      <c r="DU92" s="46"/>
      <c r="DV92" s="46"/>
      <c r="DW92" s="196"/>
      <c r="DX92" s="391"/>
      <c r="DY92" s="41"/>
      <c r="DZ92" s="41"/>
      <c r="EA92" s="41"/>
      <c r="EB92" s="69"/>
      <c r="EC92" s="41"/>
      <c r="ED92" s="41"/>
      <c r="EE92" s="41"/>
      <c r="EF92" s="420"/>
      <c r="EG92" s="41"/>
      <c r="EH92" s="41"/>
      <c r="EI92" s="41"/>
      <c r="EJ92" s="256"/>
      <c r="EK92" s="41"/>
      <c r="EL92" s="41"/>
      <c r="EM92" s="41"/>
      <c r="EN92" s="391"/>
    </row>
    <row r="93" spans="1:144" ht="25.5">
      <c r="A93" s="45">
        <v>86</v>
      </c>
      <c r="B93" s="53" t="s">
        <v>301</v>
      </c>
      <c r="C93" s="45">
        <v>1</v>
      </c>
      <c r="D93" s="55" t="s">
        <v>241</v>
      </c>
      <c r="E93" s="54" t="s">
        <v>242</v>
      </c>
      <c r="F93" s="54">
        <v>7</v>
      </c>
      <c r="G93" s="397">
        <v>0</v>
      </c>
      <c r="H93" s="59">
        <v>0</v>
      </c>
      <c r="I93" s="59">
        <v>0</v>
      </c>
      <c r="J93" s="398">
        <v>22.081410000000002</v>
      </c>
      <c r="K93" s="414">
        <f t="shared" si="6"/>
        <v>22.081410000000002</v>
      </c>
      <c r="L93" s="397"/>
      <c r="M93" s="397"/>
      <c r="N93" s="397">
        <f t="shared" si="5"/>
        <v>22.081410000000002</v>
      </c>
      <c r="O93" s="399">
        <f t="shared" si="7"/>
        <v>0</v>
      </c>
      <c r="P93" s="369" t="s">
        <v>1012</v>
      </c>
      <c r="Q93" s="46"/>
      <c r="R93" s="196"/>
      <c r="S93" s="257"/>
      <c r="T93" s="196"/>
      <c r="U93" s="46"/>
      <c r="V93" s="46"/>
      <c r="W93" s="257"/>
      <c r="X93" s="46"/>
      <c r="Y93" s="46"/>
      <c r="Z93" s="46"/>
      <c r="AA93" s="257"/>
      <c r="AB93" s="196"/>
      <c r="AC93" s="46"/>
      <c r="AD93" s="46"/>
      <c r="AE93" s="257"/>
      <c r="AF93" s="196"/>
      <c r="AG93" s="46"/>
      <c r="AH93" s="46"/>
      <c r="AI93" s="196"/>
      <c r="AJ93" s="400"/>
      <c r="AK93" s="196"/>
      <c r="AL93" s="46"/>
      <c r="AM93" s="218"/>
      <c r="AN93" s="257"/>
      <c r="AO93" s="196"/>
      <c r="AP93" s="46"/>
      <c r="AQ93" s="257"/>
      <c r="AR93" s="196"/>
      <c r="AS93" s="46"/>
      <c r="AT93" s="257"/>
      <c r="AU93" s="196"/>
      <c r="AV93" s="46"/>
      <c r="AW93" s="257"/>
      <c r="AX93" s="196"/>
      <c r="AY93" s="46"/>
      <c r="AZ93" s="257"/>
      <c r="BA93" s="46"/>
      <c r="BB93" s="46"/>
      <c r="BC93" s="46"/>
      <c r="BD93" s="46"/>
      <c r="BE93" s="46"/>
      <c r="BF93" s="257"/>
      <c r="BG93" s="46"/>
      <c r="BH93" s="46"/>
      <c r="BI93" s="46"/>
      <c r="BJ93" s="196"/>
      <c r="BK93" s="46"/>
      <c r="BL93" s="46"/>
      <c r="BM93" s="46"/>
      <c r="BN93" s="46"/>
      <c r="BO93" s="257"/>
      <c r="BP93" s="196"/>
      <c r="BQ93" s="46"/>
      <c r="BR93" s="257"/>
      <c r="BS93" s="46"/>
      <c r="BT93" s="46"/>
      <c r="BU93" s="257"/>
      <c r="BV93" s="196"/>
      <c r="BW93" s="46"/>
      <c r="BX93" s="46"/>
      <c r="BY93" s="46"/>
      <c r="BZ93" s="46"/>
      <c r="CA93" s="257"/>
      <c r="CB93" s="196"/>
      <c r="CC93" s="46"/>
      <c r="CD93" s="257"/>
      <c r="CE93" s="46"/>
      <c r="CF93" s="46"/>
      <c r="CG93" s="257"/>
      <c r="CH93" s="46"/>
      <c r="CI93" s="46"/>
      <c r="CJ93" s="46"/>
      <c r="CK93" s="46"/>
      <c r="CL93" s="46"/>
      <c r="CM93" s="257"/>
      <c r="CN93" s="46"/>
      <c r="CO93" s="376"/>
      <c r="CP93" s="257"/>
      <c r="CQ93" s="196"/>
      <c r="CR93" s="530"/>
      <c r="CS93" s="257">
        <f t="shared" si="9"/>
        <v>0</v>
      </c>
      <c r="CT93" s="196"/>
      <c r="CU93" s="317"/>
      <c r="CV93" s="391">
        <f t="shared" si="8"/>
        <v>0</v>
      </c>
      <c r="CW93" s="41"/>
      <c r="CX93" s="41"/>
      <c r="CY93" s="256"/>
      <c r="CZ93" s="308"/>
      <c r="DA93" s="308"/>
      <c r="DB93" s="420"/>
      <c r="DC93" s="41"/>
      <c r="DD93" s="41"/>
      <c r="DE93" s="256"/>
      <c r="DF93" s="41"/>
      <c r="DG93" s="41"/>
      <c r="DH93" s="391"/>
      <c r="DI93" s="41"/>
      <c r="DJ93" s="41"/>
      <c r="DK93" s="203"/>
      <c r="DL93" s="256"/>
      <c r="DM93" s="41"/>
      <c r="DN93" s="41"/>
      <c r="DO93" s="41"/>
      <c r="DP93" s="420"/>
      <c r="DQ93" s="41"/>
      <c r="DR93" s="41"/>
      <c r="DS93" s="203"/>
      <c r="DT93" s="256"/>
      <c r="DU93" s="46"/>
      <c r="DV93" s="46"/>
      <c r="DW93" s="196"/>
      <c r="DX93" s="391"/>
      <c r="DY93" s="41"/>
      <c r="DZ93" s="41"/>
      <c r="EA93" s="41"/>
      <c r="EB93" s="69"/>
      <c r="EC93" s="41"/>
      <c r="ED93" s="41"/>
      <c r="EE93" s="41"/>
      <c r="EF93" s="420"/>
      <c r="EG93" s="41"/>
      <c r="EH93" s="41"/>
      <c r="EI93" s="41"/>
      <c r="EJ93" s="256"/>
      <c r="EK93" s="41"/>
      <c r="EL93" s="41"/>
      <c r="EM93" s="41"/>
      <c r="EN93" s="391"/>
    </row>
    <row r="94" spans="1:144" ht="25.5">
      <c r="A94" s="45">
        <v>87</v>
      </c>
      <c r="B94" s="53" t="s">
        <v>301</v>
      </c>
      <c r="C94" s="45">
        <v>1</v>
      </c>
      <c r="D94" s="55" t="s">
        <v>241</v>
      </c>
      <c r="E94" s="54" t="s">
        <v>245</v>
      </c>
      <c r="F94" s="54">
        <v>7</v>
      </c>
      <c r="G94" s="397">
        <v>0</v>
      </c>
      <c r="H94" s="59">
        <v>0</v>
      </c>
      <c r="I94" s="59">
        <v>0</v>
      </c>
      <c r="J94" s="398">
        <v>23.02918</v>
      </c>
      <c r="K94" s="414">
        <f t="shared" si="6"/>
        <v>23.02918</v>
      </c>
      <c r="L94" s="397"/>
      <c r="M94" s="397"/>
      <c r="N94" s="397">
        <f t="shared" si="5"/>
        <v>23.02918</v>
      </c>
      <c r="O94" s="399">
        <f t="shared" si="7"/>
        <v>0</v>
      </c>
      <c r="P94" s="369" t="s">
        <v>1012</v>
      </c>
      <c r="Q94" s="46"/>
      <c r="R94" s="196"/>
      <c r="S94" s="257"/>
      <c r="T94" s="196"/>
      <c r="U94" s="46"/>
      <c r="V94" s="46"/>
      <c r="W94" s="257"/>
      <c r="X94" s="46"/>
      <c r="Y94" s="46"/>
      <c r="Z94" s="46"/>
      <c r="AA94" s="257"/>
      <c r="AB94" s="196"/>
      <c r="AC94" s="46"/>
      <c r="AD94" s="46"/>
      <c r="AE94" s="257"/>
      <c r="AF94" s="196"/>
      <c r="AG94" s="46"/>
      <c r="AH94" s="46"/>
      <c r="AI94" s="196"/>
      <c r="AJ94" s="400"/>
      <c r="AK94" s="196"/>
      <c r="AL94" s="46"/>
      <c r="AM94" s="218"/>
      <c r="AN94" s="257"/>
      <c r="AO94" s="196"/>
      <c r="AP94" s="46"/>
      <c r="AQ94" s="257"/>
      <c r="AR94" s="196"/>
      <c r="AS94" s="46"/>
      <c r="AT94" s="257"/>
      <c r="AU94" s="196"/>
      <c r="AV94" s="46"/>
      <c r="AW94" s="257"/>
      <c r="AX94" s="196"/>
      <c r="AY94" s="46"/>
      <c r="AZ94" s="257"/>
      <c r="BA94" s="46"/>
      <c r="BB94" s="46"/>
      <c r="BC94" s="46"/>
      <c r="BD94" s="46"/>
      <c r="BE94" s="46"/>
      <c r="BF94" s="257"/>
      <c r="BG94" s="46"/>
      <c r="BH94" s="46"/>
      <c r="BI94" s="46"/>
      <c r="BJ94" s="196"/>
      <c r="BK94" s="46"/>
      <c r="BL94" s="46"/>
      <c r="BM94" s="46"/>
      <c r="BN94" s="46"/>
      <c r="BO94" s="257"/>
      <c r="BP94" s="196"/>
      <c r="BQ94" s="46"/>
      <c r="BR94" s="257"/>
      <c r="BS94" s="46"/>
      <c r="BT94" s="46"/>
      <c r="BU94" s="257"/>
      <c r="BV94" s="196"/>
      <c r="BW94" s="46"/>
      <c r="BX94" s="46"/>
      <c r="BY94" s="46"/>
      <c r="BZ94" s="46"/>
      <c r="CA94" s="257"/>
      <c r="CB94" s="196"/>
      <c r="CC94" s="46"/>
      <c r="CD94" s="257"/>
      <c r="CE94" s="46"/>
      <c r="CF94" s="46"/>
      <c r="CG94" s="257"/>
      <c r="CH94" s="46"/>
      <c r="CI94" s="46"/>
      <c r="CJ94" s="46"/>
      <c r="CK94" s="46"/>
      <c r="CL94" s="46"/>
      <c r="CM94" s="257"/>
      <c r="CN94" s="46"/>
      <c r="CO94" s="376"/>
      <c r="CP94" s="257"/>
      <c r="CQ94" s="196"/>
      <c r="CR94" s="523"/>
      <c r="CS94" s="257">
        <f t="shared" si="9"/>
        <v>0</v>
      </c>
      <c r="CT94" s="196"/>
      <c r="CU94" s="317"/>
      <c r="CV94" s="391">
        <f t="shared" si="8"/>
        <v>0</v>
      </c>
      <c r="CW94" s="41"/>
      <c r="CX94" s="41"/>
      <c r="CY94" s="256"/>
      <c r="CZ94" s="308"/>
      <c r="DA94" s="308"/>
      <c r="DB94" s="420"/>
      <c r="DC94" s="41"/>
      <c r="DD94" s="41"/>
      <c r="DE94" s="256"/>
      <c r="DF94" s="41"/>
      <c r="DG94" s="41"/>
      <c r="DH94" s="391"/>
      <c r="DI94" s="41"/>
      <c r="DJ94" s="41"/>
      <c r="DK94" s="203"/>
      <c r="DL94" s="256"/>
      <c r="DM94" s="41"/>
      <c r="DN94" s="41"/>
      <c r="DO94" s="41"/>
      <c r="DP94" s="420"/>
      <c r="DQ94" s="41"/>
      <c r="DR94" s="41"/>
      <c r="DS94" s="203"/>
      <c r="DT94" s="256"/>
      <c r="DU94" s="46"/>
      <c r="DV94" s="46"/>
      <c r="DW94" s="196"/>
      <c r="DX94" s="391"/>
      <c r="DY94" s="41"/>
      <c r="DZ94" s="41"/>
      <c r="EA94" s="41"/>
      <c r="EB94" s="69"/>
      <c r="EC94" s="41"/>
      <c r="ED94" s="41"/>
      <c r="EE94" s="41"/>
      <c r="EF94" s="420"/>
      <c r="EG94" s="41"/>
      <c r="EH94" s="41"/>
      <c r="EI94" s="41"/>
      <c r="EJ94" s="256"/>
      <c r="EK94" s="41"/>
      <c r="EL94" s="41"/>
      <c r="EM94" s="41"/>
      <c r="EN94" s="391"/>
    </row>
    <row r="95" spans="1:144" ht="25.5">
      <c r="A95" s="45">
        <v>88</v>
      </c>
      <c r="B95" s="53" t="s">
        <v>301</v>
      </c>
      <c r="C95" s="45">
        <v>1</v>
      </c>
      <c r="D95" s="55" t="s">
        <v>246</v>
      </c>
      <c r="E95" s="54">
        <v>2</v>
      </c>
      <c r="F95" s="54">
        <v>7</v>
      </c>
      <c r="G95" s="397">
        <v>0</v>
      </c>
      <c r="H95" s="59">
        <v>0</v>
      </c>
      <c r="I95" s="59">
        <v>0</v>
      </c>
      <c r="J95" s="398">
        <v>17.59994</v>
      </c>
      <c r="K95" s="414">
        <f t="shared" si="6"/>
        <v>17.59994</v>
      </c>
      <c r="L95" s="397"/>
      <c r="M95" s="397"/>
      <c r="N95" s="397">
        <f t="shared" si="5"/>
        <v>17.59994</v>
      </c>
      <c r="O95" s="399">
        <f t="shared" si="7"/>
        <v>0</v>
      </c>
      <c r="P95" s="369" t="s">
        <v>1012</v>
      </c>
      <c r="Q95" s="46"/>
      <c r="R95" s="196"/>
      <c r="S95" s="257"/>
      <c r="T95" s="196"/>
      <c r="U95" s="46"/>
      <c r="V95" s="46"/>
      <c r="W95" s="257"/>
      <c r="X95" s="46"/>
      <c r="Y95" s="46"/>
      <c r="Z95" s="46"/>
      <c r="AA95" s="257"/>
      <c r="AB95" s="196"/>
      <c r="AC95" s="46"/>
      <c r="AD95" s="46"/>
      <c r="AE95" s="257"/>
      <c r="AF95" s="196"/>
      <c r="AG95" s="46"/>
      <c r="AH95" s="46"/>
      <c r="AI95" s="196"/>
      <c r="AJ95" s="400"/>
      <c r="AK95" s="196"/>
      <c r="AL95" s="46"/>
      <c r="AM95" s="218"/>
      <c r="AN95" s="257"/>
      <c r="AO95" s="196"/>
      <c r="AP95" s="46"/>
      <c r="AQ95" s="257"/>
      <c r="AR95" s="196"/>
      <c r="AS95" s="46"/>
      <c r="AT95" s="257"/>
      <c r="AU95" s="196"/>
      <c r="AV95" s="46"/>
      <c r="AW95" s="257"/>
      <c r="AX95" s="196"/>
      <c r="AY95" s="46"/>
      <c r="AZ95" s="257"/>
      <c r="BA95" s="46"/>
      <c r="BB95" s="46"/>
      <c r="BC95" s="46"/>
      <c r="BD95" s="46"/>
      <c r="BE95" s="46"/>
      <c r="BF95" s="257"/>
      <c r="BG95" s="46"/>
      <c r="BH95" s="46"/>
      <c r="BI95" s="46"/>
      <c r="BJ95" s="196"/>
      <c r="BK95" s="46"/>
      <c r="BL95" s="46"/>
      <c r="BM95" s="46"/>
      <c r="BN95" s="46"/>
      <c r="BO95" s="257"/>
      <c r="BP95" s="196"/>
      <c r="BQ95" s="46"/>
      <c r="BR95" s="257"/>
      <c r="BS95" s="46"/>
      <c r="BT95" s="46"/>
      <c r="BU95" s="257"/>
      <c r="BV95" s="196"/>
      <c r="BW95" s="46"/>
      <c r="BX95" s="46"/>
      <c r="BY95" s="46"/>
      <c r="BZ95" s="46"/>
      <c r="CA95" s="257"/>
      <c r="CB95" s="196"/>
      <c r="CC95" s="46"/>
      <c r="CD95" s="257"/>
      <c r="CE95" s="46"/>
      <c r="CF95" s="46"/>
      <c r="CG95" s="257"/>
      <c r="CH95" s="46"/>
      <c r="CI95" s="46"/>
      <c r="CJ95" s="46"/>
      <c r="CK95" s="46"/>
      <c r="CL95" s="46"/>
      <c r="CM95" s="257"/>
      <c r="CN95" s="46"/>
      <c r="CO95" s="376"/>
      <c r="CP95" s="257"/>
      <c r="CQ95" s="196"/>
      <c r="CR95" s="191"/>
      <c r="CS95" s="257">
        <f t="shared" si="9"/>
        <v>0</v>
      </c>
      <c r="CT95" s="196"/>
      <c r="CU95" s="317"/>
      <c r="CV95" s="391">
        <f t="shared" si="8"/>
        <v>0</v>
      </c>
      <c r="CW95" s="41"/>
      <c r="CX95" s="41"/>
      <c r="CY95" s="256"/>
      <c r="CZ95" s="308"/>
      <c r="DA95" s="308"/>
      <c r="DB95" s="420"/>
      <c r="DC95" s="41"/>
      <c r="DD95" s="41"/>
      <c r="DE95" s="256"/>
      <c r="DF95" s="41"/>
      <c r="DG95" s="41"/>
      <c r="DH95" s="391"/>
      <c r="DI95" s="41"/>
      <c r="DJ95" s="41"/>
      <c r="DK95" s="203"/>
      <c r="DL95" s="256"/>
      <c r="DM95" s="41"/>
      <c r="DN95" s="41"/>
      <c r="DO95" s="41"/>
      <c r="DP95" s="420"/>
      <c r="DQ95" s="41"/>
      <c r="DR95" s="41"/>
      <c r="DS95" s="203"/>
      <c r="DT95" s="256"/>
      <c r="DU95" s="46"/>
      <c r="DV95" s="46"/>
      <c r="DW95" s="196"/>
      <c r="DX95" s="391"/>
      <c r="DY95" s="41"/>
      <c r="DZ95" s="41"/>
      <c r="EA95" s="41"/>
      <c r="EB95" s="69"/>
      <c r="EC95" s="41"/>
      <c r="ED95" s="41"/>
      <c r="EE95" s="41"/>
      <c r="EF95" s="420"/>
      <c r="EG95" s="41"/>
      <c r="EH95" s="41"/>
      <c r="EI95" s="41"/>
      <c r="EJ95" s="256"/>
      <c r="EK95" s="41"/>
      <c r="EL95" s="41"/>
      <c r="EM95" s="41"/>
      <c r="EN95" s="391"/>
    </row>
    <row r="96" spans="1:144" ht="25.5">
      <c r="A96" s="45">
        <v>89</v>
      </c>
      <c r="B96" s="53" t="s">
        <v>301</v>
      </c>
      <c r="C96" s="45">
        <v>1</v>
      </c>
      <c r="D96" s="55" t="s">
        <v>246</v>
      </c>
      <c r="E96" s="54">
        <v>3</v>
      </c>
      <c r="F96" s="54">
        <v>7</v>
      </c>
      <c r="G96" s="397">
        <v>0</v>
      </c>
      <c r="H96" s="59">
        <v>0</v>
      </c>
      <c r="I96" s="59">
        <v>0</v>
      </c>
      <c r="J96" s="398">
        <v>9.9976299999999991</v>
      </c>
      <c r="K96" s="414">
        <f t="shared" si="6"/>
        <v>9.9976299999999991</v>
      </c>
      <c r="L96" s="397"/>
      <c r="M96" s="397"/>
      <c r="N96" s="397">
        <f t="shared" si="5"/>
        <v>9.9976299999999991</v>
      </c>
      <c r="O96" s="399">
        <f t="shared" si="7"/>
        <v>0</v>
      </c>
      <c r="P96" s="369" t="s">
        <v>1012</v>
      </c>
      <c r="Q96" s="46"/>
      <c r="R96" s="196"/>
      <c r="S96" s="257"/>
      <c r="T96" s="196"/>
      <c r="U96" s="46"/>
      <c r="V96" s="46"/>
      <c r="W96" s="257"/>
      <c r="X96" s="46"/>
      <c r="Y96" s="46"/>
      <c r="Z96" s="46"/>
      <c r="AA96" s="257"/>
      <c r="AB96" s="196"/>
      <c r="AC96" s="46"/>
      <c r="AD96" s="46"/>
      <c r="AE96" s="257"/>
      <c r="AF96" s="196"/>
      <c r="AG96" s="46"/>
      <c r="AH96" s="46"/>
      <c r="AI96" s="196"/>
      <c r="AJ96" s="400"/>
      <c r="AK96" s="196"/>
      <c r="AL96" s="46"/>
      <c r="AM96" s="218"/>
      <c r="AN96" s="257"/>
      <c r="AO96" s="196"/>
      <c r="AP96" s="46"/>
      <c r="AQ96" s="257"/>
      <c r="AR96" s="196"/>
      <c r="AS96" s="46"/>
      <c r="AT96" s="257"/>
      <c r="AU96" s="196"/>
      <c r="AV96" s="46"/>
      <c r="AW96" s="257"/>
      <c r="AX96" s="196"/>
      <c r="AY96" s="46"/>
      <c r="AZ96" s="257"/>
      <c r="BA96" s="46"/>
      <c r="BB96" s="46"/>
      <c r="BC96" s="46"/>
      <c r="BD96" s="46"/>
      <c r="BE96" s="46"/>
      <c r="BF96" s="257"/>
      <c r="BG96" s="46"/>
      <c r="BH96" s="46"/>
      <c r="BI96" s="46"/>
      <c r="BJ96" s="196"/>
      <c r="BK96" s="46"/>
      <c r="BL96" s="46"/>
      <c r="BM96" s="46"/>
      <c r="BN96" s="46"/>
      <c r="BO96" s="257"/>
      <c r="BP96" s="196"/>
      <c r="BQ96" s="46"/>
      <c r="BR96" s="257"/>
      <c r="BS96" s="46"/>
      <c r="BT96" s="46"/>
      <c r="BU96" s="257"/>
      <c r="BV96" s="196"/>
      <c r="BW96" s="46"/>
      <c r="BX96" s="46"/>
      <c r="BY96" s="46"/>
      <c r="BZ96" s="46"/>
      <c r="CA96" s="257"/>
      <c r="CB96" s="196"/>
      <c r="CC96" s="46"/>
      <c r="CD96" s="257"/>
      <c r="CE96" s="46"/>
      <c r="CF96" s="46"/>
      <c r="CG96" s="257"/>
      <c r="CH96" s="46"/>
      <c r="CI96" s="46"/>
      <c r="CJ96" s="46"/>
      <c r="CK96" s="46"/>
      <c r="CL96" s="46"/>
      <c r="CM96" s="257"/>
      <c r="CN96" s="46"/>
      <c r="CO96" s="376"/>
      <c r="CP96" s="257"/>
      <c r="CQ96" s="196"/>
      <c r="CR96" s="531"/>
      <c r="CS96" s="257">
        <f t="shared" si="9"/>
        <v>0</v>
      </c>
      <c r="CT96" s="196"/>
      <c r="CU96" s="317"/>
      <c r="CV96" s="391">
        <f t="shared" si="8"/>
        <v>0</v>
      </c>
      <c r="CW96" s="41"/>
      <c r="CX96" s="41"/>
      <c r="CY96" s="256"/>
      <c r="CZ96" s="308"/>
      <c r="DA96" s="308"/>
      <c r="DB96" s="420"/>
      <c r="DC96" s="41"/>
      <c r="DD96" s="41"/>
      <c r="DE96" s="256"/>
      <c r="DF96" s="41"/>
      <c r="DG96" s="41"/>
      <c r="DH96" s="391"/>
      <c r="DI96" s="41"/>
      <c r="DJ96" s="41"/>
      <c r="DK96" s="203"/>
      <c r="DL96" s="256"/>
      <c r="DM96" s="41"/>
      <c r="DN96" s="41"/>
      <c r="DO96" s="41"/>
      <c r="DP96" s="420"/>
      <c r="DQ96" s="41"/>
      <c r="DR96" s="41"/>
      <c r="DS96" s="203"/>
      <c r="DT96" s="256"/>
      <c r="DU96" s="46"/>
      <c r="DV96" s="46"/>
      <c r="DW96" s="196"/>
      <c r="DX96" s="391"/>
      <c r="DY96" s="41"/>
      <c r="DZ96" s="41"/>
      <c r="EA96" s="41"/>
      <c r="EB96" s="69"/>
      <c r="EC96" s="41"/>
      <c r="ED96" s="41"/>
      <c r="EE96" s="41"/>
      <c r="EF96" s="420"/>
      <c r="EG96" s="41"/>
      <c r="EH96" s="41"/>
      <c r="EI96" s="41"/>
      <c r="EJ96" s="256"/>
      <c r="EK96" s="41"/>
      <c r="EL96" s="41"/>
      <c r="EM96" s="41"/>
      <c r="EN96" s="391"/>
    </row>
    <row r="97" spans="1:144" ht="25.5">
      <c r="A97" s="45">
        <v>90</v>
      </c>
      <c r="B97" s="53" t="s">
        <v>301</v>
      </c>
      <c r="C97" s="45">
        <v>1</v>
      </c>
      <c r="D97" s="55" t="s">
        <v>246</v>
      </c>
      <c r="E97" s="54">
        <v>4</v>
      </c>
      <c r="F97" s="54">
        <v>7</v>
      </c>
      <c r="G97" s="397">
        <v>0</v>
      </c>
      <c r="H97" s="59">
        <v>0</v>
      </c>
      <c r="I97" s="59">
        <v>0</v>
      </c>
      <c r="J97" s="398">
        <v>22.854880000000001</v>
      </c>
      <c r="K97" s="414">
        <f t="shared" si="6"/>
        <v>22.854880000000001</v>
      </c>
      <c r="L97" s="397"/>
      <c r="M97" s="397"/>
      <c r="N97" s="397">
        <f t="shared" si="5"/>
        <v>22.854880000000001</v>
      </c>
      <c r="O97" s="399">
        <f t="shared" si="7"/>
        <v>0</v>
      </c>
      <c r="P97" s="369" t="s">
        <v>1012</v>
      </c>
      <c r="Q97" s="46"/>
      <c r="R97" s="196"/>
      <c r="S97" s="257"/>
      <c r="T97" s="196"/>
      <c r="U97" s="46"/>
      <c r="V97" s="46"/>
      <c r="W97" s="257"/>
      <c r="X97" s="46"/>
      <c r="Y97" s="46"/>
      <c r="Z97" s="46"/>
      <c r="AA97" s="257"/>
      <c r="AB97" s="196"/>
      <c r="AC97" s="46"/>
      <c r="AD97" s="46"/>
      <c r="AE97" s="257"/>
      <c r="AF97" s="196"/>
      <c r="AG97" s="46"/>
      <c r="AH97" s="46"/>
      <c r="AI97" s="196"/>
      <c r="AJ97" s="400"/>
      <c r="AK97" s="196"/>
      <c r="AL97" s="46"/>
      <c r="AM97" s="218"/>
      <c r="AN97" s="257"/>
      <c r="AO97" s="196"/>
      <c r="AP97" s="46"/>
      <c r="AQ97" s="257"/>
      <c r="AR97" s="196"/>
      <c r="AS97" s="46"/>
      <c r="AT97" s="257"/>
      <c r="AU97" s="196"/>
      <c r="AV97" s="46"/>
      <c r="AW97" s="257"/>
      <c r="AX97" s="196"/>
      <c r="AY97" s="46"/>
      <c r="AZ97" s="257"/>
      <c r="BA97" s="46"/>
      <c r="BB97" s="46"/>
      <c r="BC97" s="46"/>
      <c r="BD97" s="46"/>
      <c r="BE97" s="46"/>
      <c r="BF97" s="257"/>
      <c r="BG97" s="46"/>
      <c r="BH97" s="46"/>
      <c r="BI97" s="46"/>
      <c r="BJ97" s="196"/>
      <c r="BK97" s="46"/>
      <c r="BL97" s="46"/>
      <c r="BM97" s="46"/>
      <c r="BN97" s="46"/>
      <c r="BO97" s="257"/>
      <c r="BP97" s="196"/>
      <c r="BQ97" s="46"/>
      <c r="BR97" s="257"/>
      <c r="BS97" s="46"/>
      <c r="BT97" s="46"/>
      <c r="BU97" s="257"/>
      <c r="BV97" s="196"/>
      <c r="BW97" s="46"/>
      <c r="BX97" s="46"/>
      <c r="BY97" s="46"/>
      <c r="BZ97" s="46"/>
      <c r="CA97" s="257"/>
      <c r="CB97" s="196"/>
      <c r="CC97" s="46"/>
      <c r="CD97" s="257"/>
      <c r="CE97" s="46"/>
      <c r="CF97" s="46"/>
      <c r="CG97" s="257"/>
      <c r="CH97" s="46"/>
      <c r="CI97" s="46"/>
      <c r="CJ97" s="46"/>
      <c r="CK97" s="46"/>
      <c r="CL97" s="46"/>
      <c r="CM97" s="257"/>
      <c r="CN97" s="46"/>
      <c r="CO97" s="376"/>
      <c r="CP97" s="257"/>
      <c r="CQ97" s="196"/>
      <c r="CR97" s="530"/>
      <c r="CS97" s="257">
        <f t="shared" si="9"/>
        <v>0</v>
      </c>
      <c r="CT97" s="196"/>
      <c r="CU97" s="317"/>
      <c r="CV97" s="391">
        <f t="shared" si="8"/>
        <v>0</v>
      </c>
      <c r="CW97" s="41"/>
      <c r="CX97" s="41"/>
      <c r="CY97" s="256"/>
      <c r="CZ97" s="308"/>
      <c r="DA97" s="308"/>
      <c r="DB97" s="420"/>
      <c r="DC97" s="41"/>
      <c r="DD97" s="41"/>
      <c r="DE97" s="256"/>
      <c r="DF97" s="41"/>
      <c r="DG97" s="41"/>
      <c r="DH97" s="391"/>
      <c r="DI97" s="41"/>
      <c r="DJ97" s="41"/>
      <c r="DK97" s="203"/>
      <c r="DL97" s="256"/>
      <c r="DM97" s="41"/>
      <c r="DN97" s="41"/>
      <c r="DO97" s="41"/>
      <c r="DP97" s="420"/>
      <c r="DQ97" s="41"/>
      <c r="DR97" s="41"/>
      <c r="DS97" s="203"/>
      <c r="DT97" s="256"/>
      <c r="DU97" s="46"/>
      <c r="DV97" s="46"/>
      <c r="DW97" s="196"/>
      <c r="DX97" s="391"/>
      <c r="DY97" s="41"/>
      <c r="DZ97" s="41"/>
      <c r="EA97" s="41"/>
      <c r="EB97" s="69"/>
      <c r="EC97" s="41"/>
      <c r="ED97" s="41"/>
      <c r="EE97" s="41"/>
      <c r="EF97" s="420"/>
      <c r="EG97" s="41"/>
      <c r="EH97" s="41"/>
      <c r="EI97" s="41"/>
      <c r="EJ97" s="256"/>
      <c r="EK97" s="41"/>
      <c r="EL97" s="41"/>
      <c r="EM97" s="41"/>
      <c r="EN97" s="391"/>
    </row>
    <row r="98" spans="1:144" ht="25.5">
      <c r="A98" s="45">
        <v>91</v>
      </c>
      <c r="B98" s="53" t="s">
        <v>301</v>
      </c>
      <c r="C98" s="45">
        <v>1</v>
      </c>
      <c r="D98" s="55" t="s">
        <v>246</v>
      </c>
      <c r="E98" s="54">
        <v>5</v>
      </c>
      <c r="F98" s="54">
        <v>7</v>
      </c>
      <c r="G98" s="397">
        <v>0</v>
      </c>
      <c r="H98" s="59">
        <v>0</v>
      </c>
      <c r="I98" s="59">
        <v>0</v>
      </c>
      <c r="J98" s="398">
        <v>15.208780000000001</v>
      </c>
      <c r="K98" s="414">
        <f t="shared" si="6"/>
        <v>15.208780000000001</v>
      </c>
      <c r="L98" s="397"/>
      <c r="M98" s="397"/>
      <c r="N98" s="397">
        <f t="shared" si="5"/>
        <v>15.208780000000001</v>
      </c>
      <c r="O98" s="399">
        <f t="shared" si="7"/>
        <v>0</v>
      </c>
      <c r="P98" s="369" t="s">
        <v>1012</v>
      </c>
      <c r="Q98" s="46"/>
      <c r="R98" s="196"/>
      <c r="S98" s="257"/>
      <c r="T98" s="196"/>
      <c r="U98" s="46"/>
      <c r="V98" s="46"/>
      <c r="W98" s="257"/>
      <c r="X98" s="46"/>
      <c r="Y98" s="46"/>
      <c r="Z98" s="46"/>
      <c r="AA98" s="257"/>
      <c r="AB98" s="196"/>
      <c r="AC98" s="46"/>
      <c r="AD98" s="46"/>
      <c r="AE98" s="257"/>
      <c r="AF98" s="196"/>
      <c r="AG98" s="46"/>
      <c r="AH98" s="46"/>
      <c r="AI98" s="196"/>
      <c r="AJ98" s="400"/>
      <c r="AK98" s="196"/>
      <c r="AL98" s="46"/>
      <c r="AM98" s="218"/>
      <c r="AN98" s="257"/>
      <c r="AO98" s="196"/>
      <c r="AP98" s="46"/>
      <c r="AQ98" s="257"/>
      <c r="AR98" s="196"/>
      <c r="AS98" s="46"/>
      <c r="AT98" s="257"/>
      <c r="AU98" s="196"/>
      <c r="AV98" s="46"/>
      <c r="AW98" s="257"/>
      <c r="AX98" s="196"/>
      <c r="AY98" s="46"/>
      <c r="AZ98" s="257"/>
      <c r="BA98" s="46"/>
      <c r="BB98" s="46"/>
      <c r="BC98" s="46"/>
      <c r="BD98" s="46"/>
      <c r="BE98" s="46"/>
      <c r="BF98" s="257"/>
      <c r="BG98" s="46"/>
      <c r="BH98" s="46"/>
      <c r="BI98" s="46"/>
      <c r="BJ98" s="196"/>
      <c r="BK98" s="46"/>
      <c r="BL98" s="46"/>
      <c r="BM98" s="46"/>
      <c r="BN98" s="46"/>
      <c r="BO98" s="257"/>
      <c r="BP98" s="196"/>
      <c r="BQ98" s="46"/>
      <c r="BR98" s="257"/>
      <c r="BS98" s="46"/>
      <c r="BT98" s="46"/>
      <c r="BU98" s="257"/>
      <c r="BV98" s="196"/>
      <c r="BW98" s="46"/>
      <c r="BX98" s="46"/>
      <c r="BY98" s="46"/>
      <c r="BZ98" s="46"/>
      <c r="CA98" s="257"/>
      <c r="CB98" s="196"/>
      <c r="CC98" s="46"/>
      <c r="CD98" s="257"/>
      <c r="CE98" s="46"/>
      <c r="CF98" s="46"/>
      <c r="CG98" s="257"/>
      <c r="CH98" s="46"/>
      <c r="CI98" s="46"/>
      <c r="CJ98" s="46"/>
      <c r="CK98" s="46"/>
      <c r="CL98" s="46"/>
      <c r="CM98" s="257"/>
      <c r="CN98" s="46"/>
      <c r="CO98" s="376"/>
      <c r="CP98" s="257"/>
      <c r="CQ98" s="196"/>
      <c r="CR98" s="531"/>
      <c r="CS98" s="257">
        <f t="shared" si="9"/>
        <v>0</v>
      </c>
      <c r="CT98" s="196"/>
      <c r="CU98" s="317"/>
      <c r="CV98" s="391">
        <f t="shared" si="8"/>
        <v>0</v>
      </c>
      <c r="CW98" s="41"/>
      <c r="CX98" s="41"/>
      <c r="CY98" s="256"/>
      <c r="CZ98" s="308"/>
      <c r="DA98" s="308"/>
      <c r="DB98" s="420"/>
      <c r="DC98" s="41"/>
      <c r="DD98" s="41"/>
      <c r="DE98" s="256"/>
      <c r="DF98" s="41"/>
      <c r="DG98" s="41"/>
      <c r="DH98" s="391"/>
      <c r="DI98" s="41"/>
      <c r="DJ98" s="41"/>
      <c r="DK98" s="203"/>
      <c r="DL98" s="256"/>
      <c r="DM98" s="41"/>
      <c r="DN98" s="41"/>
      <c r="DO98" s="41"/>
      <c r="DP98" s="420"/>
      <c r="DQ98" s="41"/>
      <c r="DR98" s="41"/>
      <c r="DS98" s="203"/>
      <c r="DT98" s="256"/>
      <c r="DU98" s="46"/>
      <c r="DV98" s="46"/>
      <c r="DW98" s="196"/>
      <c r="DX98" s="391"/>
      <c r="DY98" s="41"/>
      <c r="DZ98" s="41"/>
      <c r="EA98" s="41"/>
      <c r="EB98" s="69"/>
      <c r="EC98" s="41"/>
      <c r="ED98" s="41"/>
      <c r="EE98" s="41"/>
      <c r="EF98" s="420"/>
      <c r="EG98" s="41"/>
      <c r="EH98" s="41"/>
      <c r="EI98" s="41"/>
      <c r="EJ98" s="256"/>
      <c r="EK98" s="41"/>
      <c r="EL98" s="41"/>
      <c r="EM98" s="41"/>
      <c r="EN98" s="391"/>
    </row>
    <row r="99" spans="1:144" ht="25.5">
      <c r="A99" s="45">
        <v>92</v>
      </c>
      <c r="B99" s="53" t="s">
        <v>301</v>
      </c>
      <c r="C99" s="45">
        <v>1</v>
      </c>
      <c r="D99" s="55" t="s">
        <v>246</v>
      </c>
      <c r="E99" s="54">
        <v>6</v>
      </c>
      <c r="F99" s="54">
        <v>7</v>
      </c>
      <c r="G99" s="397">
        <v>0</v>
      </c>
      <c r="H99" s="59">
        <v>0</v>
      </c>
      <c r="I99" s="59">
        <v>0</v>
      </c>
      <c r="J99" s="398">
        <v>16.348759999999999</v>
      </c>
      <c r="K99" s="414">
        <f t="shared" si="6"/>
        <v>16.348759999999999</v>
      </c>
      <c r="L99" s="397"/>
      <c r="M99" s="397"/>
      <c r="N99" s="397">
        <f t="shared" si="5"/>
        <v>16.348759999999999</v>
      </c>
      <c r="O99" s="399">
        <f t="shared" si="7"/>
        <v>0</v>
      </c>
      <c r="P99" s="369" t="s">
        <v>1012</v>
      </c>
      <c r="Q99" s="46"/>
      <c r="R99" s="196"/>
      <c r="S99" s="257"/>
      <c r="T99" s="196"/>
      <c r="U99" s="46"/>
      <c r="V99" s="46"/>
      <c r="W99" s="257"/>
      <c r="X99" s="46"/>
      <c r="Y99" s="46"/>
      <c r="Z99" s="46"/>
      <c r="AA99" s="257"/>
      <c r="AB99" s="196"/>
      <c r="AC99" s="46"/>
      <c r="AD99" s="46"/>
      <c r="AE99" s="257"/>
      <c r="AF99" s="196"/>
      <c r="AG99" s="46"/>
      <c r="AH99" s="46"/>
      <c r="AI99" s="196"/>
      <c r="AJ99" s="400"/>
      <c r="AK99" s="196"/>
      <c r="AL99" s="46"/>
      <c r="AM99" s="218"/>
      <c r="AN99" s="257"/>
      <c r="AO99" s="196"/>
      <c r="AP99" s="46"/>
      <c r="AQ99" s="257"/>
      <c r="AR99" s="196"/>
      <c r="AS99" s="46"/>
      <c r="AT99" s="257"/>
      <c r="AU99" s="196"/>
      <c r="AV99" s="46"/>
      <c r="AW99" s="257"/>
      <c r="AX99" s="196"/>
      <c r="AY99" s="46"/>
      <c r="AZ99" s="257"/>
      <c r="BA99" s="46"/>
      <c r="BB99" s="46"/>
      <c r="BC99" s="46"/>
      <c r="BD99" s="46"/>
      <c r="BE99" s="46"/>
      <c r="BF99" s="257"/>
      <c r="BG99" s="46"/>
      <c r="BH99" s="46"/>
      <c r="BI99" s="46"/>
      <c r="BJ99" s="196"/>
      <c r="BK99" s="46"/>
      <c r="BL99" s="46"/>
      <c r="BM99" s="46"/>
      <c r="BN99" s="46"/>
      <c r="BO99" s="257"/>
      <c r="BP99" s="196"/>
      <c r="BQ99" s="46"/>
      <c r="BR99" s="257"/>
      <c r="BS99" s="46"/>
      <c r="BT99" s="46"/>
      <c r="BU99" s="257"/>
      <c r="BV99" s="196"/>
      <c r="BW99" s="46"/>
      <c r="BX99" s="46"/>
      <c r="BY99" s="46"/>
      <c r="BZ99" s="46"/>
      <c r="CA99" s="257"/>
      <c r="CB99" s="196"/>
      <c r="CC99" s="46"/>
      <c r="CD99" s="257"/>
      <c r="CE99" s="46"/>
      <c r="CF99" s="46"/>
      <c r="CG99" s="257"/>
      <c r="CH99" s="46"/>
      <c r="CI99" s="46"/>
      <c r="CJ99" s="46"/>
      <c r="CK99" s="46"/>
      <c r="CL99" s="46"/>
      <c r="CM99" s="257"/>
      <c r="CN99" s="46"/>
      <c r="CO99" s="376"/>
      <c r="CP99" s="257"/>
      <c r="CQ99" s="196"/>
      <c r="CR99" s="531"/>
      <c r="CS99" s="257">
        <f t="shared" si="9"/>
        <v>0</v>
      </c>
      <c r="CT99" s="196"/>
      <c r="CU99" s="317"/>
      <c r="CV99" s="391">
        <f t="shared" si="8"/>
        <v>0</v>
      </c>
      <c r="CW99" s="41"/>
      <c r="CX99" s="41"/>
      <c r="CY99" s="256"/>
      <c r="CZ99" s="308"/>
      <c r="DA99" s="308"/>
      <c r="DB99" s="420"/>
      <c r="DC99" s="41"/>
      <c r="DD99" s="41"/>
      <c r="DE99" s="256"/>
      <c r="DF99" s="41"/>
      <c r="DG99" s="41"/>
      <c r="DH99" s="391"/>
      <c r="DI99" s="41"/>
      <c r="DJ99" s="41"/>
      <c r="DK99" s="203"/>
      <c r="DL99" s="256"/>
      <c r="DM99" s="41"/>
      <c r="DN99" s="41"/>
      <c r="DO99" s="41"/>
      <c r="DP99" s="420"/>
      <c r="DQ99" s="41"/>
      <c r="DR99" s="41"/>
      <c r="DS99" s="203"/>
      <c r="DT99" s="256"/>
      <c r="DU99" s="46"/>
      <c r="DV99" s="46"/>
      <c r="DW99" s="196"/>
      <c r="DX99" s="391"/>
      <c r="DY99" s="41"/>
      <c r="DZ99" s="41"/>
      <c r="EA99" s="41"/>
      <c r="EB99" s="69"/>
      <c r="EC99" s="41"/>
      <c r="ED99" s="41"/>
      <c r="EE99" s="41"/>
      <c r="EF99" s="420"/>
      <c r="EG99" s="41"/>
      <c r="EH99" s="41"/>
      <c r="EI99" s="41"/>
      <c r="EJ99" s="256"/>
      <c r="EK99" s="41"/>
      <c r="EL99" s="41"/>
      <c r="EM99" s="41"/>
      <c r="EN99" s="391"/>
    </row>
    <row r="100" spans="1:144" ht="25.5">
      <c r="A100" s="45">
        <v>93</v>
      </c>
      <c r="B100" s="53" t="s">
        <v>301</v>
      </c>
      <c r="C100" s="45">
        <v>1</v>
      </c>
      <c r="D100" s="55" t="s">
        <v>246</v>
      </c>
      <c r="E100" s="54">
        <v>7</v>
      </c>
      <c r="F100" s="54">
        <v>7</v>
      </c>
      <c r="G100" s="397">
        <v>0</v>
      </c>
      <c r="H100" s="59">
        <v>0</v>
      </c>
      <c r="I100" s="59">
        <v>0</v>
      </c>
      <c r="J100" s="398">
        <v>22.2988</v>
      </c>
      <c r="K100" s="414">
        <f t="shared" si="6"/>
        <v>22.2988</v>
      </c>
      <c r="L100" s="397"/>
      <c r="M100" s="397"/>
      <c r="N100" s="397">
        <f t="shared" si="5"/>
        <v>22.2988</v>
      </c>
      <c r="O100" s="399">
        <f t="shared" si="7"/>
        <v>0</v>
      </c>
      <c r="P100" s="369" t="s">
        <v>1012</v>
      </c>
      <c r="Q100" s="46"/>
      <c r="R100" s="196"/>
      <c r="S100" s="257"/>
      <c r="T100" s="196"/>
      <c r="U100" s="46"/>
      <c r="V100" s="46"/>
      <c r="W100" s="257"/>
      <c r="X100" s="46"/>
      <c r="Y100" s="46"/>
      <c r="Z100" s="46"/>
      <c r="AA100" s="257"/>
      <c r="AB100" s="196"/>
      <c r="AC100" s="46"/>
      <c r="AD100" s="46"/>
      <c r="AE100" s="257"/>
      <c r="AF100" s="196"/>
      <c r="AG100" s="46"/>
      <c r="AH100" s="46"/>
      <c r="AI100" s="196"/>
      <c r="AJ100" s="400"/>
      <c r="AK100" s="196"/>
      <c r="AL100" s="46"/>
      <c r="AM100" s="218"/>
      <c r="AN100" s="257"/>
      <c r="AO100" s="196"/>
      <c r="AP100" s="46"/>
      <c r="AQ100" s="257"/>
      <c r="AR100" s="196"/>
      <c r="AS100" s="46"/>
      <c r="AT100" s="257"/>
      <c r="AU100" s="196"/>
      <c r="AV100" s="46"/>
      <c r="AW100" s="257"/>
      <c r="AX100" s="196"/>
      <c r="AY100" s="46"/>
      <c r="AZ100" s="257"/>
      <c r="BA100" s="46"/>
      <c r="BB100" s="46"/>
      <c r="BC100" s="46"/>
      <c r="BD100" s="46"/>
      <c r="BE100" s="46"/>
      <c r="BF100" s="257"/>
      <c r="BG100" s="46"/>
      <c r="BH100" s="46"/>
      <c r="BI100" s="46"/>
      <c r="BJ100" s="196"/>
      <c r="BK100" s="46"/>
      <c r="BL100" s="46"/>
      <c r="BM100" s="46"/>
      <c r="BN100" s="46"/>
      <c r="BO100" s="257"/>
      <c r="BP100" s="196"/>
      <c r="BQ100" s="46"/>
      <c r="BR100" s="257"/>
      <c r="BS100" s="46"/>
      <c r="BT100" s="46"/>
      <c r="BU100" s="257"/>
      <c r="BV100" s="196"/>
      <c r="BW100" s="46"/>
      <c r="BX100" s="46"/>
      <c r="BY100" s="46"/>
      <c r="BZ100" s="46"/>
      <c r="CA100" s="257"/>
      <c r="CB100" s="196"/>
      <c r="CC100" s="46"/>
      <c r="CD100" s="257"/>
      <c r="CE100" s="46"/>
      <c r="CF100" s="46"/>
      <c r="CG100" s="257"/>
      <c r="CH100" s="46"/>
      <c r="CI100" s="46"/>
      <c r="CJ100" s="46"/>
      <c r="CK100" s="46"/>
      <c r="CL100" s="46"/>
      <c r="CM100" s="257"/>
      <c r="CN100" s="46"/>
      <c r="CO100" s="376"/>
      <c r="CP100" s="257"/>
      <c r="CQ100" s="196"/>
      <c r="CR100" s="191"/>
      <c r="CS100" s="257">
        <f t="shared" si="9"/>
        <v>0</v>
      </c>
      <c r="CT100" s="196"/>
      <c r="CU100" s="317"/>
      <c r="CV100" s="391">
        <f t="shared" si="8"/>
        <v>0</v>
      </c>
      <c r="CW100" s="41"/>
      <c r="CX100" s="41"/>
      <c r="CY100" s="256"/>
      <c r="CZ100" s="308"/>
      <c r="DA100" s="308"/>
      <c r="DB100" s="420"/>
      <c r="DC100" s="41"/>
      <c r="DD100" s="41"/>
      <c r="DE100" s="256"/>
      <c r="DF100" s="41"/>
      <c r="DG100" s="41"/>
      <c r="DH100" s="391"/>
      <c r="DI100" s="41"/>
      <c r="DJ100" s="41"/>
      <c r="DK100" s="203"/>
      <c r="DL100" s="256"/>
      <c r="DM100" s="41"/>
      <c r="DN100" s="41"/>
      <c r="DO100" s="41"/>
      <c r="DP100" s="420"/>
      <c r="DQ100" s="41"/>
      <c r="DR100" s="41"/>
      <c r="DS100" s="203"/>
      <c r="DT100" s="256"/>
      <c r="DU100" s="46"/>
      <c r="DV100" s="46"/>
      <c r="DW100" s="196"/>
      <c r="DX100" s="391"/>
      <c r="DY100" s="41"/>
      <c r="DZ100" s="41"/>
      <c r="EA100" s="41"/>
      <c r="EB100" s="69"/>
      <c r="EC100" s="41"/>
      <c r="ED100" s="41"/>
      <c r="EE100" s="41"/>
      <c r="EF100" s="420"/>
      <c r="EG100" s="41"/>
      <c r="EH100" s="41"/>
      <c r="EI100" s="41"/>
      <c r="EJ100" s="256"/>
      <c r="EK100" s="41"/>
      <c r="EL100" s="41"/>
      <c r="EM100" s="41"/>
      <c r="EN100" s="391"/>
    </row>
    <row r="101" spans="1:144" ht="25.5">
      <c r="A101" s="45">
        <v>94</v>
      </c>
      <c r="B101" s="53" t="s">
        <v>301</v>
      </c>
      <c r="C101" s="45">
        <v>1</v>
      </c>
      <c r="D101" s="55" t="s">
        <v>246</v>
      </c>
      <c r="E101" s="54">
        <v>8</v>
      </c>
      <c r="F101" s="54">
        <v>7</v>
      </c>
      <c r="G101" s="397">
        <v>0</v>
      </c>
      <c r="H101" s="59">
        <v>0</v>
      </c>
      <c r="I101" s="59">
        <v>0</v>
      </c>
      <c r="J101" s="398">
        <v>14.78566</v>
      </c>
      <c r="K101" s="414">
        <f t="shared" si="6"/>
        <v>14.78566</v>
      </c>
      <c r="L101" s="397"/>
      <c r="M101" s="397"/>
      <c r="N101" s="397">
        <f t="shared" si="5"/>
        <v>14.78566</v>
      </c>
      <c r="O101" s="399">
        <f t="shared" si="7"/>
        <v>0</v>
      </c>
      <c r="P101" s="369" t="s">
        <v>1012</v>
      </c>
      <c r="Q101" s="46"/>
      <c r="R101" s="196"/>
      <c r="S101" s="257"/>
      <c r="T101" s="196"/>
      <c r="U101" s="46"/>
      <c r="V101" s="46"/>
      <c r="W101" s="257"/>
      <c r="X101" s="46"/>
      <c r="Y101" s="46"/>
      <c r="Z101" s="46"/>
      <c r="AA101" s="257"/>
      <c r="AB101" s="196"/>
      <c r="AC101" s="46"/>
      <c r="AD101" s="46"/>
      <c r="AE101" s="257"/>
      <c r="AF101" s="196"/>
      <c r="AG101" s="46"/>
      <c r="AH101" s="46"/>
      <c r="AI101" s="196"/>
      <c r="AJ101" s="400"/>
      <c r="AK101" s="196"/>
      <c r="AL101" s="46"/>
      <c r="AM101" s="218"/>
      <c r="AN101" s="257"/>
      <c r="AO101" s="196"/>
      <c r="AP101" s="46"/>
      <c r="AQ101" s="257"/>
      <c r="AR101" s="196"/>
      <c r="AS101" s="46"/>
      <c r="AT101" s="257"/>
      <c r="AU101" s="196"/>
      <c r="AV101" s="46"/>
      <c r="AW101" s="257"/>
      <c r="AX101" s="196"/>
      <c r="AY101" s="46"/>
      <c r="AZ101" s="257"/>
      <c r="BA101" s="46"/>
      <c r="BB101" s="46"/>
      <c r="BC101" s="46"/>
      <c r="BD101" s="46"/>
      <c r="BE101" s="46"/>
      <c r="BF101" s="257"/>
      <c r="BG101" s="46"/>
      <c r="BH101" s="46"/>
      <c r="BI101" s="46"/>
      <c r="BJ101" s="196"/>
      <c r="BK101" s="46"/>
      <c r="BL101" s="46"/>
      <c r="BM101" s="46"/>
      <c r="BN101" s="46"/>
      <c r="BO101" s="257"/>
      <c r="BP101" s="196"/>
      <c r="BQ101" s="46"/>
      <c r="BR101" s="257"/>
      <c r="BS101" s="46"/>
      <c r="BT101" s="46"/>
      <c r="BU101" s="257"/>
      <c r="BV101" s="196"/>
      <c r="BW101" s="46"/>
      <c r="BX101" s="46"/>
      <c r="BY101" s="46"/>
      <c r="BZ101" s="46"/>
      <c r="CA101" s="257"/>
      <c r="CB101" s="196"/>
      <c r="CC101" s="46"/>
      <c r="CD101" s="257"/>
      <c r="CE101" s="46"/>
      <c r="CF101" s="46"/>
      <c r="CG101" s="257"/>
      <c r="CH101" s="46"/>
      <c r="CI101" s="46"/>
      <c r="CJ101" s="46"/>
      <c r="CK101" s="46"/>
      <c r="CL101" s="46"/>
      <c r="CM101" s="257"/>
      <c r="CN101" s="46"/>
      <c r="CO101" s="376"/>
      <c r="CP101" s="257"/>
      <c r="CQ101" s="196"/>
      <c r="CR101" s="528"/>
      <c r="CS101" s="257">
        <f t="shared" si="9"/>
        <v>0</v>
      </c>
      <c r="CT101" s="196"/>
      <c r="CU101" s="317"/>
      <c r="CV101" s="391">
        <f t="shared" si="8"/>
        <v>0</v>
      </c>
      <c r="CW101" s="41"/>
      <c r="CX101" s="41"/>
      <c r="CY101" s="256"/>
      <c r="CZ101" s="308"/>
      <c r="DA101" s="308"/>
      <c r="DB101" s="420"/>
      <c r="DC101" s="41"/>
      <c r="DD101" s="41"/>
      <c r="DE101" s="256"/>
      <c r="DF101" s="41"/>
      <c r="DG101" s="41"/>
      <c r="DH101" s="391"/>
      <c r="DI101" s="41"/>
      <c r="DJ101" s="41"/>
      <c r="DK101" s="203"/>
      <c r="DL101" s="256"/>
      <c r="DM101" s="41"/>
      <c r="DN101" s="41"/>
      <c r="DO101" s="41"/>
      <c r="DP101" s="420"/>
      <c r="DQ101" s="41"/>
      <c r="DR101" s="41"/>
      <c r="DS101" s="203"/>
      <c r="DT101" s="256"/>
      <c r="DU101" s="46"/>
      <c r="DV101" s="46"/>
      <c r="DW101" s="196"/>
      <c r="DX101" s="391"/>
      <c r="DY101" s="41"/>
      <c r="DZ101" s="41"/>
      <c r="EA101" s="41"/>
      <c r="EB101" s="69"/>
      <c r="EC101" s="41"/>
      <c r="ED101" s="41"/>
      <c r="EE101" s="41"/>
      <c r="EF101" s="420"/>
      <c r="EG101" s="41"/>
      <c r="EH101" s="41"/>
      <c r="EI101" s="41"/>
      <c r="EJ101" s="256"/>
      <c r="EK101" s="41"/>
      <c r="EL101" s="41"/>
      <c r="EM101" s="41"/>
      <c r="EN101" s="391"/>
    </row>
    <row r="102" spans="1:144" ht="25.5">
      <c r="A102" s="45">
        <v>95</v>
      </c>
      <c r="B102" s="53" t="s">
        <v>301</v>
      </c>
      <c r="C102" s="45">
        <v>1</v>
      </c>
      <c r="D102" s="55" t="s">
        <v>246</v>
      </c>
      <c r="E102" s="54">
        <v>10</v>
      </c>
      <c r="F102" s="54">
        <v>7</v>
      </c>
      <c r="G102" s="397">
        <v>0</v>
      </c>
      <c r="H102" s="59">
        <v>0</v>
      </c>
      <c r="I102" s="59">
        <v>0</v>
      </c>
      <c r="J102" s="398">
        <v>17.174769999999999</v>
      </c>
      <c r="K102" s="414">
        <f t="shared" si="6"/>
        <v>17.174769999999999</v>
      </c>
      <c r="L102" s="397"/>
      <c r="M102" s="397"/>
      <c r="N102" s="397">
        <f t="shared" si="5"/>
        <v>17.174769999999999</v>
      </c>
      <c r="O102" s="399">
        <f t="shared" si="7"/>
        <v>0</v>
      </c>
      <c r="P102" s="369" t="s">
        <v>1012</v>
      </c>
      <c r="Q102" s="46"/>
      <c r="R102" s="196"/>
      <c r="S102" s="257"/>
      <c r="T102" s="196"/>
      <c r="U102" s="46"/>
      <c r="V102" s="46"/>
      <c r="W102" s="257"/>
      <c r="X102" s="46"/>
      <c r="Y102" s="46"/>
      <c r="Z102" s="46"/>
      <c r="AA102" s="257"/>
      <c r="AB102" s="196"/>
      <c r="AC102" s="46"/>
      <c r="AD102" s="46"/>
      <c r="AE102" s="257"/>
      <c r="AF102" s="196"/>
      <c r="AG102" s="46"/>
      <c r="AH102" s="46"/>
      <c r="AI102" s="196"/>
      <c r="AJ102" s="400"/>
      <c r="AK102" s="196"/>
      <c r="AL102" s="46"/>
      <c r="AM102" s="218"/>
      <c r="AN102" s="257"/>
      <c r="AO102" s="196"/>
      <c r="AP102" s="46"/>
      <c r="AQ102" s="257"/>
      <c r="AR102" s="196"/>
      <c r="AS102" s="46"/>
      <c r="AT102" s="257"/>
      <c r="AU102" s="196"/>
      <c r="AV102" s="46"/>
      <c r="AW102" s="257"/>
      <c r="AX102" s="196"/>
      <c r="AY102" s="46"/>
      <c r="AZ102" s="257"/>
      <c r="BA102" s="46"/>
      <c r="BB102" s="46"/>
      <c r="BC102" s="46"/>
      <c r="BD102" s="46"/>
      <c r="BE102" s="46"/>
      <c r="BF102" s="257"/>
      <c r="BG102" s="46"/>
      <c r="BH102" s="46"/>
      <c r="BI102" s="46"/>
      <c r="BJ102" s="196"/>
      <c r="BK102" s="46"/>
      <c r="BL102" s="46"/>
      <c r="BM102" s="46"/>
      <c r="BN102" s="46"/>
      <c r="BO102" s="257"/>
      <c r="BP102" s="196"/>
      <c r="BQ102" s="46"/>
      <c r="BR102" s="257"/>
      <c r="BS102" s="46"/>
      <c r="BT102" s="46"/>
      <c r="BU102" s="257"/>
      <c r="BV102" s="196"/>
      <c r="BW102" s="46"/>
      <c r="BX102" s="46"/>
      <c r="BY102" s="46"/>
      <c r="BZ102" s="46"/>
      <c r="CA102" s="257"/>
      <c r="CB102" s="196"/>
      <c r="CC102" s="46"/>
      <c r="CD102" s="257"/>
      <c r="CE102" s="46"/>
      <c r="CF102" s="46"/>
      <c r="CG102" s="257"/>
      <c r="CH102" s="46"/>
      <c r="CI102" s="46"/>
      <c r="CJ102" s="46"/>
      <c r="CK102" s="46"/>
      <c r="CL102" s="46"/>
      <c r="CM102" s="257"/>
      <c r="CN102" s="46"/>
      <c r="CO102" s="376"/>
      <c r="CP102" s="257"/>
      <c r="CQ102" s="196"/>
      <c r="CR102" s="531"/>
      <c r="CS102" s="257">
        <f t="shared" si="9"/>
        <v>0</v>
      </c>
      <c r="CT102" s="196"/>
      <c r="CU102" s="317"/>
      <c r="CV102" s="391">
        <f t="shared" si="8"/>
        <v>0</v>
      </c>
      <c r="CW102" s="41"/>
      <c r="CX102" s="41"/>
      <c r="CY102" s="256"/>
      <c r="CZ102" s="308"/>
      <c r="DA102" s="308"/>
      <c r="DB102" s="420"/>
      <c r="DC102" s="41"/>
      <c r="DD102" s="41"/>
      <c r="DE102" s="256"/>
      <c r="DF102" s="41"/>
      <c r="DG102" s="41"/>
      <c r="DH102" s="391"/>
      <c r="DI102" s="41"/>
      <c r="DJ102" s="41"/>
      <c r="DK102" s="203"/>
      <c r="DL102" s="256"/>
      <c r="DM102" s="41"/>
      <c r="DN102" s="41"/>
      <c r="DO102" s="41"/>
      <c r="DP102" s="420"/>
      <c r="DQ102" s="41"/>
      <c r="DR102" s="41"/>
      <c r="DS102" s="203"/>
      <c r="DT102" s="256"/>
      <c r="DU102" s="46"/>
      <c r="DV102" s="46"/>
      <c r="DW102" s="196"/>
      <c r="DX102" s="391"/>
      <c r="DY102" s="41"/>
      <c r="DZ102" s="41"/>
      <c r="EA102" s="41"/>
      <c r="EB102" s="69"/>
      <c r="EC102" s="41"/>
      <c r="ED102" s="41"/>
      <c r="EE102" s="41"/>
      <c r="EF102" s="420"/>
      <c r="EG102" s="41"/>
      <c r="EH102" s="41"/>
      <c r="EI102" s="41"/>
      <c r="EJ102" s="256"/>
      <c r="EK102" s="41"/>
      <c r="EL102" s="41"/>
      <c r="EM102" s="41"/>
      <c r="EN102" s="391"/>
    </row>
    <row r="103" spans="1:144" ht="25.5">
      <c r="A103" s="45">
        <v>96</v>
      </c>
      <c r="B103" s="53" t="s">
        <v>301</v>
      </c>
      <c r="C103" s="45">
        <v>1</v>
      </c>
      <c r="D103" s="55" t="s">
        <v>246</v>
      </c>
      <c r="E103" s="54">
        <v>11</v>
      </c>
      <c r="F103" s="54">
        <v>7</v>
      </c>
      <c r="G103" s="397">
        <v>0</v>
      </c>
      <c r="H103" s="59">
        <v>0</v>
      </c>
      <c r="I103" s="59">
        <v>0</v>
      </c>
      <c r="J103" s="398">
        <v>-4.1762300000000003</v>
      </c>
      <c r="K103" s="414">
        <f t="shared" si="6"/>
        <v>-4.1762300000000003</v>
      </c>
      <c r="L103" s="397"/>
      <c r="M103" s="397"/>
      <c r="N103" s="397">
        <f t="shared" si="5"/>
        <v>-4.1762300000000003</v>
      </c>
      <c r="O103" s="399">
        <f t="shared" si="7"/>
        <v>0</v>
      </c>
      <c r="P103" s="369" t="s">
        <v>1012</v>
      </c>
      <c r="Q103" s="46"/>
      <c r="R103" s="196"/>
      <c r="S103" s="257"/>
      <c r="T103" s="196"/>
      <c r="U103" s="46"/>
      <c r="V103" s="46"/>
      <c r="W103" s="257"/>
      <c r="X103" s="46"/>
      <c r="Y103" s="46"/>
      <c r="Z103" s="46"/>
      <c r="AA103" s="257"/>
      <c r="AB103" s="196"/>
      <c r="AC103" s="46"/>
      <c r="AD103" s="46"/>
      <c r="AE103" s="257"/>
      <c r="AF103" s="196"/>
      <c r="AG103" s="46"/>
      <c r="AH103" s="46"/>
      <c r="AI103" s="196"/>
      <c r="AJ103" s="400"/>
      <c r="AK103" s="196"/>
      <c r="AL103" s="46"/>
      <c r="AM103" s="218"/>
      <c r="AN103" s="257"/>
      <c r="AO103" s="196"/>
      <c r="AP103" s="46"/>
      <c r="AQ103" s="257"/>
      <c r="AR103" s="196"/>
      <c r="AS103" s="46"/>
      <c r="AT103" s="257"/>
      <c r="AU103" s="196"/>
      <c r="AV103" s="46"/>
      <c r="AW103" s="257"/>
      <c r="AX103" s="196"/>
      <c r="AY103" s="46"/>
      <c r="AZ103" s="257"/>
      <c r="BA103" s="46"/>
      <c r="BB103" s="46"/>
      <c r="BC103" s="46"/>
      <c r="BD103" s="46"/>
      <c r="BE103" s="46"/>
      <c r="BF103" s="257"/>
      <c r="BG103" s="46"/>
      <c r="BH103" s="46"/>
      <c r="BI103" s="46"/>
      <c r="BJ103" s="196"/>
      <c r="BK103" s="46"/>
      <c r="BL103" s="46"/>
      <c r="BM103" s="46"/>
      <c r="BN103" s="46"/>
      <c r="BO103" s="257"/>
      <c r="BP103" s="196"/>
      <c r="BQ103" s="46"/>
      <c r="BR103" s="257"/>
      <c r="BS103" s="46"/>
      <c r="BT103" s="46"/>
      <c r="BU103" s="257"/>
      <c r="BV103" s="196"/>
      <c r="BW103" s="46"/>
      <c r="BX103" s="46"/>
      <c r="BY103" s="46"/>
      <c r="BZ103" s="46"/>
      <c r="CA103" s="257"/>
      <c r="CB103" s="196"/>
      <c r="CC103" s="46"/>
      <c r="CD103" s="257"/>
      <c r="CE103" s="46"/>
      <c r="CF103" s="46"/>
      <c r="CG103" s="257"/>
      <c r="CH103" s="46"/>
      <c r="CI103" s="46"/>
      <c r="CJ103" s="46"/>
      <c r="CK103" s="46"/>
      <c r="CL103" s="46"/>
      <c r="CM103" s="257"/>
      <c r="CN103" s="46"/>
      <c r="CO103" s="376"/>
      <c r="CP103" s="257"/>
      <c r="CQ103" s="196"/>
      <c r="CR103" s="531"/>
      <c r="CS103" s="257">
        <f t="shared" si="9"/>
        <v>0</v>
      </c>
      <c r="CT103" s="196"/>
      <c r="CU103" s="317"/>
      <c r="CV103" s="391">
        <f t="shared" si="8"/>
        <v>0</v>
      </c>
      <c r="CW103" s="41"/>
      <c r="CX103" s="41"/>
      <c r="CY103" s="256"/>
      <c r="CZ103" s="308"/>
      <c r="DA103" s="308"/>
      <c r="DB103" s="420"/>
      <c r="DC103" s="41"/>
      <c r="DD103" s="41"/>
      <c r="DE103" s="256"/>
      <c r="DF103" s="41"/>
      <c r="DG103" s="41"/>
      <c r="DH103" s="391"/>
      <c r="DI103" s="41"/>
      <c r="DJ103" s="41"/>
      <c r="DK103" s="203"/>
      <c r="DL103" s="256"/>
      <c r="DM103" s="41"/>
      <c r="DN103" s="41"/>
      <c r="DO103" s="41"/>
      <c r="DP103" s="420"/>
      <c r="DQ103" s="41"/>
      <c r="DR103" s="41"/>
      <c r="DS103" s="203"/>
      <c r="DT103" s="256"/>
      <c r="DU103" s="46"/>
      <c r="DV103" s="46"/>
      <c r="DW103" s="196"/>
      <c r="DX103" s="391"/>
      <c r="DY103" s="41"/>
      <c r="DZ103" s="41"/>
      <c r="EA103" s="41"/>
      <c r="EB103" s="69"/>
      <c r="EC103" s="41"/>
      <c r="ED103" s="41"/>
      <c r="EE103" s="41"/>
      <c r="EF103" s="420"/>
      <c r="EG103" s="41"/>
      <c r="EH103" s="41"/>
      <c r="EI103" s="41"/>
      <c r="EJ103" s="256"/>
      <c r="EK103" s="41"/>
      <c r="EL103" s="41"/>
      <c r="EM103" s="41"/>
      <c r="EN103" s="391"/>
    </row>
    <row r="104" spans="1:144" ht="25.5">
      <c r="A104" s="45">
        <v>97</v>
      </c>
      <c r="B104" s="53" t="s">
        <v>301</v>
      </c>
      <c r="C104" s="45">
        <v>1</v>
      </c>
      <c r="D104" s="55" t="s">
        <v>246</v>
      </c>
      <c r="E104" s="54">
        <v>12</v>
      </c>
      <c r="F104" s="54">
        <v>7</v>
      </c>
      <c r="G104" s="397">
        <v>0</v>
      </c>
      <c r="H104" s="59">
        <v>0</v>
      </c>
      <c r="I104" s="59">
        <v>0</v>
      </c>
      <c r="J104" s="398">
        <v>14.98635</v>
      </c>
      <c r="K104" s="414">
        <f t="shared" si="6"/>
        <v>14.98635</v>
      </c>
      <c r="L104" s="397"/>
      <c r="M104" s="397"/>
      <c r="N104" s="397">
        <f t="shared" si="5"/>
        <v>14.98635</v>
      </c>
      <c r="O104" s="399">
        <f t="shared" si="7"/>
        <v>0</v>
      </c>
      <c r="P104" s="369" t="s">
        <v>1012</v>
      </c>
      <c r="Q104" s="46"/>
      <c r="R104" s="196"/>
      <c r="S104" s="257"/>
      <c r="T104" s="196"/>
      <c r="U104" s="46"/>
      <c r="V104" s="46"/>
      <c r="W104" s="257"/>
      <c r="X104" s="46"/>
      <c r="Y104" s="46"/>
      <c r="Z104" s="46"/>
      <c r="AA104" s="257"/>
      <c r="AB104" s="196"/>
      <c r="AC104" s="46"/>
      <c r="AD104" s="46"/>
      <c r="AE104" s="257"/>
      <c r="AF104" s="196"/>
      <c r="AG104" s="46"/>
      <c r="AH104" s="46"/>
      <c r="AI104" s="196"/>
      <c r="AJ104" s="400"/>
      <c r="AK104" s="196"/>
      <c r="AL104" s="46"/>
      <c r="AM104" s="218"/>
      <c r="AN104" s="257"/>
      <c r="AO104" s="196"/>
      <c r="AP104" s="46"/>
      <c r="AQ104" s="257"/>
      <c r="AR104" s="196"/>
      <c r="AS104" s="46"/>
      <c r="AT104" s="257"/>
      <c r="AU104" s="196"/>
      <c r="AV104" s="46"/>
      <c r="AW104" s="257"/>
      <c r="AX104" s="196"/>
      <c r="AY104" s="46"/>
      <c r="AZ104" s="257"/>
      <c r="BA104" s="46"/>
      <c r="BB104" s="46"/>
      <c r="BC104" s="46"/>
      <c r="BD104" s="46"/>
      <c r="BE104" s="46"/>
      <c r="BF104" s="257"/>
      <c r="BG104" s="46"/>
      <c r="BH104" s="46"/>
      <c r="BI104" s="46"/>
      <c r="BJ104" s="196"/>
      <c r="BK104" s="46"/>
      <c r="BL104" s="46"/>
      <c r="BM104" s="46"/>
      <c r="BN104" s="46"/>
      <c r="BO104" s="257"/>
      <c r="BP104" s="196"/>
      <c r="BQ104" s="46"/>
      <c r="BR104" s="257"/>
      <c r="BS104" s="46"/>
      <c r="BT104" s="46"/>
      <c r="BU104" s="257"/>
      <c r="BV104" s="196"/>
      <c r="BW104" s="46"/>
      <c r="BX104" s="46"/>
      <c r="BY104" s="46"/>
      <c r="BZ104" s="46"/>
      <c r="CA104" s="257"/>
      <c r="CB104" s="196"/>
      <c r="CC104" s="46"/>
      <c r="CD104" s="257"/>
      <c r="CE104" s="46"/>
      <c r="CF104" s="46"/>
      <c r="CG104" s="257"/>
      <c r="CH104" s="46"/>
      <c r="CI104" s="46"/>
      <c r="CJ104" s="46"/>
      <c r="CK104" s="46"/>
      <c r="CL104" s="46"/>
      <c r="CM104" s="257"/>
      <c r="CN104" s="46"/>
      <c r="CO104" s="376"/>
      <c r="CP104" s="257"/>
      <c r="CQ104" s="196"/>
      <c r="CR104" s="528"/>
      <c r="CS104" s="257">
        <f t="shared" si="9"/>
        <v>0</v>
      </c>
      <c r="CT104" s="196"/>
      <c r="CU104" s="317"/>
      <c r="CV104" s="391">
        <f t="shared" si="8"/>
        <v>0</v>
      </c>
      <c r="CW104" s="41"/>
      <c r="CX104" s="41"/>
      <c r="CY104" s="256"/>
      <c r="CZ104" s="308"/>
      <c r="DA104" s="308"/>
      <c r="DB104" s="420"/>
      <c r="DC104" s="41"/>
      <c r="DD104" s="41"/>
      <c r="DE104" s="256"/>
      <c r="DF104" s="41"/>
      <c r="DG104" s="41"/>
      <c r="DH104" s="391"/>
      <c r="DI104" s="41"/>
      <c r="DJ104" s="41"/>
      <c r="DK104" s="203"/>
      <c r="DL104" s="256"/>
      <c r="DM104" s="41"/>
      <c r="DN104" s="41"/>
      <c r="DO104" s="41"/>
      <c r="DP104" s="420"/>
      <c r="DQ104" s="41"/>
      <c r="DR104" s="41"/>
      <c r="DS104" s="203"/>
      <c r="DT104" s="256"/>
      <c r="DU104" s="46"/>
      <c r="DV104" s="46"/>
      <c r="DW104" s="196"/>
      <c r="DX104" s="391"/>
      <c r="DY104" s="41"/>
      <c r="DZ104" s="41"/>
      <c r="EA104" s="41"/>
      <c r="EB104" s="69"/>
      <c r="EC104" s="41"/>
      <c r="ED104" s="41"/>
      <c r="EE104" s="41"/>
      <c r="EF104" s="420"/>
      <c r="EG104" s="41"/>
      <c r="EH104" s="41"/>
      <c r="EI104" s="41"/>
      <c r="EJ104" s="256"/>
      <c r="EK104" s="41"/>
      <c r="EL104" s="41"/>
      <c r="EM104" s="41"/>
      <c r="EN104" s="391"/>
    </row>
    <row r="105" spans="1:144" ht="25.5">
      <c r="A105" s="45">
        <v>98</v>
      </c>
      <c r="B105" s="53" t="s">
        <v>301</v>
      </c>
      <c r="C105" s="45">
        <v>1</v>
      </c>
      <c r="D105" s="55" t="s">
        <v>246</v>
      </c>
      <c r="E105" s="54">
        <v>14</v>
      </c>
      <c r="F105" s="54">
        <v>7</v>
      </c>
      <c r="G105" s="397">
        <v>0</v>
      </c>
      <c r="H105" s="59">
        <v>0</v>
      </c>
      <c r="I105" s="59">
        <v>0</v>
      </c>
      <c r="J105" s="398">
        <v>14.82254</v>
      </c>
      <c r="K105" s="414">
        <f t="shared" si="6"/>
        <v>14.82254</v>
      </c>
      <c r="L105" s="397"/>
      <c r="M105" s="397"/>
      <c r="N105" s="397">
        <f t="shared" si="5"/>
        <v>14.82254</v>
      </c>
      <c r="O105" s="399">
        <f t="shared" si="7"/>
        <v>0</v>
      </c>
      <c r="P105" s="369" t="s">
        <v>1012</v>
      </c>
      <c r="Q105" s="46"/>
      <c r="R105" s="196"/>
      <c r="S105" s="257"/>
      <c r="T105" s="196"/>
      <c r="U105" s="46"/>
      <c r="V105" s="46"/>
      <c r="W105" s="257"/>
      <c r="X105" s="46"/>
      <c r="Y105" s="46"/>
      <c r="Z105" s="46"/>
      <c r="AA105" s="257"/>
      <c r="AB105" s="196"/>
      <c r="AC105" s="46"/>
      <c r="AD105" s="46"/>
      <c r="AE105" s="257"/>
      <c r="AF105" s="196"/>
      <c r="AG105" s="46"/>
      <c r="AH105" s="46"/>
      <c r="AI105" s="196"/>
      <c r="AJ105" s="400"/>
      <c r="AK105" s="196"/>
      <c r="AL105" s="46"/>
      <c r="AM105" s="218"/>
      <c r="AN105" s="257"/>
      <c r="AO105" s="196"/>
      <c r="AP105" s="46"/>
      <c r="AQ105" s="257"/>
      <c r="AR105" s="196"/>
      <c r="AS105" s="46"/>
      <c r="AT105" s="257"/>
      <c r="AU105" s="196"/>
      <c r="AV105" s="46"/>
      <c r="AW105" s="257"/>
      <c r="AX105" s="196"/>
      <c r="AY105" s="46"/>
      <c r="AZ105" s="257"/>
      <c r="BA105" s="46"/>
      <c r="BB105" s="46"/>
      <c r="BC105" s="46"/>
      <c r="BD105" s="46"/>
      <c r="BE105" s="46"/>
      <c r="BF105" s="257"/>
      <c r="BG105" s="46"/>
      <c r="BH105" s="46"/>
      <c r="BI105" s="46"/>
      <c r="BJ105" s="196"/>
      <c r="BK105" s="46"/>
      <c r="BL105" s="46"/>
      <c r="BM105" s="46"/>
      <c r="BN105" s="46"/>
      <c r="BO105" s="257"/>
      <c r="BP105" s="196"/>
      <c r="BQ105" s="46"/>
      <c r="BR105" s="257"/>
      <c r="BS105" s="46"/>
      <c r="BT105" s="46"/>
      <c r="BU105" s="257"/>
      <c r="BV105" s="196"/>
      <c r="BW105" s="46"/>
      <c r="BX105" s="46"/>
      <c r="BY105" s="46"/>
      <c r="BZ105" s="46"/>
      <c r="CA105" s="257"/>
      <c r="CB105" s="196"/>
      <c r="CC105" s="46"/>
      <c r="CD105" s="257"/>
      <c r="CE105" s="46"/>
      <c r="CF105" s="46"/>
      <c r="CG105" s="257"/>
      <c r="CH105" s="46"/>
      <c r="CI105" s="46"/>
      <c r="CJ105" s="46"/>
      <c r="CK105" s="46"/>
      <c r="CL105" s="46"/>
      <c r="CM105" s="257"/>
      <c r="CN105" s="46"/>
      <c r="CO105" s="376"/>
      <c r="CP105" s="257"/>
      <c r="CQ105" s="196"/>
      <c r="CR105" s="528"/>
      <c r="CS105" s="257">
        <f t="shared" si="9"/>
        <v>0</v>
      </c>
      <c r="CT105" s="196"/>
      <c r="CU105" s="317"/>
      <c r="CV105" s="391">
        <f t="shared" si="8"/>
        <v>0</v>
      </c>
      <c r="CW105" s="41"/>
      <c r="CX105" s="41"/>
      <c r="CY105" s="256"/>
      <c r="CZ105" s="308"/>
      <c r="DA105" s="308"/>
      <c r="DB105" s="420"/>
      <c r="DC105" s="41"/>
      <c r="DD105" s="41"/>
      <c r="DE105" s="256"/>
      <c r="DF105" s="41"/>
      <c r="DG105" s="41"/>
      <c r="DH105" s="391"/>
      <c r="DI105" s="41"/>
      <c r="DJ105" s="41"/>
      <c r="DK105" s="203"/>
      <c r="DL105" s="256"/>
      <c r="DM105" s="41"/>
      <c r="DN105" s="41"/>
      <c r="DO105" s="41"/>
      <c r="DP105" s="420"/>
      <c r="DQ105" s="41"/>
      <c r="DR105" s="41"/>
      <c r="DS105" s="203"/>
      <c r="DT105" s="256"/>
      <c r="DU105" s="46"/>
      <c r="DV105" s="46"/>
      <c r="DW105" s="196"/>
      <c r="DX105" s="391"/>
      <c r="DY105" s="41"/>
      <c r="DZ105" s="41"/>
      <c r="EA105" s="41"/>
      <c r="EB105" s="69"/>
      <c r="EC105" s="41"/>
      <c r="ED105" s="41"/>
      <c r="EE105" s="41"/>
      <c r="EF105" s="420"/>
      <c r="EG105" s="41"/>
      <c r="EH105" s="41"/>
      <c r="EI105" s="41"/>
      <c r="EJ105" s="256"/>
      <c r="EK105" s="41"/>
      <c r="EL105" s="41"/>
      <c r="EM105" s="41"/>
      <c r="EN105" s="391"/>
    </row>
    <row r="106" spans="1:144" ht="25.5">
      <c r="A106" s="45">
        <v>99</v>
      </c>
      <c r="B106" s="53" t="s">
        <v>301</v>
      </c>
      <c r="C106" s="45">
        <v>1</v>
      </c>
      <c r="D106" s="55" t="s">
        <v>246</v>
      </c>
      <c r="E106" s="54">
        <v>15</v>
      </c>
      <c r="F106" s="54">
        <v>7</v>
      </c>
      <c r="G106" s="397">
        <v>0</v>
      </c>
      <c r="H106" s="59">
        <v>0</v>
      </c>
      <c r="I106" s="59">
        <v>0</v>
      </c>
      <c r="J106" s="398">
        <v>22.410029999999999</v>
      </c>
      <c r="K106" s="414">
        <f t="shared" si="6"/>
        <v>22.410029999999999</v>
      </c>
      <c r="L106" s="397"/>
      <c r="M106" s="397"/>
      <c r="N106" s="397">
        <f t="shared" si="5"/>
        <v>22.410029999999999</v>
      </c>
      <c r="O106" s="399">
        <f t="shared" si="7"/>
        <v>0</v>
      </c>
      <c r="P106" s="369" t="s">
        <v>1012</v>
      </c>
      <c r="Q106" s="46"/>
      <c r="R106" s="196"/>
      <c r="S106" s="257"/>
      <c r="T106" s="196"/>
      <c r="U106" s="46"/>
      <c r="V106" s="46"/>
      <c r="W106" s="257"/>
      <c r="X106" s="46"/>
      <c r="Y106" s="46"/>
      <c r="Z106" s="46"/>
      <c r="AA106" s="257"/>
      <c r="AB106" s="196"/>
      <c r="AC106" s="46"/>
      <c r="AD106" s="46"/>
      <c r="AE106" s="257"/>
      <c r="AF106" s="196"/>
      <c r="AG106" s="46"/>
      <c r="AH106" s="46"/>
      <c r="AI106" s="196"/>
      <c r="AJ106" s="400"/>
      <c r="AK106" s="196"/>
      <c r="AL106" s="46"/>
      <c r="AM106" s="218"/>
      <c r="AN106" s="257"/>
      <c r="AO106" s="196"/>
      <c r="AP106" s="46"/>
      <c r="AQ106" s="257"/>
      <c r="AR106" s="196"/>
      <c r="AS106" s="46"/>
      <c r="AT106" s="257"/>
      <c r="AU106" s="196"/>
      <c r="AV106" s="46"/>
      <c r="AW106" s="257"/>
      <c r="AX106" s="196"/>
      <c r="AY106" s="46"/>
      <c r="AZ106" s="257"/>
      <c r="BA106" s="46"/>
      <c r="BB106" s="46"/>
      <c r="BC106" s="46"/>
      <c r="BD106" s="46"/>
      <c r="BE106" s="46"/>
      <c r="BF106" s="257"/>
      <c r="BG106" s="46"/>
      <c r="BH106" s="46"/>
      <c r="BI106" s="46"/>
      <c r="BJ106" s="196"/>
      <c r="BK106" s="46"/>
      <c r="BL106" s="46"/>
      <c r="BM106" s="46"/>
      <c r="BN106" s="46"/>
      <c r="BO106" s="257"/>
      <c r="BP106" s="196"/>
      <c r="BQ106" s="46"/>
      <c r="BR106" s="257"/>
      <c r="BS106" s="46"/>
      <c r="BT106" s="46"/>
      <c r="BU106" s="257"/>
      <c r="BV106" s="196"/>
      <c r="BW106" s="46"/>
      <c r="BX106" s="46"/>
      <c r="BY106" s="46"/>
      <c r="BZ106" s="46"/>
      <c r="CA106" s="257"/>
      <c r="CB106" s="196"/>
      <c r="CC106" s="46"/>
      <c r="CD106" s="257"/>
      <c r="CE106" s="46"/>
      <c r="CF106" s="46"/>
      <c r="CG106" s="257"/>
      <c r="CH106" s="46"/>
      <c r="CI106" s="46"/>
      <c r="CJ106" s="46"/>
      <c r="CK106" s="46"/>
      <c r="CL106" s="46"/>
      <c r="CM106" s="257"/>
      <c r="CN106" s="46"/>
      <c r="CO106" s="376"/>
      <c r="CP106" s="257"/>
      <c r="CQ106" s="196"/>
      <c r="CR106" s="528"/>
      <c r="CS106" s="257">
        <f t="shared" si="9"/>
        <v>0</v>
      </c>
      <c r="CT106" s="196"/>
      <c r="CU106" s="317"/>
      <c r="CV106" s="391">
        <f t="shared" si="8"/>
        <v>0</v>
      </c>
      <c r="CW106" s="41"/>
      <c r="CX106" s="41"/>
      <c r="CY106" s="256"/>
      <c r="CZ106" s="308"/>
      <c r="DA106" s="308"/>
      <c r="DB106" s="420"/>
      <c r="DC106" s="41"/>
      <c r="DD106" s="41"/>
      <c r="DE106" s="256"/>
      <c r="DF106" s="41"/>
      <c r="DG106" s="41"/>
      <c r="DH106" s="391"/>
      <c r="DI106" s="41"/>
      <c r="DJ106" s="41"/>
      <c r="DK106" s="203"/>
      <c r="DL106" s="256"/>
      <c r="DM106" s="41"/>
      <c r="DN106" s="41"/>
      <c r="DO106" s="41"/>
      <c r="DP106" s="420"/>
      <c r="DQ106" s="41"/>
      <c r="DR106" s="41"/>
      <c r="DS106" s="203"/>
      <c r="DT106" s="256"/>
      <c r="DU106" s="46"/>
      <c r="DV106" s="46"/>
      <c r="DW106" s="196"/>
      <c r="DX106" s="391"/>
      <c r="DY106" s="41"/>
      <c r="DZ106" s="41"/>
      <c r="EA106" s="41"/>
      <c r="EB106" s="69"/>
      <c r="EC106" s="41"/>
      <c r="ED106" s="41"/>
      <c r="EE106" s="41"/>
      <c r="EF106" s="420"/>
      <c r="EG106" s="41"/>
      <c r="EH106" s="41"/>
      <c r="EI106" s="41"/>
      <c r="EJ106" s="256"/>
      <c r="EK106" s="41"/>
      <c r="EL106" s="41"/>
      <c r="EM106" s="41"/>
      <c r="EN106" s="391"/>
    </row>
    <row r="107" spans="1:144" ht="25.5">
      <c r="A107" s="45">
        <v>100</v>
      </c>
      <c r="B107" s="53" t="s">
        <v>301</v>
      </c>
      <c r="C107" s="45">
        <v>1</v>
      </c>
      <c r="D107" s="55" t="s">
        <v>246</v>
      </c>
      <c r="E107" s="54">
        <v>17</v>
      </c>
      <c r="F107" s="54">
        <v>7</v>
      </c>
      <c r="G107" s="397">
        <v>0</v>
      </c>
      <c r="H107" s="59">
        <v>0</v>
      </c>
      <c r="I107" s="59">
        <v>0</v>
      </c>
      <c r="J107" s="398">
        <v>14.62491</v>
      </c>
      <c r="K107" s="414">
        <f t="shared" si="6"/>
        <v>14.62491</v>
      </c>
      <c r="L107" s="397"/>
      <c r="M107" s="397"/>
      <c r="N107" s="397">
        <f t="shared" si="5"/>
        <v>14.62491</v>
      </c>
      <c r="O107" s="399">
        <f t="shared" si="7"/>
        <v>0</v>
      </c>
      <c r="P107" s="369" t="s">
        <v>1012</v>
      </c>
      <c r="Q107" s="46"/>
      <c r="R107" s="196"/>
      <c r="S107" s="257"/>
      <c r="T107" s="196"/>
      <c r="U107" s="46"/>
      <c r="V107" s="46"/>
      <c r="W107" s="257"/>
      <c r="X107" s="46"/>
      <c r="Y107" s="46"/>
      <c r="Z107" s="46"/>
      <c r="AA107" s="257"/>
      <c r="AB107" s="196"/>
      <c r="AC107" s="46"/>
      <c r="AD107" s="46"/>
      <c r="AE107" s="257"/>
      <c r="AF107" s="196"/>
      <c r="AG107" s="46"/>
      <c r="AH107" s="46"/>
      <c r="AI107" s="196"/>
      <c r="AJ107" s="400"/>
      <c r="AK107" s="196"/>
      <c r="AL107" s="46"/>
      <c r="AM107" s="218"/>
      <c r="AN107" s="257"/>
      <c r="AO107" s="196"/>
      <c r="AP107" s="46"/>
      <c r="AQ107" s="257"/>
      <c r="AR107" s="196"/>
      <c r="AS107" s="46"/>
      <c r="AT107" s="257"/>
      <c r="AU107" s="196"/>
      <c r="AV107" s="46"/>
      <c r="AW107" s="257"/>
      <c r="AX107" s="196"/>
      <c r="AY107" s="46"/>
      <c r="AZ107" s="257"/>
      <c r="BA107" s="46"/>
      <c r="BB107" s="46"/>
      <c r="BC107" s="46"/>
      <c r="BD107" s="46"/>
      <c r="BE107" s="46"/>
      <c r="BF107" s="257"/>
      <c r="BG107" s="46"/>
      <c r="BH107" s="46"/>
      <c r="BI107" s="46"/>
      <c r="BJ107" s="196"/>
      <c r="BK107" s="46"/>
      <c r="BL107" s="46"/>
      <c r="BM107" s="46"/>
      <c r="BN107" s="46"/>
      <c r="BO107" s="257"/>
      <c r="BP107" s="196"/>
      <c r="BQ107" s="46"/>
      <c r="BR107" s="257"/>
      <c r="BS107" s="46"/>
      <c r="BT107" s="46"/>
      <c r="BU107" s="257"/>
      <c r="BV107" s="196"/>
      <c r="BW107" s="46"/>
      <c r="BX107" s="46"/>
      <c r="BY107" s="46"/>
      <c r="BZ107" s="46"/>
      <c r="CA107" s="257"/>
      <c r="CB107" s="196"/>
      <c r="CC107" s="46"/>
      <c r="CD107" s="257"/>
      <c r="CE107" s="46"/>
      <c r="CF107" s="46"/>
      <c r="CG107" s="257"/>
      <c r="CH107" s="46"/>
      <c r="CI107" s="46"/>
      <c r="CJ107" s="46"/>
      <c r="CK107" s="46"/>
      <c r="CL107" s="46"/>
      <c r="CM107" s="257"/>
      <c r="CN107" s="46"/>
      <c r="CO107" s="376"/>
      <c r="CP107" s="257"/>
      <c r="CQ107" s="196"/>
      <c r="CR107" s="531"/>
      <c r="CS107" s="257">
        <f t="shared" si="9"/>
        <v>0</v>
      </c>
      <c r="CT107" s="196"/>
      <c r="CU107" s="317"/>
      <c r="CV107" s="391">
        <f t="shared" si="8"/>
        <v>0</v>
      </c>
      <c r="CW107" s="41"/>
      <c r="CX107" s="41"/>
      <c r="CY107" s="256"/>
      <c r="CZ107" s="308"/>
      <c r="DA107" s="308"/>
      <c r="DB107" s="420"/>
      <c r="DC107" s="41"/>
      <c r="DD107" s="41"/>
      <c r="DE107" s="256"/>
      <c r="DF107" s="41"/>
      <c r="DG107" s="41"/>
      <c r="DH107" s="391"/>
      <c r="DI107" s="41"/>
      <c r="DJ107" s="41"/>
      <c r="DK107" s="203"/>
      <c r="DL107" s="256"/>
      <c r="DM107" s="41"/>
      <c r="DN107" s="41"/>
      <c r="DO107" s="41"/>
      <c r="DP107" s="420"/>
      <c r="DQ107" s="41"/>
      <c r="DR107" s="41"/>
      <c r="DS107" s="203"/>
      <c r="DT107" s="256"/>
      <c r="DU107" s="46"/>
      <c r="DV107" s="46"/>
      <c r="DW107" s="196"/>
      <c r="DX107" s="391"/>
      <c r="DY107" s="41"/>
      <c r="DZ107" s="41"/>
      <c r="EA107" s="41"/>
      <c r="EB107" s="69"/>
      <c r="EC107" s="41"/>
      <c r="ED107" s="41"/>
      <c r="EE107" s="41"/>
      <c r="EF107" s="420"/>
      <c r="EG107" s="41"/>
      <c r="EH107" s="41"/>
      <c r="EI107" s="41"/>
      <c r="EJ107" s="256"/>
      <c r="EK107" s="41"/>
      <c r="EL107" s="41"/>
      <c r="EM107" s="41"/>
      <c r="EN107" s="391"/>
    </row>
    <row r="108" spans="1:144" ht="25.5">
      <c r="A108" s="45">
        <v>101</v>
      </c>
      <c r="B108" s="53" t="s">
        <v>301</v>
      </c>
      <c r="C108" s="45">
        <v>1</v>
      </c>
      <c r="D108" s="55" t="s">
        <v>246</v>
      </c>
      <c r="E108" s="54">
        <v>19</v>
      </c>
      <c r="F108" s="54">
        <v>7</v>
      </c>
      <c r="G108" s="397">
        <v>0</v>
      </c>
      <c r="H108" s="59">
        <v>0</v>
      </c>
      <c r="I108" s="59">
        <v>0</v>
      </c>
      <c r="J108" s="398">
        <v>14.62491</v>
      </c>
      <c r="K108" s="414">
        <f t="shared" si="6"/>
        <v>14.62491</v>
      </c>
      <c r="L108" s="397"/>
      <c r="M108" s="397"/>
      <c r="N108" s="397">
        <f t="shared" si="5"/>
        <v>14.62491</v>
      </c>
      <c r="O108" s="399">
        <f t="shared" si="7"/>
        <v>0</v>
      </c>
      <c r="P108" s="369" t="s">
        <v>1012</v>
      </c>
      <c r="Q108" s="46"/>
      <c r="R108" s="196"/>
      <c r="S108" s="257"/>
      <c r="T108" s="196"/>
      <c r="U108" s="46"/>
      <c r="V108" s="46"/>
      <c r="W108" s="257"/>
      <c r="X108" s="46"/>
      <c r="Y108" s="46"/>
      <c r="Z108" s="46"/>
      <c r="AA108" s="257"/>
      <c r="AB108" s="196"/>
      <c r="AC108" s="46"/>
      <c r="AD108" s="46"/>
      <c r="AE108" s="257"/>
      <c r="AF108" s="196"/>
      <c r="AG108" s="46"/>
      <c r="AH108" s="46"/>
      <c r="AI108" s="196"/>
      <c r="AJ108" s="400"/>
      <c r="AK108" s="196"/>
      <c r="AL108" s="46"/>
      <c r="AM108" s="218"/>
      <c r="AN108" s="257"/>
      <c r="AO108" s="196"/>
      <c r="AP108" s="46"/>
      <c r="AQ108" s="257"/>
      <c r="AR108" s="196"/>
      <c r="AS108" s="46"/>
      <c r="AT108" s="257"/>
      <c r="AU108" s="196"/>
      <c r="AV108" s="46"/>
      <c r="AW108" s="257"/>
      <c r="AX108" s="196"/>
      <c r="AY108" s="46"/>
      <c r="AZ108" s="257"/>
      <c r="BA108" s="46"/>
      <c r="BB108" s="46"/>
      <c r="BC108" s="46"/>
      <c r="BD108" s="46"/>
      <c r="BE108" s="46"/>
      <c r="BF108" s="257"/>
      <c r="BG108" s="46"/>
      <c r="BH108" s="46"/>
      <c r="BI108" s="46"/>
      <c r="BJ108" s="196"/>
      <c r="BK108" s="46"/>
      <c r="BL108" s="46"/>
      <c r="BM108" s="46"/>
      <c r="BN108" s="46"/>
      <c r="BO108" s="257"/>
      <c r="BP108" s="196"/>
      <c r="BQ108" s="46"/>
      <c r="BR108" s="257"/>
      <c r="BS108" s="46"/>
      <c r="BT108" s="46"/>
      <c r="BU108" s="257"/>
      <c r="BV108" s="196"/>
      <c r="BW108" s="46"/>
      <c r="BX108" s="46"/>
      <c r="BY108" s="46"/>
      <c r="BZ108" s="46"/>
      <c r="CA108" s="257"/>
      <c r="CB108" s="196"/>
      <c r="CC108" s="46"/>
      <c r="CD108" s="257"/>
      <c r="CE108" s="46"/>
      <c r="CF108" s="46"/>
      <c r="CG108" s="257"/>
      <c r="CH108" s="46"/>
      <c r="CI108" s="46"/>
      <c r="CJ108" s="46"/>
      <c r="CK108" s="46"/>
      <c r="CL108" s="46"/>
      <c r="CM108" s="257"/>
      <c r="CN108" s="46"/>
      <c r="CO108" s="376"/>
      <c r="CP108" s="257"/>
      <c r="CQ108" s="196"/>
      <c r="CR108" s="531"/>
      <c r="CS108" s="257">
        <f t="shared" si="9"/>
        <v>0</v>
      </c>
      <c r="CT108" s="196"/>
      <c r="CU108" s="317"/>
      <c r="CV108" s="391">
        <f t="shared" si="8"/>
        <v>0</v>
      </c>
      <c r="CW108" s="41"/>
      <c r="CX108" s="41"/>
      <c r="CY108" s="256"/>
      <c r="CZ108" s="308"/>
      <c r="DA108" s="308"/>
      <c r="DB108" s="420"/>
      <c r="DC108" s="41"/>
      <c r="DD108" s="41"/>
      <c r="DE108" s="256"/>
      <c r="DF108" s="41"/>
      <c r="DG108" s="41"/>
      <c r="DH108" s="391"/>
      <c r="DI108" s="41"/>
      <c r="DJ108" s="41"/>
      <c r="DK108" s="203"/>
      <c r="DL108" s="256"/>
      <c r="DM108" s="41"/>
      <c r="DN108" s="41"/>
      <c r="DO108" s="41"/>
      <c r="DP108" s="420"/>
      <c r="DQ108" s="41"/>
      <c r="DR108" s="41"/>
      <c r="DS108" s="203"/>
      <c r="DT108" s="256"/>
      <c r="DU108" s="46"/>
      <c r="DV108" s="46"/>
      <c r="DW108" s="196"/>
      <c r="DX108" s="391"/>
      <c r="DY108" s="41"/>
      <c r="DZ108" s="41"/>
      <c r="EA108" s="41"/>
      <c r="EB108" s="69"/>
      <c r="EC108" s="41"/>
      <c r="ED108" s="41"/>
      <c r="EE108" s="41"/>
      <c r="EF108" s="420"/>
      <c r="EG108" s="41"/>
      <c r="EH108" s="41"/>
      <c r="EI108" s="41"/>
      <c r="EJ108" s="256"/>
      <c r="EK108" s="41"/>
      <c r="EL108" s="41"/>
      <c r="EM108" s="41"/>
      <c r="EN108" s="391"/>
    </row>
    <row r="109" spans="1:144" ht="25.5">
      <c r="A109" s="45">
        <v>102</v>
      </c>
      <c r="B109" s="53" t="s">
        <v>301</v>
      </c>
      <c r="C109" s="45">
        <v>1</v>
      </c>
      <c r="D109" s="55" t="s">
        <v>246</v>
      </c>
      <c r="E109" s="54">
        <v>20</v>
      </c>
      <c r="F109" s="54">
        <v>7</v>
      </c>
      <c r="G109" s="397">
        <v>0</v>
      </c>
      <c r="H109" s="59">
        <v>0</v>
      </c>
      <c r="I109" s="59">
        <v>0</v>
      </c>
      <c r="J109" s="398">
        <v>24.550940000000001</v>
      </c>
      <c r="K109" s="414">
        <f t="shared" si="6"/>
        <v>24.550940000000001</v>
      </c>
      <c r="L109" s="397"/>
      <c r="M109" s="397"/>
      <c r="N109" s="397">
        <f t="shared" si="5"/>
        <v>24.550940000000001</v>
      </c>
      <c r="O109" s="399">
        <f t="shared" si="7"/>
        <v>0</v>
      </c>
      <c r="P109" s="369" t="s">
        <v>1012</v>
      </c>
      <c r="Q109" s="46"/>
      <c r="R109" s="196"/>
      <c r="S109" s="257"/>
      <c r="T109" s="196"/>
      <c r="U109" s="46"/>
      <c r="V109" s="46"/>
      <c r="W109" s="257"/>
      <c r="X109" s="46"/>
      <c r="Y109" s="46"/>
      <c r="Z109" s="46"/>
      <c r="AA109" s="257"/>
      <c r="AB109" s="196"/>
      <c r="AC109" s="46"/>
      <c r="AD109" s="46"/>
      <c r="AE109" s="257"/>
      <c r="AF109" s="196"/>
      <c r="AG109" s="46"/>
      <c r="AH109" s="46"/>
      <c r="AI109" s="196"/>
      <c r="AJ109" s="400"/>
      <c r="AK109" s="196"/>
      <c r="AL109" s="46"/>
      <c r="AM109" s="218"/>
      <c r="AN109" s="257"/>
      <c r="AO109" s="196"/>
      <c r="AP109" s="46"/>
      <c r="AQ109" s="257"/>
      <c r="AR109" s="196"/>
      <c r="AS109" s="46"/>
      <c r="AT109" s="257"/>
      <c r="AU109" s="196"/>
      <c r="AV109" s="46"/>
      <c r="AW109" s="257"/>
      <c r="AX109" s="196"/>
      <c r="AY109" s="46"/>
      <c r="AZ109" s="257"/>
      <c r="BA109" s="46"/>
      <c r="BB109" s="46"/>
      <c r="BC109" s="46"/>
      <c r="BD109" s="46"/>
      <c r="BE109" s="46"/>
      <c r="BF109" s="257"/>
      <c r="BG109" s="46"/>
      <c r="BH109" s="46"/>
      <c r="BI109" s="46"/>
      <c r="BJ109" s="196"/>
      <c r="BK109" s="46"/>
      <c r="BL109" s="46"/>
      <c r="BM109" s="46"/>
      <c r="BN109" s="46"/>
      <c r="BO109" s="257"/>
      <c r="BP109" s="196"/>
      <c r="BQ109" s="46"/>
      <c r="BR109" s="257"/>
      <c r="BS109" s="46"/>
      <c r="BT109" s="46"/>
      <c r="BU109" s="257"/>
      <c r="BV109" s="196"/>
      <c r="BW109" s="46"/>
      <c r="BX109" s="46"/>
      <c r="BY109" s="46"/>
      <c r="BZ109" s="46"/>
      <c r="CA109" s="257"/>
      <c r="CB109" s="196"/>
      <c r="CC109" s="46"/>
      <c r="CD109" s="257"/>
      <c r="CE109" s="46"/>
      <c r="CF109" s="46"/>
      <c r="CG109" s="257"/>
      <c r="CH109" s="46"/>
      <c r="CI109" s="46"/>
      <c r="CJ109" s="46"/>
      <c r="CK109" s="46"/>
      <c r="CL109" s="46"/>
      <c r="CM109" s="257"/>
      <c r="CN109" s="46"/>
      <c r="CO109" s="376"/>
      <c r="CP109" s="257"/>
      <c r="CQ109" s="196"/>
      <c r="CR109" s="530"/>
      <c r="CS109" s="257">
        <f t="shared" si="9"/>
        <v>0</v>
      </c>
      <c r="CT109" s="196"/>
      <c r="CU109" s="317"/>
      <c r="CV109" s="391">
        <f t="shared" si="8"/>
        <v>0</v>
      </c>
      <c r="CW109" s="41"/>
      <c r="CX109" s="41"/>
      <c r="CY109" s="256"/>
      <c r="CZ109" s="308"/>
      <c r="DA109" s="308"/>
      <c r="DB109" s="420"/>
      <c r="DC109" s="41"/>
      <c r="DD109" s="41"/>
      <c r="DE109" s="256"/>
      <c r="DF109" s="41"/>
      <c r="DG109" s="41"/>
      <c r="DH109" s="391"/>
      <c r="DI109" s="41"/>
      <c r="DJ109" s="41"/>
      <c r="DK109" s="203"/>
      <c r="DL109" s="256"/>
      <c r="DM109" s="41"/>
      <c r="DN109" s="41"/>
      <c r="DO109" s="41"/>
      <c r="DP109" s="420"/>
      <c r="DQ109" s="41"/>
      <c r="DR109" s="41"/>
      <c r="DS109" s="203"/>
      <c r="DT109" s="256"/>
      <c r="DU109" s="46"/>
      <c r="DV109" s="46"/>
      <c r="DW109" s="196"/>
      <c r="DX109" s="391"/>
      <c r="DY109" s="41"/>
      <c r="DZ109" s="41"/>
      <c r="EA109" s="41"/>
      <c r="EB109" s="69"/>
      <c r="EC109" s="41"/>
      <c r="ED109" s="41"/>
      <c r="EE109" s="41"/>
      <c r="EF109" s="420"/>
      <c r="EG109" s="41"/>
      <c r="EH109" s="41"/>
      <c r="EI109" s="41"/>
      <c r="EJ109" s="256"/>
      <c r="EK109" s="41"/>
      <c r="EL109" s="41"/>
      <c r="EM109" s="41"/>
      <c r="EN109" s="391"/>
    </row>
    <row r="110" spans="1:144" ht="114" customHeight="1">
      <c r="A110" s="45">
        <v>103</v>
      </c>
      <c r="B110" s="53" t="s">
        <v>301</v>
      </c>
      <c r="C110" s="45">
        <v>1</v>
      </c>
      <c r="D110" s="55" t="s">
        <v>253</v>
      </c>
      <c r="E110" s="54">
        <v>1</v>
      </c>
      <c r="F110" s="54">
        <v>5</v>
      </c>
      <c r="G110" s="397">
        <f>366436.224/1000</f>
        <v>366.43622399999998</v>
      </c>
      <c r="H110" s="59">
        <v>366436.22399999993</v>
      </c>
      <c r="I110" s="59">
        <v>0</v>
      </c>
      <c r="J110" s="398">
        <v>363.42999800000001</v>
      </c>
      <c r="K110" s="414">
        <f t="shared" si="6"/>
        <v>729.86622199999999</v>
      </c>
      <c r="L110" s="397"/>
      <c r="M110" s="397"/>
      <c r="N110" s="397">
        <f t="shared" si="5"/>
        <v>729.86622199999999</v>
      </c>
      <c r="O110" s="399">
        <f t="shared" si="7"/>
        <v>707</v>
      </c>
      <c r="P110" s="196"/>
      <c r="Q110" s="46"/>
      <c r="R110" s="196"/>
      <c r="S110" s="257"/>
      <c r="T110" s="196"/>
      <c r="U110" s="46"/>
      <c r="V110" s="46"/>
      <c r="W110" s="257"/>
      <c r="X110" s="46"/>
      <c r="Y110" s="46"/>
      <c r="Z110" s="46"/>
      <c r="AA110" s="257"/>
      <c r="AB110" s="196"/>
      <c r="AC110" s="46"/>
      <c r="AD110" s="46"/>
      <c r="AE110" s="257"/>
      <c r="AF110" s="196"/>
      <c r="AG110" s="46"/>
      <c r="AH110" s="46"/>
      <c r="AI110" s="196"/>
      <c r="AJ110" s="400"/>
      <c r="AK110" s="196"/>
      <c r="AL110" s="46"/>
      <c r="AM110" s="218"/>
      <c r="AN110" s="257"/>
      <c r="AO110" s="218" t="s">
        <v>250</v>
      </c>
      <c r="AP110" s="190">
        <v>66</v>
      </c>
      <c r="AQ110" s="524">
        <f>AP110*2000</f>
        <v>132000</v>
      </c>
      <c r="AR110" s="196" t="s">
        <v>248</v>
      </c>
      <c r="AS110" s="190">
        <v>66</v>
      </c>
      <c r="AT110" s="257">
        <f>AS110*2500</f>
        <v>165000</v>
      </c>
      <c r="AU110" s="196" t="s">
        <v>248</v>
      </c>
      <c r="AV110" s="46">
        <v>120</v>
      </c>
      <c r="AW110" s="257">
        <f>AV110*3000</f>
        <v>360000</v>
      </c>
      <c r="AX110" s="196"/>
      <c r="AY110" s="46"/>
      <c r="AZ110" s="257"/>
      <c r="BA110" s="46"/>
      <c r="BB110" s="46"/>
      <c r="BC110" s="46"/>
      <c r="BD110" s="46"/>
      <c r="BE110" s="46"/>
      <c r="BF110" s="257"/>
      <c r="BG110" s="46"/>
      <c r="BH110" s="46"/>
      <c r="BI110" s="46"/>
      <c r="BJ110" s="196"/>
      <c r="BK110" s="46"/>
      <c r="BL110" s="46"/>
      <c r="BM110" s="46"/>
      <c r="BN110" s="46"/>
      <c r="BO110" s="257"/>
      <c r="BP110" s="196"/>
      <c r="BQ110" s="46"/>
      <c r="BR110" s="257"/>
      <c r="BS110" s="46"/>
      <c r="BT110" s="46"/>
      <c r="BU110" s="257"/>
      <c r="BV110" s="196"/>
      <c r="BW110" s="46"/>
      <c r="BX110" s="257"/>
      <c r="BY110" s="46"/>
      <c r="BZ110" s="46"/>
      <c r="CA110" s="257"/>
      <c r="CB110" s="196"/>
      <c r="CC110" s="46"/>
      <c r="CD110" s="257"/>
      <c r="CE110" s="46"/>
      <c r="CF110" s="46"/>
      <c r="CG110" s="257"/>
      <c r="CH110" s="46"/>
      <c r="CI110" s="46"/>
      <c r="CJ110" s="46"/>
      <c r="CK110" s="46"/>
      <c r="CL110" s="46"/>
      <c r="CM110" s="257"/>
      <c r="CN110" s="46"/>
      <c r="CO110" s="376"/>
      <c r="CP110" s="257"/>
      <c r="CQ110" s="196" t="s">
        <v>254</v>
      </c>
      <c r="CR110" s="286" t="s">
        <v>626</v>
      </c>
      <c r="CS110" s="257">
        <f t="shared" si="9"/>
        <v>50000</v>
      </c>
      <c r="CT110" s="526"/>
      <c r="CU110" s="317"/>
      <c r="CV110" s="391">
        <f t="shared" si="8"/>
        <v>0</v>
      </c>
      <c r="CW110" s="41">
        <v>4</v>
      </c>
      <c r="CX110" s="41">
        <v>2</v>
      </c>
      <c r="CY110" s="256">
        <f>CX110*25000</f>
        <v>50000</v>
      </c>
      <c r="CZ110" s="308"/>
      <c r="DA110" s="308"/>
      <c r="DB110" s="420"/>
      <c r="DC110" s="41"/>
      <c r="DD110" s="41"/>
      <c r="DE110" s="256"/>
      <c r="DF110" s="41"/>
      <c r="DG110" s="41"/>
      <c r="DH110" s="391"/>
      <c r="DI110" s="41"/>
      <c r="DJ110" s="41"/>
      <c r="DK110" s="203"/>
      <c r="DL110" s="256"/>
      <c r="DM110" s="41"/>
      <c r="DN110" s="41"/>
      <c r="DO110" s="41"/>
      <c r="DP110" s="420"/>
      <c r="DQ110" s="41"/>
      <c r="DR110" s="41"/>
      <c r="DS110" s="203"/>
      <c r="DT110" s="256"/>
      <c r="DU110" s="46"/>
      <c r="DV110" s="46"/>
      <c r="DW110" s="196"/>
      <c r="DX110" s="391"/>
      <c r="DY110" s="41"/>
      <c r="DZ110" s="41"/>
      <c r="EA110" s="41"/>
      <c r="EB110" s="69"/>
      <c r="EC110" s="60"/>
      <c r="ED110" s="41"/>
      <c r="EE110" s="41"/>
      <c r="EF110" s="420"/>
      <c r="EG110" s="41"/>
      <c r="EH110" s="41"/>
      <c r="EI110" s="41"/>
      <c r="EJ110" s="256"/>
      <c r="EK110" s="41"/>
      <c r="EL110" s="41"/>
      <c r="EM110" s="41"/>
      <c r="EN110" s="391"/>
    </row>
    <row r="111" spans="1:144" ht="25.5">
      <c r="A111" s="45">
        <v>104</v>
      </c>
      <c r="B111" s="53" t="s">
        <v>301</v>
      </c>
      <c r="C111" s="45">
        <v>1</v>
      </c>
      <c r="D111" s="55" t="s">
        <v>253</v>
      </c>
      <c r="E111" s="54">
        <v>2</v>
      </c>
      <c r="F111" s="54">
        <v>7</v>
      </c>
      <c r="G111" s="397">
        <f>45670.086/1000</f>
        <v>45.670086000000005</v>
      </c>
      <c r="H111" s="59">
        <v>0</v>
      </c>
      <c r="I111" s="59">
        <v>45670.085999999996</v>
      </c>
      <c r="J111" s="398">
        <v>230.30785600000002</v>
      </c>
      <c r="K111" s="414">
        <f t="shared" si="6"/>
        <v>275.97794200000004</v>
      </c>
      <c r="L111" s="397"/>
      <c r="M111" s="397"/>
      <c r="N111" s="397">
        <f t="shared" si="5"/>
        <v>275.97794200000004</v>
      </c>
      <c r="O111" s="399">
        <f t="shared" si="7"/>
        <v>226</v>
      </c>
      <c r="P111" s="196"/>
      <c r="Q111" s="46"/>
      <c r="R111" s="196"/>
      <c r="S111" s="257"/>
      <c r="T111" s="196"/>
      <c r="U111" s="46"/>
      <c r="V111" s="46"/>
      <c r="W111" s="257"/>
      <c r="X111" s="46"/>
      <c r="Y111" s="46"/>
      <c r="Z111" s="46"/>
      <c r="AA111" s="257"/>
      <c r="AB111" s="196"/>
      <c r="AC111" s="46"/>
      <c r="AD111" s="46"/>
      <c r="AE111" s="257"/>
      <c r="AF111" s="196" t="s">
        <v>254</v>
      </c>
      <c r="AG111" s="46" t="s">
        <v>335</v>
      </c>
      <c r="AH111" s="162">
        <v>120</v>
      </c>
      <c r="AI111" s="196" t="s">
        <v>650</v>
      </c>
      <c r="AJ111" s="400">
        <f>AH111*1300</f>
        <v>156000</v>
      </c>
      <c r="AK111" s="196"/>
      <c r="AL111" s="46"/>
      <c r="AM111" s="218"/>
      <c r="AN111" s="257"/>
      <c r="AO111" s="218"/>
      <c r="AP111" s="167"/>
      <c r="AQ111" s="524"/>
      <c r="AR111" s="196"/>
      <c r="AS111" s="46"/>
      <c r="AT111" s="257"/>
      <c r="AU111" s="196"/>
      <c r="AV111" s="167"/>
      <c r="AW111" s="257"/>
      <c r="AX111" s="196"/>
      <c r="AY111" s="46"/>
      <c r="AZ111" s="257"/>
      <c r="BA111" s="46"/>
      <c r="BB111" s="46"/>
      <c r="BC111" s="46"/>
      <c r="BD111" s="46"/>
      <c r="BE111" s="46"/>
      <c r="BF111" s="257"/>
      <c r="BG111" s="46"/>
      <c r="BH111" s="46"/>
      <c r="BI111" s="46"/>
      <c r="BJ111" s="196"/>
      <c r="BK111" s="46"/>
      <c r="BL111" s="46"/>
      <c r="BM111" s="46"/>
      <c r="BN111" s="46"/>
      <c r="BO111" s="257"/>
      <c r="BP111" s="196" t="s">
        <v>227</v>
      </c>
      <c r="BQ111" s="191" t="s">
        <v>651</v>
      </c>
      <c r="BR111" s="257">
        <v>70000</v>
      </c>
      <c r="BS111" s="46"/>
      <c r="BT111" s="46"/>
      <c r="BU111" s="257"/>
      <c r="BV111" s="196"/>
      <c r="BW111" s="46"/>
      <c r="BX111" s="46"/>
      <c r="BY111" s="46"/>
      <c r="BZ111" s="46"/>
      <c r="CA111" s="257"/>
      <c r="CB111" s="196"/>
      <c r="CC111" s="46"/>
      <c r="CD111" s="257"/>
      <c r="CE111" s="46"/>
      <c r="CF111" s="46"/>
      <c r="CG111" s="257"/>
      <c r="CH111" s="46"/>
      <c r="CI111" s="46"/>
      <c r="CJ111" s="46"/>
      <c r="CK111" s="46"/>
      <c r="CL111" s="46"/>
      <c r="CM111" s="257"/>
      <c r="CN111" s="46"/>
      <c r="CO111" s="376"/>
      <c r="CP111" s="257"/>
      <c r="CQ111" s="196"/>
      <c r="CR111" s="190"/>
      <c r="CS111" s="257">
        <f t="shared" si="9"/>
        <v>0</v>
      </c>
      <c r="CT111" s="196"/>
      <c r="CU111" s="317"/>
      <c r="CV111" s="391">
        <f t="shared" si="8"/>
        <v>0</v>
      </c>
      <c r="CW111" s="41"/>
      <c r="CX111" s="41"/>
      <c r="CY111" s="256"/>
      <c r="CZ111" s="308"/>
      <c r="DA111" s="308"/>
      <c r="DB111" s="420"/>
      <c r="DC111" s="41"/>
      <c r="DD111" s="41"/>
      <c r="DE111" s="256"/>
      <c r="DF111" s="41"/>
      <c r="DG111" s="41"/>
      <c r="DH111" s="391"/>
      <c r="DI111" s="41"/>
      <c r="DJ111" s="41"/>
      <c r="DK111" s="203"/>
      <c r="DL111" s="256"/>
      <c r="DM111" s="41"/>
      <c r="DN111" s="41"/>
      <c r="DO111" s="41"/>
      <c r="DP111" s="420"/>
      <c r="DQ111" s="41"/>
      <c r="DR111" s="41"/>
      <c r="DS111" s="203"/>
      <c r="DT111" s="256"/>
      <c r="DU111" s="46"/>
      <c r="DV111" s="46"/>
      <c r="DW111" s="196"/>
      <c r="DX111" s="391"/>
      <c r="DY111" s="41"/>
      <c r="DZ111" s="41"/>
      <c r="EA111" s="41"/>
      <c r="EB111" s="69"/>
      <c r="EC111" s="41"/>
      <c r="ED111" s="41"/>
      <c r="EE111" s="41"/>
      <c r="EF111" s="420"/>
      <c r="EG111" s="41"/>
      <c r="EH111" s="41"/>
      <c r="EI111" s="41"/>
      <c r="EJ111" s="256"/>
      <c r="EK111" s="41"/>
      <c r="EL111" s="41"/>
      <c r="EM111" s="41"/>
      <c r="EN111" s="391"/>
    </row>
    <row r="112" spans="1:144" ht="25.5">
      <c r="A112" s="45">
        <v>105</v>
      </c>
      <c r="B112" s="53" t="s">
        <v>301</v>
      </c>
      <c r="C112" s="45">
        <v>1</v>
      </c>
      <c r="D112" s="55" t="s">
        <v>253</v>
      </c>
      <c r="E112" s="54">
        <v>3</v>
      </c>
      <c r="F112" s="54">
        <v>7</v>
      </c>
      <c r="G112" s="397">
        <f>45732.834/1000</f>
        <v>45.732834000000004</v>
      </c>
      <c r="H112" s="59">
        <v>0</v>
      </c>
      <c r="I112" s="59">
        <v>45732.834000000003</v>
      </c>
      <c r="J112" s="398">
        <v>235.90630399999998</v>
      </c>
      <c r="K112" s="414">
        <f t="shared" si="6"/>
        <v>281.639138</v>
      </c>
      <c r="L112" s="397"/>
      <c r="M112" s="397"/>
      <c r="N112" s="397">
        <f t="shared" si="5"/>
        <v>281.639138</v>
      </c>
      <c r="O112" s="399">
        <f t="shared" si="7"/>
        <v>0</v>
      </c>
      <c r="P112" s="196" t="s">
        <v>525</v>
      </c>
      <c r="Q112" s="46"/>
      <c r="R112" s="196"/>
      <c r="S112" s="257"/>
      <c r="T112" s="196"/>
      <c r="U112" s="46"/>
      <c r="V112" s="46"/>
      <c r="W112" s="257"/>
      <c r="X112" s="46"/>
      <c r="Y112" s="46"/>
      <c r="Z112" s="46"/>
      <c r="AA112" s="257"/>
      <c r="AB112" s="196"/>
      <c r="AC112" s="46"/>
      <c r="AD112" s="46"/>
      <c r="AE112" s="257"/>
      <c r="AF112" s="196"/>
      <c r="AG112" s="46"/>
      <c r="AH112" s="46"/>
      <c r="AI112" s="196"/>
      <c r="AJ112" s="400"/>
      <c r="AK112" s="196"/>
      <c r="AL112" s="46"/>
      <c r="AM112" s="218"/>
      <c r="AN112" s="257"/>
      <c r="AO112" s="196"/>
      <c r="AP112" s="46"/>
      <c r="AQ112" s="257"/>
      <c r="AR112" s="196"/>
      <c r="AS112" s="46"/>
      <c r="AT112" s="257"/>
      <c r="AU112" s="196"/>
      <c r="AV112" s="46"/>
      <c r="AW112" s="257"/>
      <c r="AX112" s="196"/>
      <c r="AY112" s="46"/>
      <c r="AZ112" s="257"/>
      <c r="BA112" s="46"/>
      <c r="BB112" s="46"/>
      <c r="BC112" s="46"/>
      <c r="BD112" s="46"/>
      <c r="BE112" s="46"/>
      <c r="BF112" s="257"/>
      <c r="BG112" s="46"/>
      <c r="BH112" s="46"/>
      <c r="BI112" s="46"/>
      <c r="BJ112" s="196"/>
      <c r="BK112" s="46"/>
      <c r="BL112" s="46"/>
      <c r="BM112" s="46"/>
      <c r="BN112" s="46"/>
      <c r="BO112" s="257"/>
      <c r="BP112" s="196"/>
      <c r="BQ112" s="46"/>
      <c r="BR112" s="257"/>
      <c r="BS112" s="46"/>
      <c r="BT112" s="46"/>
      <c r="BU112" s="257"/>
      <c r="BV112" s="196"/>
      <c r="BW112" s="46"/>
      <c r="BX112" s="46"/>
      <c r="BY112" s="46"/>
      <c r="BZ112" s="46"/>
      <c r="CA112" s="257"/>
      <c r="CB112" s="196"/>
      <c r="CC112" s="46"/>
      <c r="CD112" s="257"/>
      <c r="CE112" s="46"/>
      <c r="CF112" s="46"/>
      <c r="CG112" s="257"/>
      <c r="CH112" s="46"/>
      <c r="CI112" s="46"/>
      <c r="CJ112" s="46"/>
      <c r="CK112" s="46"/>
      <c r="CL112" s="46"/>
      <c r="CM112" s="257"/>
      <c r="CN112" s="46"/>
      <c r="CO112" s="376"/>
      <c r="CP112" s="257"/>
      <c r="CQ112" s="196"/>
      <c r="CR112" s="191"/>
      <c r="CS112" s="257">
        <f t="shared" si="9"/>
        <v>0</v>
      </c>
      <c r="CT112" s="196"/>
      <c r="CU112" s="317"/>
      <c r="CV112" s="391">
        <f t="shared" si="8"/>
        <v>0</v>
      </c>
      <c r="CW112" s="41"/>
      <c r="CX112" s="41"/>
      <c r="CY112" s="256"/>
      <c r="CZ112" s="308"/>
      <c r="DA112" s="308"/>
      <c r="DB112" s="420"/>
      <c r="DC112" s="41"/>
      <c r="DD112" s="41"/>
      <c r="DE112" s="256"/>
      <c r="DF112" s="41"/>
      <c r="DG112" s="41"/>
      <c r="DH112" s="391"/>
      <c r="DI112" s="41"/>
      <c r="DJ112" s="41"/>
      <c r="DK112" s="203"/>
      <c r="DL112" s="256"/>
      <c r="DM112" s="41"/>
      <c r="DN112" s="41"/>
      <c r="DO112" s="41"/>
      <c r="DP112" s="420"/>
      <c r="DQ112" s="41"/>
      <c r="DR112" s="41"/>
      <c r="DS112" s="203"/>
      <c r="DT112" s="256"/>
      <c r="DU112" s="46"/>
      <c r="DV112" s="46"/>
      <c r="DW112" s="196"/>
      <c r="DX112" s="391"/>
      <c r="DY112" s="41"/>
      <c r="DZ112" s="41"/>
      <c r="EA112" s="41"/>
      <c r="EB112" s="69"/>
      <c r="EC112" s="41"/>
      <c r="ED112" s="41"/>
      <c r="EE112" s="41"/>
      <c r="EF112" s="420"/>
      <c r="EG112" s="41"/>
      <c r="EH112" s="41"/>
      <c r="EI112" s="41"/>
      <c r="EJ112" s="256"/>
      <c r="EK112" s="41"/>
      <c r="EL112" s="41"/>
      <c r="EM112" s="41"/>
      <c r="EN112" s="391"/>
    </row>
    <row r="113" spans="1:144" ht="25.5">
      <c r="A113" s="45">
        <v>106</v>
      </c>
      <c r="B113" s="53" t="s">
        <v>301</v>
      </c>
      <c r="C113" s="45">
        <v>1</v>
      </c>
      <c r="D113" s="53" t="s">
        <v>253</v>
      </c>
      <c r="E113" s="54">
        <v>5</v>
      </c>
      <c r="F113" s="54">
        <v>7</v>
      </c>
      <c r="G113" s="397">
        <f>45230.85/1000</f>
        <v>45.230849999999997</v>
      </c>
      <c r="H113" s="59">
        <v>0</v>
      </c>
      <c r="I113" s="59">
        <v>45230.85</v>
      </c>
      <c r="J113" s="398">
        <v>111.50196999999997</v>
      </c>
      <c r="K113" s="414">
        <f t="shared" si="6"/>
        <v>156.73281999999998</v>
      </c>
      <c r="L113" s="397"/>
      <c r="M113" s="397"/>
      <c r="N113" s="397">
        <f t="shared" si="5"/>
        <v>156.73281999999998</v>
      </c>
      <c r="O113" s="399">
        <f t="shared" si="7"/>
        <v>137</v>
      </c>
      <c r="P113" s="196"/>
      <c r="Q113" s="46"/>
      <c r="R113" s="196"/>
      <c r="S113" s="257"/>
      <c r="T113" s="196"/>
      <c r="U113" s="46"/>
      <c r="V113" s="46"/>
      <c r="W113" s="257"/>
      <c r="X113" s="46"/>
      <c r="Y113" s="46"/>
      <c r="Z113" s="46"/>
      <c r="AA113" s="257"/>
      <c r="AB113" s="196"/>
      <c r="AC113" s="46"/>
      <c r="AD113" s="46"/>
      <c r="AE113" s="257"/>
      <c r="AF113" s="196" t="s">
        <v>247</v>
      </c>
      <c r="AG113" s="46" t="s">
        <v>324</v>
      </c>
      <c r="AH113" s="46">
        <v>30</v>
      </c>
      <c r="AI113" s="196" t="s">
        <v>652</v>
      </c>
      <c r="AJ113" s="400">
        <f>AH113*1300</f>
        <v>39000</v>
      </c>
      <c r="AK113" s="196"/>
      <c r="AL113" s="46"/>
      <c r="AM113" s="218"/>
      <c r="AN113" s="257"/>
      <c r="AO113" s="196"/>
      <c r="AP113" s="46"/>
      <c r="AQ113" s="257"/>
      <c r="AR113" s="196"/>
      <c r="AS113" s="46"/>
      <c r="AT113" s="257"/>
      <c r="AU113" s="196"/>
      <c r="AV113" s="46"/>
      <c r="AW113" s="257"/>
      <c r="AX113" s="196"/>
      <c r="AY113" s="46"/>
      <c r="AZ113" s="257"/>
      <c r="BA113" s="46"/>
      <c r="BB113" s="46"/>
      <c r="BC113" s="46"/>
      <c r="BD113" s="46"/>
      <c r="BE113" s="46"/>
      <c r="BF113" s="257"/>
      <c r="BG113" s="46"/>
      <c r="BH113" s="46"/>
      <c r="BI113" s="46"/>
      <c r="BJ113" s="196"/>
      <c r="BK113" s="46"/>
      <c r="BL113" s="46"/>
      <c r="BM113" s="46"/>
      <c r="BN113" s="46"/>
      <c r="BO113" s="257"/>
      <c r="BP113" s="196"/>
      <c r="BQ113" s="46"/>
      <c r="BR113" s="257"/>
      <c r="BS113" s="46"/>
      <c r="BT113" s="46"/>
      <c r="BU113" s="257"/>
      <c r="BV113" s="196"/>
      <c r="BW113" s="46"/>
      <c r="BX113" s="46"/>
      <c r="BY113" s="46"/>
      <c r="BZ113" s="46"/>
      <c r="CA113" s="257"/>
      <c r="CB113" s="196"/>
      <c r="CC113" s="46"/>
      <c r="CD113" s="257"/>
      <c r="CE113" s="46"/>
      <c r="CF113" s="46"/>
      <c r="CG113" s="257"/>
      <c r="CH113" s="46"/>
      <c r="CI113" s="46"/>
      <c r="CJ113" s="46"/>
      <c r="CK113" s="46"/>
      <c r="CL113" s="46"/>
      <c r="CM113" s="257"/>
      <c r="CN113" s="46"/>
      <c r="CO113" s="376"/>
      <c r="CP113" s="257"/>
      <c r="CQ113" s="196" t="s">
        <v>247</v>
      </c>
      <c r="CR113" s="191" t="s">
        <v>653</v>
      </c>
      <c r="CS113" s="257">
        <f t="shared" si="9"/>
        <v>98000</v>
      </c>
      <c r="CT113" s="196"/>
      <c r="CU113" s="317"/>
      <c r="CV113" s="391">
        <f t="shared" si="8"/>
        <v>0</v>
      </c>
      <c r="CW113" s="41"/>
      <c r="CX113" s="41"/>
      <c r="CY113" s="256"/>
      <c r="CZ113" s="308"/>
      <c r="DA113" s="308"/>
      <c r="DB113" s="420"/>
      <c r="DC113" s="41">
        <v>6</v>
      </c>
      <c r="DD113" s="41">
        <v>98</v>
      </c>
      <c r="DE113" s="256">
        <f>DD113*1000</f>
        <v>98000</v>
      </c>
      <c r="DF113" s="41"/>
      <c r="DG113" s="41"/>
      <c r="DH113" s="391"/>
      <c r="DI113" s="41"/>
      <c r="DJ113" s="41"/>
      <c r="DK113" s="203"/>
      <c r="DL113" s="256"/>
      <c r="DM113" s="41"/>
      <c r="DN113" s="41"/>
      <c r="DO113" s="41"/>
      <c r="DP113" s="420"/>
      <c r="DQ113" s="41"/>
      <c r="DR113" s="41"/>
      <c r="DS113" s="203"/>
      <c r="DT113" s="256"/>
      <c r="DU113" s="46"/>
      <c r="DV113" s="46"/>
      <c r="DW113" s="196"/>
      <c r="DX113" s="391"/>
      <c r="DY113" s="41"/>
      <c r="DZ113" s="41"/>
      <c r="EA113" s="41"/>
      <c r="EB113" s="69"/>
      <c r="EC113" s="41"/>
      <c r="ED113" s="41"/>
      <c r="EE113" s="41"/>
      <c r="EF113" s="420"/>
      <c r="EG113" s="41"/>
      <c r="EH113" s="41"/>
      <c r="EI113" s="41"/>
      <c r="EJ113" s="256"/>
      <c r="EK113" s="41"/>
      <c r="EL113" s="41"/>
      <c r="EM113" s="41"/>
      <c r="EN113" s="391"/>
    </row>
    <row r="114" spans="1:144" ht="25.5">
      <c r="A114" s="45">
        <v>107</v>
      </c>
      <c r="B114" s="53" t="s">
        <v>301</v>
      </c>
      <c r="C114" s="45">
        <v>1</v>
      </c>
      <c r="D114" s="53" t="s">
        <v>253</v>
      </c>
      <c r="E114" s="54">
        <v>6</v>
      </c>
      <c r="F114" s="54">
        <v>7</v>
      </c>
      <c r="G114" s="397">
        <f>45596.88/1000</f>
        <v>45.596879999999999</v>
      </c>
      <c r="H114" s="59">
        <v>0</v>
      </c>
      <c r="I114" s="59">
        <v>45596.88</v>
      </c>
      <c r="J114" s="398">
        <v>177.19012999999998</v>
      </c>
      <c r="K114" s="414">
        <f t="shared" si="6"/>
        <v>222.78700999999998</v>
      </c>
      <c r="L114" s="397"/>
      <c r="M114" s="397"/>
      <c r="N114" s="397">
        <f t="shared" si="5"/>
        <v>222.78700999999998</v>
      </c>
      <c r="O114" s="399">
        <f t="shared" si="7"/>
        <v>198</v>
      </c>
      <c r="P114" s="196"/>
      <c r="Q114" s="46"/>
      <c r="R114" s="196"/>
      <c r="S114" s="257"/>
      <c r="T114" s="196"/>
      <c r="U114" s="46"/>
      <c r="V114" s="46"/>
      <c r="W114" s="257"/>
      <c r="X114" s="46"/>
      <c r="Y114" s="46"/>
      <c r="Z114" s="46"/>
      <c r="AA114" s="257"/>
      <c r="AB114" s="196"/>
      <c r="AC114" s="46"/>
      <c r="AD114" s="46"/>
      <c r="AE114" s="257"/>
      <c r="AF114" s="196"/>
      <c r="AG114" s="46"/>
      <c r="AH114" s="46"/>
      <c r="AI114" s="196"/>
      <c r="AJ114" s="400"/>
      <c r="AK114" s="196"/>
      <c r="AL114" s="46"/>
      <c r="AM114" s="218"/>
      <c r="AN114" s="257"/>
      <c r="AO114" s="196"/>
      <c r="AP114" s="46"/>
      <c r="AQ114" s="257"/>
      <c r="AR114" s="196"/>
      <c r="AS114" s="46"/>
      <c r="AT114" s="257"/>
      <c r="AU114" s="196" t="s">
        <v>227</v>
      </c>
      <c r="AV114" s="46">
        <v>46</v>
      </c>
      <c r="AW114" s="257">
        <f>AV114*3000</f>
        <v>138000</v>
      </c>
      <c r="AX114" s="196"/>
      <c r="AY114" s="46"/>
      <c r="AZ114" s="257"/>
      <c r="BA114" s="46"/>
      <c r="BB114" s="46"/>
      <c r="BC114" s="46"/>
      <c r="BD114" s="46"/>
      <c r="BE114" s="46"/>
      <c r="BF114" s="257"/>
      <c r="BG114" s="46"/>
      <c r="BH114" s="46"/>
      <c r="BI114" s="46"/>
      <c r="BJ114" s="196"/>
      <c r="BK114" s="46"/>
      <c r="BL114" s="46"/>
      <c r="BM114" s="46"/>
      <c r="BN114" s="46"/>
      <c r="BO114" s="257"/>
      <c r="BP114" s="196"/>
      <c r="BQ114" s="46"/>
      <c r="BR114" s="257"/>
      <c r="BS114" s="46"/>
      <c r="BT114" s="46"/>
      <c r="BU114" s="257"/>
      <c r="BV114" s="196"/>
      <c r="BW114" s="46"/>
      <c r="BX114" s="46"/>
      <c r="BY114" s="46"/>
      <c r="BZ114" s="46"/>
      <c r="CA114" s="257"/>
      <c r="CB114" s="196"/>
      <c r="CC114" s="46"/>
      <c r="CD114" s="257"/>
      <c r="CE114" s="46"/>
      <c r="CF114" s="46"/>
      <c r="CG114" s="257"/>
      <c r="CH114" s="46"/>
      <c r="CI114" s="46"/>
      <c r="CJ114" s="46"/>
      <c r="CK114" s="46"/>
      <c r="CL114" s="46"/>
      <c r="CM114" s="257"/>
      <c r="CN114" s="46"/>
      <c r="CO114" s="376"/>
      <c r="CP114" s="257"/>
      <c r="CQ114" s="196" t="s">
        <v>247</v>
      </c>
      <c r="CR114" s="190" t="s">
        <v>654</v>
      </c>
      <c r="CS114" s="257">
        <f>CY114+DE114+DL114+DT114+EB114+EJ114+20000</f>
        <v>60000</v>
      </c>
      <c r="CT114" s="196"/>
      <c r="CU114" s="317"/>
      <c r="CV114" s="391">
        <f t="shared" si="8"/>
        <v>0</v>
      </c>
      <c r="CW114" s="41"/>
      <c r="CX114" s="41"/>
      <c r="CY114" s="256"/>
      <c r="CZ114" s="308"/>
      <c r="DA114" s="308"/>
      <c r="DB114" s="420"/>
      <c r="DC114" s="41"/>
      <c r="DD114" s="41"/>
      <c r="DE114" s="256"/>
      <c r="DF114" s="41"/>
      <c r="DG114" s="41"/>
      <c r="DH114" s="391"/>
      <c r="DI114" s="41"/>
      <c r="DJ114" s="41"/>
      <c r="DK114" s="203"/>
      <c r="DL114" s="256"/>
      <c r="DM114" s="41"/>
      <c r="DN114" s="41"/>
      <c r="DO114" s="41"/>
      <c r="DP114" s="420"/>
      <c r="DQ114" s="41">
        <v>6</v>
      </c>
      <c r="DR114" s="41">
        <v>1</v>
      </c>
      <c r="DS114" s="203" t="s">
        <v>560</v>
      </c>
      <c r="DT114" s="256">
        <v>40000</v>
      </c>
      <c r="DU114" s="46"/>
      <c r="DV114" s="46"/>
      <c r="DW114" s="196"/>
      <c r="DX114" s="391"/>
      <c r="DY114" s="41"/>
      <c r="DZ114" s="41"/>
      <c r="EA114" s="41"/>
      <c r="EB114" s="69"/>
      <c r="EC114" s="41"/>
      <c r="ED114" s="41"/>
      <c r="EE114" s="41"/>
      <c r="EF114" s="420"/>
      <c r="EG114" s="41"/>
      <c r="EH114" s="41"/>
      <c r="EI114" s="41"/>
      <c r="EJ114" s="256"/>
      <c r="EK114" s="41"/>
      <c r="EL114" s="41"/>
      <c r="EM114" s="41"/>
      <c r="EN114" s="391"/>
    </row>
    <row r="115" spans="1:144" ht="25.5">
      <c r="A115" s="45">
        <v>108</v>
      </c>
      <c r="B115" s="53" t="s">
        <v>301</v>
      </c>
      <c r="C115" s="45">
        <v>1</v>
      </c>
      <c r="D115" s="55" t="s">
        <v>253</v>
      </c>
      <c r="E115" s="54">
        <v>7</v>
      </c>
      <c r="F115" s="54">
        <v>7</v>
      </c>
      <c r="G115" s="397">
        <f>45847.872/1000</f>
        <v>45.847872000000002</v>
      </c>
      <c r="H115" s="59">
        <v>0</v>
      </c>
      <c r="I115" s="59">
        <v>45847.872000000003</v>
      </c>
      <c r="J115" s="398">
        <v>75.201859999999968</v>
      </c>
      <c r="K115" s="414">
        <f t="shared" si="6"/>
        <v>121.04973199999998</v>
      </c>
      <c r="L115" s="397"/>
      <c r="M115" s="397"/>
      <c r="N115" s="397">
        <f t="shared" si="5"/>
        <v>121.04973199999998</v>
      </c>
      <c r="O115" s="399">
        <f t="shared" si="7"/>
        <v>85</v>
      </c>
      <c r="P115" s="196"/>
      <c r="Q115" s="46"/>
      <c r="R115" s="196"/>
      <c r="S115" s="257"/>
      <c r="T115" s="196"/>
      <c r="U115" s="46"/>
      <c r="V115" s="46"/>
      <c r="W115" s="257"/>
      <c r="X115" s="46"/>
      <c r="Y115" s="46"/>
      <c r="Z115" s="46"/>
      <c r="AA115" s="257"/>
      <c r="AB115" s="196"/>
      <c r="AC115" s="46"/>
      <c r="AD115" s="46"/>
      <c r="AE115" s="257"/>
      <c r="AF115" s="196"/>
      <c r="AG115" s="46"/>
      <c r="AH115" s="249"/>
      <c r="AI115" s="196"/>
      <c r="AJ115" s="400"/>
      <c r="AK115" s="196"/>
      <c r="AL115" s="46"/>
      <c r="AM115" s="218"/>
      <c r="AN115" s="257"/>
      <c r="AO115" s="196"/>
      <c r="AP115" s="46"/>
      <c r="AQ115" s="257"/>
      <c r="AR115" s="196"/>
      <c r="AS115" s="46"/>
      <c r="AT115" s="257"/>
      <c r="AU115" s="196"/>
      <c r="AV115" s="46"/>
      <c r="AW115" s="257"/>
      <c r="AX115" s="196"/>
      <c r="AY115" s="46"/>
      <c r="AZ115" s="257"/>
      <c r="BA115" s="46"/>
      <c r="BB115" s="46"/>
      <c r="BC115" s="46"/>
      <c r="BD115" s="46"/>
      <c r="BE115" s="46"/>
      <c r="BF115" s="257"/>
      <c r="BG115" s="46"/>
      <c r="BH115" s="46"/>
      <c r="BI115" s="46"/>
      <c r="BJ115" s="196"/>
      <c r="BK115" s="46"/>
      <c r="BL115" s="46"/>
      <c r="BM115" s="46"/>
      <c r="BN115" s="46"/>
      <c r="BO115" s="257"/>
      <c r="BP115" s="196"/>
      <c r="BQ115" s="46"/>
      <c r="BR115" s="257"/>
      <c r="BS115" s="46"/>
      <c r="BT115" s="46"/>
      <c r="BU115" s="257"/>
      <c r="BV115" s="196"/>
      <c r="BW115" s="46"/>
      <c r="BX115" s="46"/>
      <c r="BY115" s="46"/>
      <c r="BZ115" s="46"/>
      <c r="CA115" s="257"/>
      <c r="CB115" s="196"/>
      <c r="CC115" s="46"/>
      <c r="CD115" s="257"/>
      <c r="CE115" s="46"/>
      <c r="CF115" s="46"/>
      <c r="CG115" s="257"/>
      <c r="CH115" s="46"/>
      <c r="CI115" s="46"/>
      <c r="CJ115" s="46"/>
      <c r="CK115" s="46"/>
      <c r="CL115" s="46"/>
      <c r="CM115" s="257"/>
      <c r="CN115" s="46"/>
      <c r="CO115" s="376"/>
      <c r="CP115" s="257"/>
      <c r="CQ115" s="196" t="s">
        <v>247</v>
      </c>
      <c r="CR115" s="190" t="s">
        <v>655</v>
      </c>
      <c r="CS115" s="257">
        <f t="shared" si="9"/>
        <v>85000</v>
      </c>
      <c r="CT115" s="196"/>
      <c r="CU115" s="317"/>
      <c r="CV115" s="391">
        <f t="shared" si="8"/>
        <v>0</v>
      </c>
      <c r="CW115" s="41"/>
      <c r="CX115" s="41"/>
      <c r="CY115" s="256"/>
      <c r="CZ115" s="308"/>
      <c r="DA115" s="308"/>
      <c r="DB115" s="420"/>
      <c r="DC115" s="41">
        <v>7</v>
      </c>
      <c r="DD115" s="41">
        <v>45</v>
      </c>
      <c r="DE115" s="256">
        <v>45000</v>
      </c>
      <c r="DF115" s="41"/>
      <c r="DG115" s="41"/>
      <c r="DH115" s="391"/>
      <c r="DI115" s="41"/>
      <c r="DJ115" s="41"/>
      <c r="DK115" s="203"/>
      <c r="DL115" s="256"/>
      <c r="DM115" s="41"/>
      <c r="DN115" s="41"/>
      <c r="DO115" s="41"/>
      <c r="DP115" s="420"/>
      <c r="DQ115" s="41">
        <v>6</v>
      </c>
      <c r="DR115" s="41">
        <v>2</v>
      </c>
      <c r="DS115" s="203" t="s">
        <v>560</v>
      </c>
      <c r="DT115" s="256">
        <v>40000</v>
      </c>
      <c r="DU115" s="46"/>
      <c r="DV115" s="46"/>
      <c r="DW115" s="196"/>
      <c r="DX115" s="391"/>
      <c r="DY115" s="41"/>
      <c r="DZ115" s="41"/>
      <c r="EA115" s="41"/>
      <c r="EB115" s="69"/>
      <c r="EC115" s="41"/>
      <c r="ED115" s="41"/>
      <c r="EE115" s="41"/>
      <c r="EF115" s="420"/>
      <c r="EG115" s="41"/>
      <c r="EH115" s="41"/>
      <c r="EI115" s="41"/>
      <c r="EJ115" s="256"/>
      <c r="EK115" s="41"/>
      <c r="EL115" s="41"/>
      <c r="EM115" s="41"/>
      <c r="EN115" s="391"/>
    </row>
    <row r="116" spans="1:144" ht="25.5">
      <c r="A116" s="45">
        <v>109</v>
      </c>
      <c r="B116" s="53" t="s">
        <v>301</v>
      </c>
      <c r="C116" s="45">
        <v>1</v>
      </c>
      <c r="D116" s="55" t="s">
        <v>253</v>
      </c>
      <c r="E116" s="54">
        <v>8</v>
      </c>
      <c r="F116" s="54">
        <v>7</v>
      </c>
      <c r="G116" s="397">
        <f>45711.918/1000</f>
        <v>45.711917999999997</v>
      </c>
      <c r="H116" s="59">
        <v>0</v>
      </c>
      <c r="I116" s="59">
        <v>45711.918000000005</v>
      </c>
      <c r="J116" s="398">
        <v>135.74328800000001</v>
      </c>
      <c r="K116" s="414">
        <f t="shared" si="6"/>
        <v>181.455206</v>
      </c>
      <c r="L116" s="397"/>
      <c r="M116" s="397"/>
      <c r="N116" s="397">
        <f t="shared" si="5"/>
        <v>181.455206</v>
      </c>
      <c r="O116" s="399">
        <f t="shared" si="7"/>
        <v>180</v>
      </c>
      <c r="P116" s="196"/>
      <c r="Q116" s="46"/>
      <c r="R116" s="196"/>
      <c r="S116" s="257"/>
      <c r="T116" s="196"/>
      <c r="U116" s="46"/>
      <c r="V116" s="46"/>
      <c r="W116" s="257"/>
      <c r="X116" s="46"/>
      <c r="Y116" s="46"/>
      <c r="Z116" s="46"/>
      <c r="AA116" s="257"/>
      <c r="AB116" s="196"/>
      <c r="AC116" s="46"/>
      <c r="AD116" s="46"/>
      <c r="AE116" s="257"/>
      <c r="AF116" s="196"/>
      <c r="AG116" s="46"/>
      <c r="AH116" s="46"/>
      <c r="AI116" s="196"/>
      <c r="AJ116" s="400"/>
      <c r="AK116" s="196"/>
      <c r="AL116" s="46"/>
      <c r="AM116" s="218"/>
      <c r="AN116" s="257"/>
      <c r="AO116" s="196"/>
      <c r="AP116" s="46"/>
      <c r="AQ116" s="257"/>
      <c r="AR116" s="196"/>
      <c r="AS116" s="46"/>
      <c r="AT116" s="257"/>
      <c r="AU116" s="196"/>
      <c r="AV116" s="46"/>
      <c r="AW116" s="257"/>
      <c r="AX116" s="196"/>
      <c r="AY116" s="46"/>
      <c r="AZ116" s="257"/>
      <c r="BA116" s="46"/>
      <c r="BB116" s="46"/>
      <c r="BC116" s="46"/>
      <c r="BD116" s="46"/>
      <c r="BE116" s="46"/>
      <c r="BF116" s="257"/>
      <c r="BG116" s="46"/>
      <c r="BH116" s="46"/>
      <c r="BI116" s="46"/>
      <c r="BJ116" s="196"/>
      <c r="BK116" s="46"/>
      <c r="BL116" s="46"/>
      <c r="BM116" s="46"/>
      <c r="BN116" s="46"/>
      <c r="BO116" s="257"/>
      <c r="BP116" s="196"/>
      <c r="BQ116" s="46"/>
      <c r="BR116" s="257"/>
      <c r="BS116" s="46"/>
      <c r="BT116" s="46"/>
      <c r="BU116" s="257"/>
      <c r="BV116" s="196"/>
      <c r="BW116" s="46"/>
      <c r="BX116" s="46"/>
      <c r="BY116" s="46"/>
      <c r="BZ116" s="46"/>
      <c r="CA116" s="257"/>
      <c r="CB116" s="196"/>
      <c r="CC116" s="46"/>
      <c r="CD116" s="257"/>
      <c r="CE116" s="46"/>
      <c r="CF116" s="46"/>
      <c r="CG116" s="257"/>
      <c r="CH116" s="46"/>
      <c r="CI116" s="46"/>
      <c r="CJ116" s="46"/>
      <c r="CK116" s="46"/>
      <c r="CL116" s="46"/>
      <c r="CM116" s="257"/>
      <c r="CN116" s="46"/>
      <c r="CO116" s="376"/>
      <c r="CP116" s="257"/>
      <c r="CQ116" s="196"/>
      <c r="CR116" s="191" t="s">
        <v>554</v>
      </c>
      <c r="CS116" s="257">
        <f>CY116+DE116+DL116+DT116+EB116+EJ116+180000</f>
        <v>180000</v>
      </c>
      <c r="CT116" s="196"/>
      <c r="CU116" s="317"/>
      <c r="CV116" s="391">
        <f t="shared" si="8"/>
        <v>0</v>
      </c>
      <c r="CW116" s="41"/>
      <c r="CX116" s="41"/>
      <c r="CY116" s="256"/>
      <c r="CZ116" s="308"/>
      <c r="DA116" s="308"/>
      <c r="DB116" s="420"/>
      <c r="DC116" s="41"/>
      <c r="DD116" s="41"/>
      <c r="DE116" s="256"/>
      <c r="DF116" s="41"/>
      <c r="DG116" s="41"/>
      <c r="DH116" s="391"/>
      <c r="DI116" s="41"/>
      <c r="DJ116" s="41"/>
      <c r="DK116" s="203"/>
      <c r="DL116" s="256"/>
      <c r="DM116" s="41"/>
      <c r="DN116" s="41"/>
      <c r="DO116" s="41"/>
      <c r="DP116" s="420"/>
      <c r="DQ116" s="41"/>
      <c r="DR116" s="41"/>
      <c r="DS116" s="203"/>
      <c r="DT116" s="256"/>
      <c r="DU116" s="46"/>
      <c r="DV116" s="46"/>
      <c r="DW116" s="196"/>
      <c r="DX116" s="391"/>
      <c r="DY116" s="41"/>
      <c r="DZ116" s="41"/>
      <c r="EA116" s="41"/>
      <c r="EB116" s="69"/>
      <c r="EC116" s="41"/>
      <c r="ED116" s="41"/>
      <c r="EE116" s="41"/>
      <c r="EF116" s="420"/>
      <c r="EG116" s="41"/>
      <c r="EH116" s="41"/>
      <c r="EI116" s="41"/>
      <c r="EJ116" s="256"/>
      <c r="EK116" s="41"/>
      <c r="EL116" s="41"/>
      <c r="EM116" s="41"/>
      <c r="EN116" s="391"/>
    </row>
    <row r="117" spans="1:144" ht="25.5">
      <c r="A117" s="45">
        <v>110</v>
      </c>
      <c r="B117" s="53" t="s">
        <v>301</v>
      </c>
      <c r="C117" s="45">
        <v>1</v>
      </c>
      <c r="D117" s="55" t="s">
        <v>253</v>
      </c>
      <c r="E117" s="54">
        <v>9</v>
      </c>
      <c r="F117" s="54">
        <v>7</v>
      </c>
      <c r="G117" s="397">
        <f>45565.506/1000</f>
        <v>45.565505999999999</v>
      </c>
      <c r="H117" s="59">
        <v>0</v>
      </c>
      <c r="I117" s="59">
        <v>45565.506000000001</v>
      </c>
      <c r="J117" s="398">
        <v>128.81714600000004</v>
      </c>
      <c r="K117" s="414">
        <f t="shared" si="6"/>
        <v>174.38265200000004</v>
      </c>
      <c r="L117" s="397"/>
      <c r="M117" s="397"/>
      <c r="N117" s="397">
        <f t="shared" si="5"/>
        <v>174.38265200000004</v>
      </c>
      <c r="O117" s="399">
        <f t="shared" si="7"/>
        <v>170</v>
      </c>
      <c r="P117" s="196"/>
      <c r="Q117" s="46"/>
      <c r="R117" s="196"/>
      <c r="S117" s="257"/>
      <c r="T117" s="196"/>
      <c r="U117" s="46"/>
      <c r="V117" s="46"/>
      <c r="W117" s="257"/>
      <c r="X117" s="46"/>
      <c r="Y117" s="46"/>
      <c r="Z117" s="46"/>
      <c r="AA117" s="257"/>
      <c r="AB117" s="196"/>
      <c r="AC117" s="46"/>
      <c r="AD117" s="46"/>
      <c r="AE117" s="257"/>
      <c r="AF117" s="196"/>
      <c r="AG117" s="46"/>
      <c r="AH117" s="46"/>
      <c r="AI117" s="196"/>
      <c r="AJ117" s="400"/>
      <c r="AK117" s="196"/>
      <c r="AL117" s="46"/>
      <c r="AM117" s="218"/>
      <c r="AN117" s="257"/>
      <c r="AO117" s="196"/>
      <c r="AP117" s="46"/>
      <c r="AQ117" s="257"/>
      <c r="AR117" s="196"/>
      <c r="AS117" s="46"/>
      <c r="AT117" s="257"/>
      <c r="AU117" s="196"/>
      <c r="AV117" s="46"/>
      <c r="AW117" s="257"/>
      <c r="AX117" s="196"/>
      <c r="AY117" s="46"/>
      <c r="AZ117" s="257"/>
      <c r="BA117" s="46"/>
      <c r="BB117" s="46"/>
      <c r="BC117" s="46"/>
      <c r="BD117" s="46"/>
      <c r="BE117" s="46"/>
      <c r="BF117" s="257"/>
      <c r="BG117" s="46"/>
      <c r="BH117" s="46"/>
      <c r="BI117" s="46"/>
      <c r="BJ117" s="196"/>
      <c r="BK117" s="46"/>
      <c r="BL117" s="46"/>
      <c r="BM117" s="46"/>
      <c r="BN117" s="46"/>
      <c r="BO117" s="257"/>
      <c r="BP117" s="196"/>
      <c r="BQ117" s="46"/>
      <c r="BR117" s="257"/>
      <c r="BS117" s="46"/>
      <c r="BT117" s="46"/>
      <c r="BU117" s="257"/>
      <c r="BV117" s="196"/>
      <c r="BW117" s="46"/>
      <c r="BX117" s="46"/>
      <c r="BY117" s="46"/>
      <c r="BZ117" s="46"/>
      <c r="CA117" s="257"/>
      <c r="CB117" s="196"/>
      <c r="CC117" s="46"/>
      <c r="CD117" s="257"/>
      <c r="CE117" s="46"/>
      <c r="CF117" s="46"/>
      <c r="CG117" s="257"/>
      <c r="CH117" s="46"/>
      <c r="CI117" s="46"/>
      <c r="CJ117" s="46"/>
      <c r="CK117" s="46"/>
      <c r="CL117" s="46"/>
      <c r="CM117" s="257"/>
      <c r="CN117" s="46"/>
      <c r="CO117" s="376"/>
      <c r="CP117" s="257"/>
      <c r="CQ117" s="196"/>
      <c r="CR117" s="190" t="s">
        <v>554</v>
      </c>
      <c r="CS117" s="257">
        <f>CY117+DE117+DL117+DT117+EB117+EJ117+170000</f>
        <v>170000</v>
      </c>
      <c r="CT117" s="196"/>
      <c r="CU117" s="317"/>
      <c r="CV117" s="391">
        <f t="shared" si="8"/>
        <v>0</v>
      </c>
      <c r="CW117" s="41"/>
      <c r="CX117" s="41"/>
      <c r="CY117" s="256"/>
      <c r="CZ117" s="308"/>
      <c r="DA117" s="308"/>
      <c r="DB117" s="420"/>
      <c r="DC117" s="41"/>
      <c r="DD117" s="41"/>
      <c r="DE117" s="256"/>
      <c r="DF117" s="41"/>
      <c r="DG117" s="41"/>
      <c r="DH117" s="391"/>
      <c r="DI117" s="41"/>
      <c r="DJ117" s="41"/>
      <c r="DK117" s="203"/>
      <c r="DL117" s="256"/>
      <c r="DM117" s="41"/>
      <c r="DN117" s="41"/>
      <c r="DO117" s="41"/>
      <c r="DP117" s="420"/>
      <c r="DQ117" s="41"/>
      <c r="DR117" s="41"/>
      <c r="DS117" s="203"/>
      <c r="DT117" s="256"/>
      <c r="DU117" s="46"/>
      <c r="DV117" s="46"/>
      <c r="DW117" s="196"/>
      <c r="DX117" s="391"/>
      <c r="DY117" s="41"/>
      <c r="DZ117" s="41"/>
      <c r="EA117" s="41"/>
      <c r="EB117" s="69"/>
      <c r="EC117" s="41"/>
      <c r="ED117" s="41"/>
      <c r="EE117" s="41"/>
      <c r="EF117" s="420"/>
      <c r="EG117" s="41"/>
      <c r="EH117" s="41"/>
      <c r="EI117" s="41"/>
      <c r="EJ117" s="256"/>
      <c r="EK117" s="41"/>
      <c r="EL117" s="41"/>
      <c r="EM117" s="41"/>
      <c r="EN117" s="391"/>
    </row>
    <row r="118" spans="1:144" ht="25.5">
      <c r="A118" s="45">
        <v>111</v>
      </c>
      <c r="B118" s="53" t="s">
        <v>301</v>
      </c>
      <c r="C118" s="45">
        <v>1</v>
      </c>
      <c r="D118" s="55" t="s">
        <v>253</v>
      </c>
      <c r="E118" s="54">
        <v>12</v>
      </c>
      <c r="F118" s="54">
        <v>5</v>
      </c>
      <c r="G118" s="397">
        <f>53488.512/1000</f>
        <v>53.488512</v>
      </c>
      <c r="H118" s="59">
        <v>53488.512000000002</v>
      </c>
      <c r="I118" s="59">
        <v>0</v>
      </c>
      <c r="J118" s="398">
        <v>174.61136999999999</v>
      </c>
      <c r="K118" s="414">
        <f t="shared" si="6"/>
        <v>228.09988199999998</v>
      </c>
      <c r="L118" s="397"/>
      <c r="M118" s="397"/>
      <c r="N118" s="397">
        <f t="shared" si="5"/>
        <v>228.09988199999998</v>
      </c>
      <c r="O118" s="399">
        <f t="shared" si="7"/>
        <v>230</v>
      </c>
      <c r="P118" s="196" t="s">
        <v>225</v>
      </c>
      <c r="Q118" s="46">
        <v>1</v>
      </c>
      <c r="R118" s="196" t="s">
        <v>224</v>
      </c>
      <c r="S118" s="257">
        <v>90000</v>
      </c>
      <c r="T118" s="196"/>
      <c r="U118" s="46"/>
      <c r="V118" s="46"/>
      <c r="W118" s="257"/>
      <c r="X118" s="46"/>
      <c r="Y118" s="46"/>
      <c r="Z118" s="46"/>
      <c r="AA118" s="257"/>
      <c r="AB118" s="196"/>
      <c r="AC118" s="46"/>
      <c r="AD118" s="46"/>
      <c r="AE118" s="257"/>
      <c r="AF118" s="196"/>
      <c r="AG118" s="46"/>
      <c r="AH118" s="46"/>
      <c r="AI118" s="196"/>
      <c r="AJ118" s="400"/>
      <c r="AK118" s="196"/>
      <c r="AL118" s="46"/>
      <c r="AM118" s="218"/>
      <c r="AN118" s="257"/>
      <c r="AO118" s="196"/>
      <c r="AP118" s="46"/>
      <c r="AQ118" s="257"/>
      <c r="AR118" s="196"/>
      <c r="AS118" s="46"/>
      <c r="AT118" s="257"/>
      <c r="AU118" s="196"/>
      <c r="AV118" s="191"/>
      <c r="AW118" s="257"/>
      <c r="AX118" s="196"/>
      <c r="AY118" s="46"/>
      <c r="AZ118" s="257"/>
      <c r="BA118" s="46"/>
      <c r="BB118" s="46"/>
      <c r="BC118" s="46"/>
      <c r="BD118" s="46"/>
      <c r="BE118" s="46"/>
      <c r="BF118" s="257"/>
      <c r="BG118" s="46"/>
      <c r="BH118" s="46"/>
      <c r="BI118" s="46"/>
      <c r="BJ118" s="196"/>
      <c r="BK118" s="46"/>
      <c r="BL118" s="46"/>
      <c r="BM118" s="46"/>
      <c r="BN118" s="46"/>
      <c r="BO118" s="257"/>
      <c r="BP118" s="196"/>
      <c r="BQ118" s="46"/>
      <c r="BR118" s="257"/>
      <c r="BS118" s="46"/>
      <c r="BT118" s="46"/>
      <c r="BU118" s="257"/>
      <c r="BV118" s="196"/>
      <c r="BW118" s="46"/>
      <c r="BX118" s="46"/>
      <c r="BY118" s="46"/>
      <c r="BZ118" s="46"/>
      <c r="CA118" s="257"/>
      <c r="CB118" s="196"/>
      <c r="CC118" s="46"/>
      <c r="CD118" s="257"/>
      <c r="CE118" s="46"/>
      <c r="CF118" s="46"/>
      <c r="CG118" s="257"/>
      <c r="CH118" s="46"/>
      <c r="CI118" s="46"/>
      <c r="CJ118" s="46"/>
      <c r="CK118" s="46"/>
      <c r="CL118" s="46"/>
      <c r="CM118" s="257"/>
      <c r="CN118" s="46"/>
      <c r="CO118" s="376"/>
      <c r="CP118" s="257"/>
      <c r="CQ118" s="196"/>
      <c r="CR118" s="286" t="s">
        <v>554</v>
      </c>
      <c r="CS118" s="257">
        <f>CY118+DE118+DL118+DT118+EB118+EJ118+140000</f>
        <v>140000</v>
      </c>
      <c r="CT118" s="196"/>
      <c r="CU118" s="317"/>
      <c r="CV118" s="391">
        <f t="shared" si="8"/>
        <v>0</v>
      </c>
      <c r="CW118" s="41"/>
      <c r="CX118" s="41"/>
      <c r="CY118" s="256"/>
      <c r="CZ118" s="308"/>
      <c r="DA118" s="308"/>
      <c r="DB118" s="420"/>
      <c r="DC118" s="41"/>
      <c r="DD118" s="41"/>
      <c r="DE118" s="256"/>
      <c r="DF118" s="41"/>
      <c r="DG118" s="41"/>
      <c r="DH118" s="391"/>
      <c r="DI118" s="41"/>
      <c r="DJ118" s="41"/>
      <c r="DK118" s="203"/>
      <c r="DL118" s="256"/>
      <c r="DM118" s="41"/>
      <c r="DN118" s="41"/>
      <c r="DO118" s="41"/>
      <c r="DP118" s="420"/>
      <c r="DQ118" s="41"/>
      <c r="DR118" s="41"/>
      <c r="DS118" s="203"/>
      <c r="DT118" s="256"/>
      <c r="DU118" s="46"/>
      <c r="DV118" s="46"/>
      <c r="DW118" s="196"/>
      <c r="DX118" s="391"/>
      <c r="DY118" s="41"/>
      <c r="DZ118" s="41"/>
      <c r="EA118" s="41"/>
      <c r="EB118" s="69"/>
      <c r="EC118" s="41"/>
      <c r="ED118" s="41"/>
      <c r="EE118" s="41"/>
      <c r="EF118" s="420"/>
      <c r="EG118" s="41"/>
      <c r="EH118" s="41"/>
      <c r="EI118" s="41"/>
      <c r="EJ118" s="256"/>
      <c r="EK118" s="41"/>
      <c r="EL118" s="41"/>
      <c r="EM118" s="41"/>
      <c r="EN118" s="391"/>
    </row>
    <row r="119" spans="1:144" ht="45.75">
      <c r="A119" s="45">
        <v>112</v>
      </c>
      <c r="B119" s="53" t="s">
        <v>301</v>
      </c>
      <c r="C119" s="45">
        <v>1</v>
      </c>
      <c r="D119" s="55" t="s">
        <v>253</v>
      </c>
      <c r="E119" s="54">
        <v>17</v>
      </c>
      <c r="F119" s="54">
        <v>5</v>
      </c>
      <c r="G119" s="397">
        <f>267991.416/1000</f>
        <v>267.99141600000002</v>
      </c>
      <c r="H119" s="59">
        <v>267991.41600000003</v>
      </c>
      <c r="I119" s="59">
        <v>0</v>
      </c>
      <c r="J119" s="398">
        <v>-116.03172000000005</v>
      </c>
      <c r="K119" s="414">
        <f t="shared" si="6"/>
        <v>151.95969599999995</v>
      </c>
      <c r="L119" s="397"/>
      <c r="M119" s="397"/>
      <c r="N119" s="397">
        <f t="shared" si="5"/>
        <v>151.95969599999995</v>
      </c>
      <c r="O119" s="399">
        <f t="shared" si="7"/>
        <v>142.19999999999999</v>
      </c>
      <c r="P119" s="196"/>
      <c r="Q119" s="46"/>
      <c r="R119" s="196"/>
      <c r="S119" s="257"/>
      <c r="T119" s="196"/>
      <c r="U119" s="46"/>
      <c r="V119" s="46"/>
      <c r="W119" s="257"/>
      <c r="X119" s="46"/>
      <c r="Y119" s="46"/>
      <c r="Z119" s="46"/>
      <c r="AA119" s="257"/>
      <c r="AB119" s="196"/>
      <c r="AC119" s="46"/>
      <c r="AD119" s="46"/>
      <c r="AE119" s="257"/>
      <c r="AF119" s="248"/>
      <c r="AG119" s="46"/>
      <c r="AH119" s="46"/>
      <c r="AI119" s="196"/>
      <c r="AJ119" s="400"/>
      <c r="AK119" s="196"/>
      <c r="AL119" s="46"/>
      <c r="AM119" s="218"/>
      <c r="AN119" s="257"/>
      <c r="AO119" s="196"/>
      <c r="AP119" s="46"/>
      <c r="AQ119" s="257"/>
      <c r="AR119" s="196"/>
      <c r="AS119" s="46"/>
      <c r="AT119" s="257"/>
      <c r="AU119" s="196" t="s">
        <v>228</v>
      </c>
      <c r="AV119" s="190" t="s">
        <v>656</v>
      </c>
      <c r="AW119" s="257">
        <f>36000+75000</f>
        <v>111000</v>
      </c>
      <c r="AX119" s="196" t="s">
        <v>250</v>
      </c>
      <c r="AY119" s="46" t="s">
        <v>657</v>
      </c>
      <c r="AZ119" s="257">
        <v>31200</v>
      </c>
      <c r="BA119" s="46"/>
      <c r="BB119" s="46"/>
      <c r="BC119" s="46"/>
      <c r="BD119" s="46"/>
      <c r="BE119" s="46"/>
      <c r="BF119" s="257"/>
      <c r="BG119" s="46"/>
      <c r="BH119" s="46"/>
      <c r="BI119" s="46"/>
      <c r="BJ119" s="196"/>
      <c r="BK119" s="46"/>
      <c r="BL119" s="46"/>
      <c r="BM119" s="46"/>
      <c r="BN119" s="46"/>
      <c r="BO119" s="257"/>
      <c r="BP119" s="196"/>
      <c r="BQ119" s="46"/>
      <c r="BR119" s="257"/>
      <c r="BS119" s="46"/>
      <c r="BT119" s="46"/>
      <c r="BU119" s="257"/>
      <c r="BV119" s="196"/>
      <c r="BW119" s="46"/>
      <c r="BX119" s="46"/>
      <c r="BY119" s="46"/>
      <c r="BZ119" s="46"/>
      <c r="CA119" s="257"/>
      <c r="CB119" s="196"/>
      <c r="CC119" s="46"/>
      <c r="CD119" s="257"/>
      <c r="CE119" s="46"/>
      <c r="CF119" s="46"/>
      <c r="CG119" s="257"/>
      <c r="CH119" s="46"/>
      <c r="CI119" s="46"/>
      <c r="CJ119" s="46"/>
      <c r="CK119" s="46"/>
      <c r="CL119" s="46"/>
      <c r="CM119" s="257"/>
      <c r="CN119" s="46"/>
      <c r="CO119" s="376"/>
      <c r="CP119" s="257"/>
      <c r="CQ119" s="196"/>
      <c r="CR119" s="523"/>
      <c r="CS119" s="257">
        <f t="shared" si="9"/>
        <v>0</v>
      </c>
      <c r="CT119" s="218" t="s">
        <v>523</v>
      </c>
      <c r="CU119" s="317" t="s">
        <v>778</v>
      </c>
      <c r="CV119" s="391">
        <f>DB119+DH119+DP119+DX119+EF119+EN119+1516.72</f>
        <v>1516.72</v>
      </c>
      <c r="CW119" s="41"/>
      <c r="CX119" s="41"/>
      <c r="CY119" s="256"/>
      <c r="CZ119" s="308"/>
      <c r="DA119" s="308"/>
      <c r="DB119" s="420"/>
      <c r="DC119" s="41"/>
      <c r="DD119" s="41"/>
      <c r="DE119" s="256"/>
      <c r="DF119" s="41"/>
      <c r="DG119" s="41"/>
      <c r="DH119" s="391"/>
      <c r="DI119" s="41"/>
      <c r="DJ119" s="41"/>
      <c r="DK119" s="203"/>
      <c r="DL119" s="256"/>
      <c r="DM119" s="41"/>
      <c r="DN119" s="41"/>
      <c r="DO119" s="41"/>
      <c r="DP119" s="420"/>
      <c r="DQ119" s="41"/>
      <c r="DR119" s="41"/>
      <c r="DS119" s="203"/>
      <c r="DT119" s="256"/>
      <c r="DU119" s="46"/>
      <c r="DV119" s="46"/>
      <c r="DW119" s="196"/>
      <c r="DX119" s="391"/>
      <c r="DY119" s="41"/>
      <c r="DZ119" s="41"/>
      <c r="EA119" s="41"/>
      <c r="EB119" s="69"/>
      <c r="EC119" s="41"/>
      <c r="ED119" s="41"/>
      <c r="EE119" s="41"/>
      <c r="EF119" s="420"/>
      <c r="EG119" s="41"/>
      <c r="EH119" s="41"/>
      <c r="EI119" s="41"/>
      <c r="EJ119" s="256"/>
      <c r="EK119" s="41"/>
      <c r="EL119" s="41"/>
      <c r="EM119" s="41"/>
      <c r="EN119" s="391"/>
    </row>
    <row r="120" spans="1:144" ht="25.5">
      <c r="A120" s="45">
        <v>113</v>
      </c>
      <c r="B120" s="53" t="s">
        <v>301</v>
      </c>
      <c r="C120" s="45">
        <v>1</v>
      </c>
      <c r="D120" s="55" t="s">
        <v>253</v>
      </c>
      <c r="E120" s="54">
        <v>18</v>
      </c>
      <c r="F120" s="54">
        <v>5</v>
      </c>
      <c r="G120" s="397">
        <f>82985.364/1000</f>
        <v>82.985364000000004</v>
      </c>
      <c r="H120" s="59">
        <v>82985.364000000001</v>
      </c>
      <c r="I120" s="59">
        <v>0</v>
      </c>
      <c r="J120" s="398">
        <v>7.7409100000000279</v>
      </c>
      <c r="K120" s="414">
        <f t="shared" si="6"/>
        <v>90.726274000000032</v>
      </c>
      <c r="L120" s="397"/>
      <c r="M120" s="397"/>
      <c r="N120" s="397">
        <f t="shared" si="5"/>
        <v>90.726274000000032</v>
      </c>
      <c r="O120" s="399">
        <f t="shared" si="7"/>
        <v>81</v>
      </c>
      <c r="P120" s="196"/>
      <c r="Q120" s="46"/>
      <c r="R120" s="196"/>
      <c r="S120" s="257"/>
      <c r="T120" s="196"/>
      <c r="U120" s="46"/>
      <c r="V120" s="46"/>
      <c r="W120" s="257"/>
      <c r="X120" s="46"/>
      <c r="Y120" s="46"/>
      <c r="Z120" s="46"/>
      <c r="AA120" s="257"/>
      <c r="AB120" s="196"/>
      <c r="AC120" s="46"/>
      <c r="AD120" s="46"/>
      <c r="AE120" s="257"/>
      <c r="AF120" s="196"/>
      <c r="AG120" s="46"/>
      <c r="AH120" s="46"/>
      <c r="AI120" s="196"/>
      <c r="AJ120" s="400"/>
      <c r="AK120" s="196"/>
      <c r="AL120" s="46"/>
      <c r="AM120" s="218"/>
      <c r="AN120" s="257"/>
      <c r="AO120" s="196"/>
      <c r="AP120" s="46"/>
      <c r="AQ120" s="257"/>
      <c r="AR120" s="196"/>
      <c r="AS120" s="46"/>
      <c r="AT120" s="257"/>
      <c r="AU120" s="196"/>
      <c r="AV120" s="46"/>
      <c r="AW120" s="257"/>
      <c r="AX120" s="196"/>
      <c r="AY120" s="46"/>
      <c r="AZ120" s="257"/>
      <c r="BA120" s="46"/>
      <c r="BB120" s="46"/>
      <c r="BC120" s="46"/>
      <c r="BD120" s="46"/>
      <c r="BE120" s="46"/>
      <c r="BF120" s="257"/>
      <c r="BG120" s="46"/>
      <c r="BH120" s="46"/>
      <c r="BI120" s="46"/>
      <c r="BJ120" s="196"/>
      <c r="BK120" s="46"/>
      <c r="BL120" s="46"/>
      <c r="BM120" s="46"/>
      <c r="BN120" s="46"/>
      <c r="BO120" s="257"/>
      <c r="BP120" s="196"/>
      <c r="BQ120" s="46"/>
      <c r="BR120" s="257"/>
      <c r="BS120" s="46"/>
      <c r="BT120" s="46"/>
      <c r="BU120" s="257"/>
      <c r="BV120" s="196"/>
      <c r="BW120" s="46"/>
      <c r="BX120" s="46"/>
      <c r="BY120" s="46"/>
      <c r="BZ120" s="46"/>
      <c r="CA120" s="257"/>
      <c r="CB120" s="196" t="s">
        <v>247</v>
      </c>
      <c r="CC120" s="46">
        <v>45</v>
      </c>
      <c r="CD120" s="257">
        <f>CC120*1800</f>
        <v>81000</v>
      </c>
      <c r="CE120" s="46"/>
      <c r="CF120" s="46"/>
      <c r="CG120" s="257"/>
      <c r="CH120" s="46"/>
      <c r="CI120" s="46"/>
      <c r="CJ120" s="46"/>
      <c r="CK120" s="46"/>
      <c r="CL120" s="46"/>
      <c r="CM120" s="257"/>
      <c r="CN120" s="46"/>
      <c r="CO120" s="376"/>
      <c r="CP120" s="257"/>
      <c r="CQ120" s="196"/>
      <c r="CR120" s="532"/>
      <c r="CS120" s="257">
        <f t="shared" si="9"/>
        <v>0</v>
      </c>
      <c r="CT120" s="196"/>
      <c r="CU120" s="317"/>
      <c r="CV120" s="391">
        <f t="shared" si="8"/>
        <v>0</v>
      </c>
      <c r="CW120" s="41"/>
      <c r="CX120" s="41"/>
      <c r="CY120" s="256"/>
      <c r="CZ120" s="308"/>
      <c r="DA120" s="308"/>
      <c r="DB120" s="420"/>
      <c r="DC120" s="41"/>
      <c r="DD120" s="41"/>
      <c r="DE120" s="256"/>
      <c r="DF120" s="41"/>
      <c r="DG120" s="41"/>
      <c r="DH120" s="391"/>
      <c r="DI120" s="41"/>
      <c r="DJ120" s="41"/>
      <c r="DK120" s="203"/>
      <c r="DL120" s="256"/>
      <c r="DM120" s="41"/>
      <c r="DN120" s="41"/>
      <c r="DO120" s="41"/>
      <c r="DP120" s="420"/>
      <c r="DQ120" s="41"/>
      <c r="DR120" s="41"/>
      <c r="DS120" s="203"/>
      <c r="DT120" s="256"/>
      <c r="DU120" s="46"/>
      <c r="DV120" s="46"/>
      <c r="DW120" s="196"/>
      <c r="DX120" s="391"/>
      <c r="DY120" s="41"/>
      <c r="DZ120" s="41"/>
      <c r="EA120" s="41"/>
      <c r="EB120" s="69"/>
      <c r="EC120" s="41"/>
      <c r="ED120" s="41"/>
      <c r="EE120" s="41"/>
      <c r="EF120" s="420"/>
      <c r="EG120" s="41"/>
      <c r="EH120" s="41"/>
      <c r="EI120" s="41"/>
      <c r="EJ120" s="256"/>
      <c r="EK120" s="41"/>
      <c r="EL120" s="41"/>
      <c r="EM120" s="41"/>
      <c r="EN120" s="391"/>
    </row>
    <row r="121" spans="1:144" ht="66" customHeight="1">
      <c r="A121" s="45">
        <v>114</v>
      </c>
      <c r="B121" s="53" t="s">
        <v>301</v>
      </c>
      <c r="C121" s="45">
        <v>1</v>
      </c>
      <c r="D121" s="55" t="s">
        <v>255</v>
      </c>
      <c r="E121" s="54">
        <v>19</v>
      </c>
      <c r="F121" s="54">
        <v>5</v>
      </c>
      <c r="G121" s="397">
        <f>212124.528/1000</f>
        <v>212.124528</v>
      </c>
      <c r="H121" s="59">
        <v>212124.52800000002</v>
      </c>
      <c r="I121" s="59">
        <v>0</v>
      </c>
      <c r="J121" s="398">
        <v>-89.333470000000005</v>
      </c>
      <c r="K121" s="414">
        <f t="shared" si="6"/>
        <v>122.79105799999999</v>
      </c>
      <c r="L121" s="397"/>
      <c r="M121" s="397"/>
      <c r="N121" s="397">
        <f t="shared" si="5"/>
        <v>122.79105799999999</v>
      </c>
      <c r="O121" s="399">
        <f t="shared" si="7"/>
        <v>100.8</v>
      </c>
      <c r="P121" s="196"/>
      <c r="Q121" s="46"/>
      <c r="R121" s="196"/>
      <c r="S121" s="257"/>
      <c r="T121" s="196"/>
      <c r="U121" s="46"/>
      <c r="V121" s="46"/>
      <c r="W121" s="257"/>
      <c r="X121" s="46"/>
      <c r="Y121" s="46"/>
      <c r="Z121" s="46"/>
      <c r="AA121" s="257"/>
      <c r="AB121" s="196"/>
      <c r="AC121" s="46"/>
      <c r="AD121" s="46"/>
      <c r="AE121" s="257"/>
      <c r="AF121" s="196"/>
      <c r="AG121" s="46"/>
      <c r="AH121" s="46"/>
      <c r="AI121" s="196"/>
      <c r="AJ121" s="400"/>
      <c r="AK121" s="196"/>
      <c r="AL121" s="46"/>
      <c r="AM121" s="218"/>
      <c r="AN121" s="257"/>
      <c r="AO121" s="196"/>
      <c r="AP121" s="46"/>
      <c r="AQ121" s="257"/>
      <c r="AR121" s="196"/>
      <c r="AS121" s="46"/>
      <c r="AT121" s="257"/>
      <c r="AU121" s="196"/>
      <c r="AV121" s="46"/>
      <c r="AW121" s="257"/>
      <c r="AX121" s="196" t="s">
        <v>229</v>
      </c>
      <c r="AY121" s="46">
        <v>66</v>
      </c>
      <c r="AZ121" s="257">
        <f>AY121*1300</f>
        <v>85800</v>
      </c>
      <c r="BA121" s="46"/>
      <c r="BB121" s="46"/>
      <c r="BC121" s="46"/>
      <c r="BD121" s="46"/>
      <c r="BE121" s="46"/>
      <c r="BF121" s="257"/>
      <c r="BG121" s="46"/>
      <c r="BH121" s="46"/>
      <c r="BI121" s="46"/>
      <c r="BJ121" s="196"/>
      <c r="BK121" s="46"/>
      <c r="BL121" s="46"/>
      <c r="BM121" s="46"/>
      <c r="BN121" s="46"/>
      <c r="BO121" s="257"/>
      <c r="BP121" s="196"/>
      <c r="BQ121" s="46"/>
      <c r="BR121" s="257"/>
      <c r="BS121" s="46"/>
      <c r="BT121" s="46"/>
      <c r="BU121" s="257"/>
      <c r="BV121" s="196"/>
      <c r="BW121" s="46"/>
      <c r="BX121" s="46"/>
      <c r="BY121" s="46"/>
      <c r="BZ121" s="46"/>
      <c r="CA121" s="257"/>
      <c r="CB121" s="196"/>
      <c r="CC121" s="46"/>
      <c r="CD121" s="257"/>
      <c r="CE121" s="46"/>
      <c r="CF121" s="46"/>
      <c r="CG121" s="257"/>
      <c r="CH121" s="46"/>
      <c r="CI121" s="46"/>
      <c r="CJ121" s="46"/>
      <c r="CK121" s="46"/>
      <c r="CL121" s="46"/>
      <c r="CM121" s="257"/>
      <c r="CN121" s="46"/>
      <c r="CO121" s="376"/>
      <c r="CP121" s="257"/>
      <c r="CQ121" s="196" t="s">
        <v>228</v>
      </c>
      <c r="CR121" s="286" t="s">
        <v>658</v>
      </c>
      <c r="CS121" s="257">
        <f>CY121+DE121+DL121+DT121+EB121+EJ121+15000</f>
        <v>15000</v>
      </c>
      <c r="CT121" s="3"/>
      <c r="CU121" s="317"/>
      <c r="CV121" s="391">
        <f t="shared" si="8"/>
        <v>0</v>
      </c>
      <c r="CW121" s="41"/>
      <c r="CX121" s="41"/>
      <c r="CY121" s="256"/>
      <c r="CZ121" s="308"/>
      <c r="DA121" s="308"/>
      <c r="DB121" s="420"/>
      <c r="DC121" s="41"/>
      <c r="DD121" s="41"/>
      <c r="DE121" s="256"/>
      <c r="DF121" s="41"/>
      <c r="DG121" s="41"/>
      <c r="DH121" s="391"/>
      <c r="DI121" s="41"/>
      <c r="DJ121" s="41"/>
      <c r="DK121" s="203"/>
      <c r="DL121" s="256"/>
      <c r="DM121" s="41"/>
      <c r="DN121" s="41"/>
      <c r="DO121" s="41"/>
      <c r="DP121" s="420"/>
      <c r="DQ121" s="41"/>
      <c r="DR121" s="41"/>
      <c r="DS121" s="203"/>
      <c r="DT121" s="256"/>
      <c r="DU121" s="46"/>
      <c r="DV121" s="46"/>
      <c r="DW121" s="196"/>
      <c r="DX121" s="391"/>
      <c r="DY121" s="41"/>
      <c r="DZ121" s="41"/>
      <c r="EA121" s="41"/>
      <c r="EB121" s="69"/>
      <c r="EC121" s="41"/>
      <c r="ED121" s="41"/>
      <c r="EE121" s="41"/>
      <c r="EF121" s="420"/>
      <c r="EG121" s="41"/>
      <c r="EH121" s="41"/>
      <c r="EI121" s="41"/>
      <c r="EJ121" s="256"/>
      <c r="EK121" s="41"/>
      <c r="EL121" s="41"/>
      <c r="EM121" s="41"/>
      <c r="EN121" s="391"/>
    </row>
    <row r="122" spans="1:144" ht="25.5">
      <c r="A122" s="45">
        <v>115</v>
      </c>
      <c r="B122" s="53" t="s">
        <v>301</v>
      </c>
      <c r="C122" s="45">
        <v>1</v>
      </c>
      <c r="D122" s="55" t="s">
        <v>255</v>
      </c>
      <c r="E122" s="54">
        <v>20</v>
      </c>
      <c r="F122" s="54">
        <v>5</v>
      </c>
      <c r="G122" s="397">
        <f>264207.636/1000</f>
        <v>264.20763599999998</v>
      </c>
      <c r="H122" s="59">
        <v>264207.636</v>
      </c>
      <c r="I122" s="59">
        <v>0</v>
      </c>
      <c r="J122" s="398">
        <v>546.55373999999995</v>
      </c>
      <c r="K122" s="414">
        <f t="shared" si="6"/>
        <v>810.76137599999993</v>
      </c>
      <c r="L122" s="397"/>
      <c r="M122" s="397"/>
      <c r="N122" s="397">
        <f t="shared" si="5"/>
        <v>810.76137599999993</v>
      </c>
      <c r="O122" s="399">
        <f t="shared" si="7"/>
        <v>808</v>
      </c>
      <c r="P122" s="196" t="s">
        <v>254</v>
      </c>
      <c r="Q122" s="46">
        <v>1</v>
      </c>
      <c r="R122" s="196" t="s">
        <v>224</v>
      </c>
      <c r="S122" s="257">
        <v>180000</v>
      </c>
      <c r="T122" s="196"/>
      <c r="U122" s="46"/>
      <c r="V122" s="46"/>
      <c r="W122" s="257"/>
      <c r="X122" s="46"/>
      <c r="Y122" s="46"/>
      <c r="Z122" s="46"/>
      <c r="AA122" s="257"/>
      <c r="AB122" s="196"/>
      <c r="AC122" s="46"/>
      <c r="AD122" s="46"/>
      <c r="AE122" s="257"/>
      <c r="AF122" s="196"/>
      <c r="AG122" s="46"/>
      <c r="AH122" s="46"/>
      <c r="AI122" s="196"/>
      <c r="AJ122" s="400"/>
      <c r="AK122" s="196"/>
      <c r="AL122" s="46"/>
      <c r="AM122" s="218"/>
      <c r="AN122" s="257"/>
      <c r="AO122" s="196" t="s">
        <v>254</v>
      </c>
      <c r="AP122" s="190" t="s">
        <v>659</v>
      </c>
      <c r="AQ122" s="257">
        <v>60000</v>
      </c>
      <c r="AR122" s="196"/>
      <c r="AS122" s="46"/>
      <c r="AT122" s="257"/>
      <c r="AU122" s="196"/>
      <c r="AV122" s="46"/>
      <c r="AW122" s="257"/>
      <c r="AX122" s="196"/>
      <c r="AY122" s="46"/>
      <c r="AZ122" s="257"/>
      <c r="BA122" s="46"/>
      <c r="BB122" s="46"/>
      <c r="BC122" s="46"/>
      <c r="BD122" s="46"/>
      <c r="BE122" s="46"/>
      <c r="BF122" s="257"/>
      <c r="BG122" s="46"/>
      <c r="BH122" s="46"/>
      <c r="BI122" s="46"/>
      <c r="BJ122" s="196"/>
      <c r="BK122" s="46"/>
      <c r="BL122" s="46"/>
      <c r="BM122" s="46"/>
      <c r="BN122" s="46"/>
      <c r="BO122" s="257"/>
      <c r="BP122" s="196"/>
      <c r="BQ122" s="46"/>
      <c r="BR122" s="257"/>
      <c r="BS122" s="46"/>
      <c r="BT122" s="46"/>
      <c r="BU122" s="257"/>
      <c r="BV122" s="196"/>
      <c r="BW122" s="46"/>
      <c r="BX122" s="46"/>
      <c r="BY122" s="46"/>
      <c r="BZ122" s="46"/>
      <c r="CA122" s="257"/>
      <c r="CB122" s="196"/>
      <c r="CC122" s="46"/>
      <c r="CD122" s="257"/>
      <c r="CE122" s="46"/>
      <c r="CF122" s="46"/>
      <c r="CG122" s="257"/>
      <c r="CH122" s="46"/>
      <c r="CI122" s="46"/>
      <c r="CJ122" s="46"/>
      <c r="CK122" s="46"/>
      <c r="CL122" s="46"/>
      <c r="CM122" s="257"/>
      <c r="CN122" s="46"/>
      <c r="CO122" s="376"/>
      <c r="CP122" s="257"/>
      <c r="CQ122" s="196"/>
      <c r="CR122" s="286" t="s">
        <v>554</v>
      </c>
      <c r="CS122" s="257">
        <f>CY122+DE122+DL122+DT122+EB122+EJ122+568000</f>
        <v>568000</v>
      </c>
      <c r="CT122" s="218"/>
      <c r="CU122" s="317"/>
      <c r="CV122" s="391">
        <f t="shared" si="8"/>
        <v>0</v>
      </c>
      <c r="CW122" s="41"/>
      <c r="CX122" s="41"/>
      <c r="CY122" s="256"/>
      <c r="CZ122" s="308"/>
      <c r="DA122" s="308"/>
      <c r="DB122" s="420"/>
      <c r="DC122" s="41"/>
      <c r="DD122" s="41"/>
      <c r="DE122" s="256"/>
      <c r="DF122" s="41"/>
      <c r="DG122" s="41"/>
      <c r="DH122" s="391"/>
      <c r="DI122" s="41"/>
      <c r="DJ122" s="41"/>
      <c r="DK122" s="203"/>
      <c r="DL122" s="256"/>
      <c r="DM122" s="61"/>
      <c r="DN122" s="41"/>
      <c r="DO122" s="41"/>
      <c r="DP122" s="420"/>
      <c r="DQ122" s="41"/>
      <c r="DR122" s="41"/>
      <c r="DS122" s="203"/>
      <c r="DT122" s="256"/>
      <c r="DU122" s="46"/>
      <c r="DV122" s="46"/>
      <c r="DW122" s="196"/>
      <c r="DX122" s="391"/>
      <c r="DY122" s="41"/>
      <c r="DZ122" s="41"/>
      <c r="EA122" s="41"/>
      <c r="EB122" s="69"/>
      <c r="EC122" s="41"/>
      <c r="ED122" s="41"/>
      <c r="EE122" s="41"/>
      <c r="EF122" s="420"/>
      <c r="EG122" s="41"/>
      <c r="EH122" s="41"/>
      <c r="EI122" s="41"/>
      <c r="EJ122" s="256"/>
      <c r="EK122" s="41"/>
      <c r="EL122" s="41"/>
      <c r="EM122" s="41"/>
      <c r="EN122" s="391"/>
    </row>
    <row r="123" spans="1:144" ht="25.5">
      <c r="A123" s="45">
        <v>116</v>
      </c>
      <c r="B123" s="53" t="s">
        <v>301</v>
      </c>
      <c r="C123" s="45">
        <v>1</v>
      </c>
      <c r="D123" s="55" t="s">
        <v>255</v>
      </c>
      <c r="E123" s="54">
        <v>22</v>
      </c>
      <c r="F123" s="54">
        <v>5</v>
      </c>
      <c r="G123" s="397">
        <f>214461.324/1000</f>
        <v>214.46132399999999</v>
      </c>
      <c r="H123" s="59">
        <v>214461.32400000002</v>
      </c>
      <c r="I123" s="59">
        <v>0</v>
      </c>
      <c r="J123" s="398">
        <v>-300.34322000000003</v>
      </c>
      <c r="K123" s="414">
        <f t="shared" si="6"/>
        <v>-85.88189600000004</v>
      </c>
      <c r="L123" s="397"/>
      <c r="M123" s="397"/>
      <c r="N123" s="397">
        <f t="shared" si="5"/>
        <v>-85.88189600000004</v>
      </c>
      <c r="O123" s="399">
        <f t="shared" si="7"/>
        <v>0</v>
      </c>
      <c r="P123" s="196"/>
      <c r="Q123" s="46"/>
      <c r="R123" s="196"/>
      <c r="S123" s="257"/>
      <c r="T123" s="196"/>
      <c r="U123" s="46"/>
      <c r="V123" s="46"/>
      <c r="W123" s="257"/>
      <c r="X123" s="46"/>
      <c r="Y123" s="46"/>
      <c r="Z123" s="46"/>
      <c r="AA123" s="257"/>
      <c r="AB123" s="196"/>
      <c r="AC123" s="46"/>
      <c r="AD123" s="46"/>
      <c r="AE123" s="257"/>
      <c r="AF123" s="196"/>
      <c r="AG123" s="46"/>
      <c r="AH123" s="46"/>
      <c r="AI123" s="196"/>
      <c r="AJ123" s="400"/>
      <c r="AK123" s="196"/>
      <c r="AL123" s="46"/>
      <c r="AM123" s="218"/>
      <c r="AN123" s="257"/>
      <c r="AO123" s="196"/>
      <c r="AP123" s="46"/>
      <c r="AQ123" s="257"/>
      <c r="AR123" s="196"/>
      <c r="AS123" s="46"/>
      <c r="AT123" s="257"/>
      <c r="AU123" s="196"/>
      <c r="AV123" s="46"/>
      <c r="AW123" s="257"/>
      <c r="AX123" s="196"/>
      <c r="AY123" s="46"/>
      <c r="AZ123" s="257"/>
      <c r="BA123" s="46"/>
      <c r="BB123" s="46"/>
      <c r="BC123" s="46"/>
      <c r="BD123" s="46"/>
      <c r="BE123" s="46"/>
      <c r="BF123" s="257"/>
      <c r="BG123" s="46"/>
      <c r="BH123" s="46"/>
      <c r="BI123" s="46"/>
      <c r="BJ123" s="196"/>
      <c r="BK123" s="46"/>
      <c r="BL123" s="46"/>
      <c r="BM123" s="46"/>
      <c r="BN123" s="46"/>
      <c r="BO123" s="257"/>
      <c r="BP123" s="196"/>
      <c r="BQ123" s="46"/>
      <c r="BR123" s="257"/>
      <c r="BS123" s="46"/>
      <c r="BT123" s="46"/>
      <c r="BU123" s="257"/>
      <c r="BV123" s="196"/>
      <c r="BW123" s="46"/>
      <c r="BX123" s="46"/>
      <c r="BY123" s="46"/>
      <c r="BZ123" s="46"/>
      <c r="CA123" s="257"/>
      <c r="CB123" s="196"/>
      <c r="CC123" s="46"/>
      <c r="CD123" s="257"/>
      <c r="CE123" s="46"/>
      <c r="CF123" s="46"/>
      <c r="CG123" s="257"/>
      <c r="CH123" s="46"/>
      <c r="CI123" s="46"/>
      <c r="CJ123" s="46"/>
      <c r="CK123" s="46"/>
      <c r="CL123" s="46"/>
      <c r="CM123" s="257"/>
      <c r="CN123" s="46"/>
      <c r="CO123" s="376"/>
      <c r="CP123" s="257"/>
      <c r="CQ123" s="196"/>
      <c r="CR123" s="523"/>
      <c r="CS123" s="257">
        <f t="shared" si="9"/>
        <v>0</v>
      </c>
      <c r="CT123" s="218"/>
      <c r="CU123" s="317"/>
      <c r="CV123" s="391">
        <f t="shared" si="8"/>
        <v>0</v>
      </c>
      <c r="CW123" s="41"/>
      <c r="CX123" s="41"/>
      <c r="CY123" s="256"/>
      <c r="CZ123" s="308"/>
      <c r="DA123" s="308"/>
      <c r="DB123" s="420"/>
      <c r="DC123" s="41"/>
      <c r="DD123" s="41"/>
      <c r="DE123" s="256"/>
      <c r="DF123" s="41"/>
      <c r="DG123" s="41"/>
      <c r="DH123" s="391"/>
      <c r="DI123" s="41"/>
      <c r="DJ123" s="41"/>
      <c r="DK123" s="203"/>
      <c r="DL123" s="256"/>
      <c r="DM123" s="41"/>
      <c r="DN123" s="41"/>
      <c r="DO123" s="41"/>
      <c r="DP123" s="420"/>
      <c r="DQ123" s="41"/>
      <c r="DR123" s="41"/>
      <c r="DS123" s="203"/>
      <c r="DT123" s="256"/>
      <c r="DU123" s="46"/>
      <c r="DV123" s="46"/>
      <c r="DW123" s="196"/>
      <c r="DX123" s="391"/>
      <c r="DY123" s="41"/>
      <c r="DZ123" s="41"/>
      <c r="EA123" s="41"/>
      <c r="EB123" s="69"/>
      <c r="EC123" s="41"/>
      <c r="ED123" s="41"/>
      <c r="EE123" s="41"/>
      <c r="EF123" s="420"/>
      <c r="EG123" s="41"/>
      <c r="EH123" s="41"/>
      <c r="EI123" s="41"/>
      <c r="EJ123" s="256"/>
      <c r="EK123" s="41"/>
      <c r="EL123" s="41"/>
      <c r="EM123" s="41"/>
      <c r="EN123" s="391"/>
    </row>
    <row r="124" spans="1:144" ht="25.5">
      <c r="A124" s="45">
        <v>117</v>
      </c>
      <c r="B124" s="53" t="s">
        <v>301</v>
      </c>
      <c r="C124" s="45">
        <v>1</v>
      </c>
      <c r="D124" s="55" t="s">
        <v>256</v>
      </c>
      <c r="E124" s="54">
        <v>3</v>
      </c>
      <c r="F124" s="54">
        <v>6</v>
      </c>
      <c r="G124" s="397">
        <f>57460.2552/1000</f>
        <v>57.460255199999999</v>
      </c>
      <c r="H124" s="59">
        <v>16251.067800000001</v>
      </c>
      <c r="I124" s="59">
        <v>41209.187400000003</v>
      </c>
      <c r="J124" s="398">
        <v>135.86825499999998</v>
      </c>
      <c r="K124" s="414">
        <f t="shared" si="6"/>
        <v>193.32851019999998</v>
      </c>
      <c r="L124" s="397"/>
      <c r="M124" s="397"/>
      <c r="N124" s="397">
        <f t="shared" si="5"/>
        <v>193.32851019999998</v>
      </c>
      <c r="O124" s="399">
        <f t="shared" si="7"/>
        <v>135</v>
      </c>
      <c r="P124" s="218"/>
      <c r="Q124" s="167"/>
      <c r="R124" s="218"/>
      <c r="S124" s="257"/>
      <c r="T124" s="218"/>
      <c r="U124" s="167"/>
      <c r="V124" s="167"/>
      <c r="W124" s="257"/>
      <c r="X124" s="167"/>
      <c r="Y124" s="167"/>
      <c r="Z124" s="167"/>
      <c r="AA124" s="257"/>
      <c r="AB124" s="218"/>
      <c r="AC124" s="167"/>
      <c r="AD124" s="167"/>
      <c r="AE124" s="257"/>
      <c r="AF124" s="218"/>
      <c r="AG124" s="167"/>
      <c r="AH124" s="167"/>
      <c r="AI124" s="218"/>
      <c r="AJ124" s="400"/>
      <c r="AK124" s="196"/>
      <c r="AL124" s="46"/>
      <c r="AM124" s="218"/>
      <c r="AN124" s="257"/>
      <c r="AO124" s="218"/>
      <c r="AP124" s="190" t="s">
        <v>857</v>
      </c>
      <c r="AQ124" s="524">
        <f>44*2500</f>
        <v>110000</v>
      </c>
      <c r="AR124" s="218"/>
      <c r="AS124" s="167"/>
      <c r="AT124" s="257"/>
      <c r="AU124" s="196"/>
      <c r="AV124" s="46"/>
      <c r="AW124" s="257"/>
      <c r="AX124" s="196"/>
      <c r="AY124" s="46"/>
      <c r="AZ124" s="257"/>
      <c r="BA124" s="46"/>
      <c r="BB124" s="46"/>
      <c r="BC124" s="46"/>
      <c r="BD124" s="46"/>
      <c r="BE124" s="46"/>
      <c r="BF124" s="257"/>
      <c r="BG124" s="167"/>
      <c r="BH124" s="167"/>
      <c r="BI124" s="46"/>
      <c r="BJ124" s="196"/>
      <c r="BK124" s="46"/>
      <c r="BL124" s="46"/>
      <c r="BM124" s="46"/>
      <c r="BN124" s="46"/>
      <c r="BO124" s="257"/>
      <c r="BP124" s="196"/>
      <c r="BQ124" s="46"/>
      <c r="BR124" s="257"/>
      <c r="BS124" s="167"/>
      <c r="BT124" s="167"/>
      <c r="BU124" s="257"/>
      <c r="BV124" s="196"/>
      <c r="BW124" s="46"/>
      <c r="BX124" s="46"/>
      <c r="BY124" s="46"/>
      <c r="BZ124" s="46"/>
      <c r="CA124" s="257"/>
      <c r="CB124" s="196"/>
      <c r="CC124" s="46"/>
      <c r="CD124" s="257"/>
      <c r="CE124" s="46"/>
      <c r="CF124" s="46"/>
      <c r="CG124" s="257"/>
      <c r="CH124" s="46"/>
      <c r="CI124" s="46"/>
      <c r="CJ124" s="46"/>
      <c r="CK124" s="46"/>
      <c r="CL124" s="46"/>
      <c r="CM124" s="257"/>
      <c r="CN124" s="167"/>
      <c r="CO124" s="377"/>
      <c r="CP124" s="257"/>
      <c r="CQ124" s="218" t="s">
        <v>249</v>
      </c>
      <c r="CR124" s="190" t="s">
        <v>856</v>
      </c>
      <c r="CS124" s="257">
        <f>CY124+DE124+DL124+DT124+EB124+EJ124+25000</f>
        <v>25000</v>
      </c>
      <c r="CT124" s="167"/>
      <c r="CU124" s="317"/>
      <c r="CV124" s="391">
        <f t="shared" si="8"/>
        <v>0</v>
      </c>
      <c r="CW124" s="167"/>
      <c r="CX124" s="167"/>
      <c r="CY124" s="256"/>
      <c r="CZ124" s="308"/>
      <c r="DA124" s="308"/>
      <c r="DB124" s="420"/>
      <c r="DC124" s="41"/>
      <c r="DD124" s="41"/>
      <c r="DE124" s="256"/>
      <c r="DF124" s="308"/>
      <c r="DG124" s="308"/>
      <c r="DH124" s="391"/>
      <c r="DI124" s="41"/>
      <c r="DJ124" s="41"/>
      <c r="DK124" s="203"/>
      <c r="DL124" s="256"/>
      <c r="DM124" s="41"/>
      <c r="DN124" s="41"/>
      <c r="DO124" s="41"/>
      <c r="DP124" s="420"/>
      <c r="DQ124" s="41"/>
      <c r="DR124" s="41"/>
      <c r="DS124" s="203"/>
      <c r="DT124" s="256"/>
      <c r="DU124" s="46"/>
      <c r="DV124" s="46"/>
      <c r="DW124" s="196"/>
      <c r="DX124" s="391"/>
      <c r="DY124" s="41"/>
      <c r="DZ124" s="41"/>
      <c r="EA124" s="41"/>
      <c r="EB124" s="69"/>
      <c r="EC124" s="41"/>
      <c r="ED124" s="41"/>
      <c r="EE124" s="41"/>
      <c r="EF124" s="420"/>
      <c r="EG124" s="41"/>
      <c r="EH124" s="41"/>
      <c r="EI124" s="41"/>
      <c r="EJ124" s="256"/>
      <c r="EK124" s="41"/>
      <c r="EL124" s="41"/>
      <c r="EM124" s="41"/>
      <c r="EN124" s="391"/>
    </row>
    <row r="125" spans="1:144" ht="25.5">
      <c r="A125" s="45">
        <v>118</v>
      </c>
      <c r="B125" s="53" t="s">
        <v>301</v>
      </c>
      <c r="C125" s="45">
        <v>1</v>
      </c>
      <c r="D125" s="55" t="s">
        <v>256</v>
      </c>
      <c r="E125" s="54">
        <v>5</v>
      </c>
      <c r="F125" s="54">
        <v>6</v>
      </c>
      <c r="G125" s="397">
        <f>88204.656/1000</f>
        <v>88.204656</v>
      </c>
      <c r="H125" s="59">
        <v>24946.284</v>
      </c>
      <c r="I125" s="59">
        <v>63258.37200000001</v>
      </c>
      <c r="J125" s="398">
        <v>335.39753199999996</v>
      </c>
      <c r="K125" s="414">
        <f t="shared" si="6"/>
        <v>423.60218799999996</v>
      </c>
      <c r="L125" s="397"/>
      <c r="M125" s="397"/>
      <c r="N125" s="397">
        <f t="shared" si="5"/>
        <v>423.60218799999996</v>
      </c>
      <c r="O125" s="399">
        <f t="shared" si="7"/>
        <v>426</v>
      </c>
      <c r="P125" s="196"/>
      <c r="Q125" s="46"/>
      <c r="R125" s="196"/>
      <c r="S125" s="257"/>
      <c r="T125" s="196"/>
      <c r="U125" s="46"/>
      <c r="V125" s="46"/>
      <c r="W125" s="257"/>
      <c r="X125" s="46"/>
      <c r="Y125" s="46"/>
      <c r="Z125" s="46"/>
      <c r="AA125" s="257"/>
      <c r="AB125" s="196"/>
      <c r="AC125" s="46"/>
      <c r="AD125" s="46"/>
      <c r="AE125" s="257"/>
      <c r="AF125" s="196" t="s">
        <v>248</v>
      </c>
      <c r="AG125" s="46" t="s">
        <v>310</v>
      </c>
      <c r="AH125" s="46">
        <v>220</v>
      </c>
      <c r="AI125" s="196" t="s">
        <v>552</v>
      </c>
      <c r="AJ125" s="400">
        <f>AH125*1800</f>
        <v>396000</v>
      </c>
      <c r="AK125" s="196"/>
      <c r="AL125" s="46"/>
      <c r="AM125" s="218"/>
      <c r="AN125" s="257"/>
      <c r="AO125" s="196"/>
      <c r="AP125" s="46"/>
      <c r="AQ125" s="257"/>
      <c r="AR125" s="196"/>
      <c r="AS125" s="46"/>
      <c r="AT125" s="257"/>
      <c r="AU125" s="196"/>
      <c r="AV125" s="46"/>
      <c r="AW125" s="257"/>
      <c r="AX125" s="196"/>
      <c r="AY125" s="46"/>
      <c r="AZ125" s="257"/>
      <c r="BA125" s="46"/>
      <c r="BB125" s="46"/>
      <c r="BC125" s="46"/>
      <c r="BD125" s="46"/>
      <c r="BE125" s="46"/>
      <c r="BF125" s="257"/>
      <c r="BG125" s="46"/>
      <c r="BH125" s="46"/>
      <c r="BI125" s="46"/>
      <c r="BJ125" s="196"/>
      <c r="BK125" s="46"/>
      <c r="BL125" s="46"/>
      <c r="BM125" s="46"/>
      <c r="BN125" s="46"/>
      <c r="BO125" s="257"/>
      <c r="BP125" s="196"/>
      <c r="BQ125" s="46"/>
      <c r="BR125" s="257"/>
      <c r="BS125" s="46"/>
      <c r="BT125" s="46"/>
      <c r="BU125" s="257"/>
      <c r="BV125" s="196"/>
      <c r="BW125" s="46"/>
      <c r="BX125" s="46"/>
      <c r="BY125" s="46"/>
      <c r="BZ125" s="46"/>
      <c r="CA125" s="257"/>
      <c r="CB125" s="196"/>
      <c r="CC125" s="46"/>
      <c r="CD125" s="257"/>
      <c r="CE125" s="46"/>
      <c r="CF125" s="46"/>
      <c r="CG125" s="257"/>
      <c r="CH125" s="46"/>
      <c r="CI125" s="46"/>
      <c r="CJ125" s="46"/>
      <c r="CK125" s="46"/>
      <c r="CL125" s="46"/>
      <c r="CM125" s="257"/>
      <c r="CN125" s="46"/>
      <c r="CO125" s="376"/>
      <c r="CP125" s="257"/>
      <c r="CQ125" s="196"/>
      <c r="CR125" s="191" t="s">
        <v>554</v>
      </c>
      <c r="CS125" s="257">
        <f>CY125+DE125+DL125+DT125+EB125+EJ125+30000</f>
        <v>30000</v>
      </c>
      <c r="CT125" s="387"/>
      <c r="CU125" s="317"/>
      <c r="CV125" s="391">
        <f t="shared" si="8"/>
        <v>0</v>
      </c>
      <c r="CW125" s="41"/>
      <c r="CX125" s="41"/>
      <c r="CY125" s="256"/>
      <c r="CZ125" s="308"/>
      <c r="DA125" s="308"/>
      <c r="DB125" s="420"/>
      <c r="DC125" s="41"/>
      <c r="DD125" s="41"/>
      <c r="DE125" s="256"/>
      <c r="DF125" s="308"/>
      <c r="DG125" s="308"/>
      <c r="DH125" s="391"/>
      <c r="DI125" s="41"/>
      <c r="DJ125" s="41"/>
      <c r="DK125" s="203"/>
      <c r="DL125" s="256"/>
      <c r="DM125" s="41"/>
      <c r="DN125" s="41"/>
      <c r="DO125" s="41"/>
      <c r="DP125" s="420"/>
      <c r="DQ125" s="41"/>
      <c r="DR125" s="41"/>
      <c r="DS125" s="203"/>
      <c r="DT125" s="256"/>
      <c r="DU125" s="46"/>
      <c r="DV125" s="46"/>
      <c r="DW125" s="196"/>
      <c r="DX125" s="391"/>
      <c r="DY125" s="41"/>
      <c r="DZ125" s="41"/>
      <c r="EA125" s="41"/>
      <c r="EB125" s="69"/>
      <c r="EC125" s="41"/>
      <c r="ED125" s="41"/>
      <c r="EE125" s="41"/>
      <c r="EF125" s="420"/>
      <c r="EG125" s="41"/>
      <c r="EH125" s="41"/>
      <c r="EI125" s="41"/>
      <c r="EJ125" s="256"/>
      <c r="EK125" s="41"/>
      <c r="EL125" s="41"/>
      <c r="EM125" s="41"/>
      <c r="EN125" s="391"/>
    </row>
    <row r="126" spans="1:144" ht="25.5">
      <c r="A126" s="45">
        <v>119</v>
      </c>
      <c r="B126" s="53" t="s">
        <v>301</v>
      </c>
      <c r="C126" s="45">
        <v>1</v>
      </c>
      <c r="D126" s="55" t="s">
        <v>257</v>
      </c>
      <c r="E126" s="54">
        <v>21</v>
      </c>
      <c r="F126" s="54">
        <v>6</v>
      </c>
      <c r="G126" s="397">
        <f>49465.68/1000</f>
        <v>49.465679999999999</v>
      </c>
      <c r="H126" s="59">
        <v>13990.02</v>
      </c>
      <c r="I126" s="59">
        <v>35475.660000000003</v>
      </c>
      <c r="J126" s="398">
        <v>208.99173999999999</v>
      </c>
      <c r="K126" s="414">
        <f t="shared" si="6"/>
        <v>258.45742000000001</v>
      </c>
      <c r="L126" s="397"/>
      <c r="M126" s="397"/>
      <c r="N126" s="397">
        <f t="shared" si="5"/>
        <v>258.45742000000001</v>
      </c>
      <c r="O126" s="399">
        <f t="shared" si="7"/>
        <v>234</v>
      </c>
      <c r="P126" s="196"/>
      <c r="Q126" s="46"/>
      <c r="R126" s="196"/>
      <c r="S126" s="257"/>
      <c r="T126" s="196"/>
      <c r="U126" s="46"/>
      <c r="V126" s="46"/>
      <c r="W126" s="257"/>
      <c r="X126" s="46"/>
      <c r="Y126" s="46"/>
      <c r="Z126" s="46"/>
      <c r="AA126" s="257"/>
      <c r="AB126" s="196"/>
      <c r="AC126" s="46"/>
      <c r="AD126" s="46"/>
      <c r="AE126" s="257"/>
      <c r="AF126" s="196" t="s">
        <v>247</v>
      </c>
      <c r="AG126" s="46" t="s">
        <v>335</v>
      </c>
      <c r="AH126" s="46">
        <v>180</v>
      </c>
      <c r="AI126" s="218" t="s">
        <v>522</v>
      </c>
      <c r="AJ126" s="400">
        <f>AH126*1300</f>
        <v>234000</v>
      </c>
      <c r="AK126" s="196"/>
      <c r="AL126" s="46"/>
      <c r="AM126" s="218"/>
      <c r="AN126" s="257"/>
      <c r="AO126" s="196"/>
      <c r="AP126" s="46"/>
      <c r="AQ126" s="257"/>
      <c r="AR126" s="196"/>
      <c r="AS126" s="46"/>
      <c r="AT126" s="257"/>
      <c r="AU126" s="196"/>
      <c r="AV126" s="46"/>
      <c r="AW126" s="257"/>
      <c r="AX126" s="196"/>
      <c r="AY126" s="46"/>
      <c r="AZ126" s="257"/>
      <c r="BA126" s="46"/>
      <c r="BB126" s="46"/>
      <c r="BC126" s="46"/>
      <c r="BD126" s="46"/>
      <c r="BE126" s="46"/>
      <c r="BF126" s="257"/>
      <c r="BG126" s="46"/>
      <c r="BH126" s="46"/>
      <c r="BI126" s="46"/>
      <c r="BJ126" s="196"/>
      <c r="BK126" s="46"/>
      <c r="BL126" s="46"/>
      <c r="BM126" s="46"/>
      <c r="BN126" s="46"/>
      <c r="BO126" s="257"/>
      <c r="BP126" s="196"/>
      <c r="BQ126" s="46"/>
      <c r="BR126" s="257"/>
      <c r="BS126" s="46"/>
      <c r="BT126" s="46"/>
      <c r="BU126" s="257"/>
      <c r="BV126" s="196"/>
      <c r="BW126" s="46"/>
      <c r="BX126" s="46"/>
      <c r="BY126" s="46"/>
      <c r="BZ126" s="46"/>
      <c r="CA126" s="257"/>
      <c r="CB126" s="196"/>
      <c r="CC126" s="46"/>
      <c r="CD126" s="257"/>
      <c r="CE126" s="46"/>
      <c r="CF126" s="46"/>
      <c r="CG126" s="257"/>
      <c r="CH126" s="46"/>
      <c r="CI126" s="46"/>
      <c r="CJ126" s="46"/>
      <c r="CK126" s="46"/>
      <c r="CL126" s="46"/>
      <c r="CM126" s="257"/>
      <c r="CN126" s="46"/>
      <c r="CO126" s="376"/>
      <c r="CP126" s="257"/>
      <c r="CQ126" s="196"/>
      <c r="CR126" s="190"/>
      <c r="CS126" s="257">
        <f t="shared" si="9"/>
        <v>0</v>
      </c>
      <c r="CT126" s="196"/>
      <c r="CU126" s="317"/>
      <c r="CV126" s="391">
        <f t="shared" si="8"/>
        <v>0</v>
      </c>
      <c r="CW126" s="41"/>
      <c r="CX126" s="41"/>
      <c r="CY126" s="256"/>
      <c r="CZ126" s="308"/>
      <c r="DA126" s="308"/>
      <c r="DB126" s="420"/>
      <c r="DC126" s="41"/>
      <c r="DD126" s="41"/>
      <c r="DE126" s="256"/>
      <c r="DF126" s="41"/>
      <c r="DG126" s="41"/>
      <c r="DH126" s="391"/>
      <c r="DI126" s="41"/>
      <c r="DJ126" s="41"/>
      <c r="DK126" s="203"/>
      <c r="DL126" s="256"/>
      <c r="DM126" s="41"/>
      <c r="DN126" s="41"/>
      <c r="DO126" s="41"/>
      <c r="DP126" s="420"/>
      <c r="DQ126" s="41"/>
      <c r="DR126" s="41"/>
      <c r="DS126" s="203"/>
      <c r="DT126" s="256"/>
      <c r="DU126" s="46"/>
      <c r="DV126" s="46"/>
      <c r="DW126" s="196"/>
      <c r="DX126" s="391"/>
      <c r="DY126" s="41"/>
      <c r="DZ126" s="41"/>
      <c r="EA126" s="41"/>
      <c r="EB126" s="69"/>
      <c r="EC126" s="41"/>
      <c r="ED126" s="41"/>
      <c r="EE126" s="41"/>
      <c r="EF126" s="420"/>
      <c r="EG126" s="41"/>
      <c r="EH126" s="41"/>
      <c r="EI126" s="41"/>
      <c r="EJ126" s="256"/>
      <c r="EK126" s="41"/>
      <c r="EL126" s="41"/>
      <c r="EM126" s="41"/>
      <c r="EN126" s="391"/>
    </row>
    <row r="127" spans="1:144" ht="25.5">
      <c r="A127" s="45">
        <v>120</v>
      </c>
      <c r="B127" s="53" t="s">
        <v>301</v>
      </c>
      <c r="C127" s="45">
        <v>1</v>
      </c>
      <c r="D127" s="55" t="s">
        <v>258</v>
      </c>
      <c r="E127" s="54">
        <v>2</v>
      </c>
      <c r="F127" s="54">
        <v>5</v>
      </c>
      <c r="G127" s="397">
        <f>171509.184/1000</f>
        <v>171.509184</v>
      </c>
      <c r="H127" s="59">
        <v>171509.18400000001</v>
      </c>
      <c r="I127" s="59">
        <v>0</v>
      </c>
      <c r="J127" s="398">
        <v>-213.46253999999999</v>
      </c>
      <c r="K127" s="414">
        <f t="shared" si="6"/>
        <v>-41.953355999999985</v>
      </c>
      <c r="L127" s="397"/>
      <c r="M127" s="397"/>
      <c r="N127" s="397">
        <f t="shared" si="5"/>
        <v>-41.953355999999985</v>
      </c>
      <c r="O127" s="399">
        <f t="shared" si="7"/>
        <v>0</v>
      </c>
      <c r="P127" s="399"/>
      <c r="Q127" s="399"/>
      <c r="R127" s="196"/>
      <c r="S127" s="399"/>
      <c r="T127" s="196"/>
      <c r="U127" s="46"/>
      <c r="V127" s="46"/>
      <c r="W127" s="257"/>
      <c r="X127" s="46"/>
      <c r="Y127" s="46"/>
      <c r="Z127" s="46"/>
      <c r="AA127" s="257"/>
      <c r="AB127" s="196"/>
      <c r="AC127" s="46"/>
      <c r="AD127" s="46"/>
      <c r="AE127" s="257"/>
      <c r="AF127" s="196"/>
      <c r="AG127" s="46"/>
      <c r="AH127" s="46"/>
      <c r="AI127" s="196"/>
      <c r="AJ127" s="400"/>
      <c r="AK127" s="196"/>
      <c r="AL127" s="46"/>
      <c r="AM127" s="218"/>
      <c r="AN127" s="257"/>
      <c r="AO127" s="196"/>
      <c r="AP127" s="46"/>
      <c r="AQ127" s="257"/>
      <c r="AR127" s="196"/>
      <c r="AS127" s="46"/>
      <c r="AT127" s="257"/>
      <c r="AU127" s="196"/>
      <c r="AV127" s="46"/>
      <c r="AW127" s="257"/>
      <c r="AX127" s="196"/>
      <c r="AY127" s="46"/>
      <c r="AZ127" s="257"/>
      <c r="BA127" s="46"/>
      <c r="BB127" s="46"/>
      <c r="BC127" s="46"/>
      <c r="BD127" s="46"/>
      <c r="BE127" s="46"/>
      <c r="BF127" s="257"/>
      <c r="BG127" s="46"/>
      <c r="BH127" s="46"/>
      <c r="BI127" s="46"/>
      <c r="BJ127" s="196"/>
      <c r="BK127" s="46"/>
      <c r="BL127" s="46"/>
      <c r="BM127" s="46"/>
      <c r="BN127" s="46"/>
      <c r="BO127" s="257"/>
      <c r="BP127" s="196"/>
      <c r="BQ127" s="46"/>
      <c r="BR127" s="257"/>
      <c r="BS127" s="46"/>
      <c r="BT127" s="46"/>
      <c r="BU127" s="257"/>
      <c r="BV127" s="196"/>
      <c r="BW127" s="46"/>
      <c r="BX127" s="46"/>
      <c r="BY127" s="46"/>
      <c r="BZ127" s="46"/>
      <c r="CA127" s="257"/>
      <c r="CB127" s="196"/>
      <c r="CC127" s="46"/>
      <c r="CD127" s="257"/>
      <c r="CE127" s="46"/>
      <c r="CF127" s="46"/>
      <c r="CG127" s="257"/>
      <c r="CH127" s="46"/>
      <c r="CI127" s="46"/>
      <c r="CJ127" s="46"/>
      <c r="CK127" s="46"/>
      <c r="CL127" s="46"/>
      <c r="CM127" s="257"/>
      <c r="CN127" s="46"/>
      <c r="CO127" s="376"/>
      <c r="CP127" s="257"/>
      <c r="CQ127" s="218"/>
      <c r="CR127" s="286"/>
      <c r="CS127" s="257">
        <f t="shared" si="9"/>
        <v>0</v>
      </c>
      <c r="CT127" s="196"/>
      <c r="CU127" s="317"/>
      <c r="CV127" s="391">
        <f t="shared" si="8"/>
        <v>0</v>
      </c>
      <c r="CW127" s="41"/>
      <c r="CX127" s="41"/>
      <c r="CY127" s="256"/>
      <c r="CZ127" s="308"/>
      <c r="DA127" s="308"/>
      <c r="DB127" s="420"/>
      <c r="DC127" s="41"/>
      <c r="DD127" s="41"/>
      <c r="DE127" s="256"/>
      <c r="DF127" s="41"/>
      <c r="DG127" s="41"/>
      <c r="DH127" s="391"/>
      <c r="DI127" s="41"/>
      <c r="DJ127" s="41"/>
      <c r="DK127" s="203"/>
      <c r="DL127" s="256"/>
      <c r="DM127" s="41"/>
      <c r="DN127" s="41"/>
      <c r="DO127" s="41"/>
      <c r="DP127" s="420"/>
      <c r="DQ127" s="41"/>
      <c r="DR127" s="41"/>
      <c r="DS127" s="203"/>
      <c r="DT127" s="256"/>
      <c r="DU127" s="46"/>
      <c r="DV127" s="46"/>
      <c r="DW127" s="196"/>
      <c r="DX127" s="391"/>
      <c r="DY127" s="41"/>
      <c r="DZ127" s="41"/>
      <c r="EA127" s="41"/>
      <c r="EB127" s="69"/>
      <c r="EC127" s="41"/>
      <c r="ED127" s="41"/>
      <c r="EE127" s="41"/>
      <c r="EF127" s="420"/>
      <c r="EG127" s="41"/>
      <c r="EH127" s="41"/>
      <c r="EI127" s="41"/>
      <c r="EJ127" s="256"/>
      <c r="EK127" s="41"/>
      <c r="EL127" s="41"/>
      <c r="EM127" s="41"/>
      <c r="EN127" s="391"/>
    </row>
    <row r="128" spans="1:144" ht="36.75">
      <c r="A128" s="45">
        <v>121</v>
      </c>
      <c r="B128" s="53" t="s">
        <v>301</v>
      </c>
      <c r="C128" s="45">
        <v>1</v>
      </c>
      <c r="D128" s="55" t="s">
        <v>258</v>
      </c>
      <c r="E128" s="54">
        <v>3</v>
      </c>
      <c r="F128" s="54">
        <v>5</v>
      </c>
      <c r="G128" s="397">
        <f>213172.344/1000</f>
        <v>213.17234400000001</v>
      </c>
      <c r="H128" s="59">
        <v>213172.34400000001</v>
      </c>
      <c r="I128" s="59">
        <v>0</v>
      </c>
      <c r="J128" s="398">
        <v>294.68005000000005</v>
      </c>
      <c r="K128" s="414">
        <f t="shared" si="6"/>
        <v>507.85239400000006</v>
      </c>
      <c r="L128" s="397"/>
      <c r="M128" s="397"/>
      <c r="N128" s="397">
        <f t="shared" si="5"/>
        <v>507.85239400000006</v>
      </c>
      <c r="O128" s="399">
        <f t="shared" si="7"/>
        <v>505</v>
      </c>
      <c r="P128" s="196" t="s">
        <v>247</v>
      </c>
      <c r="Q128" s="46">
        <v>1</v>
      </c>
      <c r="R128" s="218" t="s">
        <v>523</v>
      </c>
      <c r="S128" s="257">
        <v>180000</v>
      </c>
      <c r="T128" s="196"/>
      <c r="U128" s="46"/>
      <c r="V128" s="46"/>
      <c r="W128" s="257"/>
      <c r="X128" s="46"/>
      <c r="Y128" s="46"/>
      <c r="Z128" s="46"/>
      <c r="AA128" s="257"/>
      <c r="AB128" s="196"/>
      <c r="AC128" s="46"/>
      <c r="AD128" s="46"/>
      <c r="AE128" s="257"/>
      <c r="AF128" s="196"/>
      <c r="AG128" s="46"/>
      <c r="AH128" s="46"/>
      <c r="AI128" s="196"/>
      <c r="AJ128" s="400"/>
      <c r="AK128" s="196"/>
      <c r="AL128" s="46"/>
      <c r="AM128" s="218"/>
      <c r="AN128" s="257"/>
      <c r="AO128" s="248"/>
      <c r="AP128" s="46"/>
      <c r="AQ128" s="257"/>
      <c r="AR128" s="248"/>
      <c r="AS128" s="46"/>
      <c r="AT128" s="257"/>
      <c r="AU128" s="248"/>
      <c r="AV128" s="46"/>
      <c r="AW128" s="257"/>
      <c r="AX128" s="248"/>
      <c r="AY128" s="46"/>
      <c r="AZ128" s="257"/>
      <c r="BA128" s="46"/>
      <c r="BB128" s="46"/>
      <c r="BC128" s="46"/>
      <c r="BD128" s="46"/>
      <c r="BE128" s="46"/>
      <c r="BF128" s="257"/>
      <c r="BG128" s="46"/>
      <c r="BH128" s="46"/>
      <c r="BI128" s="46"/>
      <c r="BJ128" s="196"/>
      <c r="BK128" s="46"/>
      <c r="BL128" s="46"/>
      <c r="BM128" s="46"/>
      <c r="BN128" s="46"/>
      <c r="BO128" s="257"/>
      <c r="BP128" s="248"/>
      <c r="BQ128" s="46"/>
      <c r="BR128" s="257"/>
      <c r="BS128" s="46"/>
      <c r="BT128" s="46"/>
      <c r="BU128" s="257"/>
      <c r="BV128" s="196"/>
      <c r="BW128" s="46"/>
      <c r="BX128" s="46"/>
      <c r="BY128" s="46"/>
      <c r="BZ128" s="46"/>
      <c r="CA128" s="257"/>
      <c r="CB128" s="196"/>
      <c r="CC128" s="46"/>
      <c r="CD128" s="257"/>
      <c r="CE128" s="46"/>
      <c r="CF128" s="46"/>
      <c r="CG128" s="257"/>
      <c r="CH128" s="46"/>
      <c r="CI128" s="46"/>
      <c r="CJ128" s="46"/>
      <c r="CK128" s="46"/>
      <c r="CL128" s="46"/>
      <c r="CM128" s="257"/>
      <c r="CN128" s="46"/>
      <c r="CO128" s="376"/>
      <c r="CP128" s="257"/>
      <c r="CQ128" s="196" t="s">
        <v>249</v>
      </c>
      <c r="CR128" s="286" t="s">
        <v>660</v>
      </c>
      <c r="CS128" s="257">
        <f>CY128+DE128+DL128+DT128+EB128+EJ128+3*25000+250000</f>
        <v>325000</v>
      </c>
      <c r="CT128" s="196"/>
      <c r="CU128" s="317"/>
      <c r="CV128" s="391">
        <f t="shared" si="8"/>
        <v>0</v>
      </c>
      <c r="CW128" s="41"/>
      <c r="CX128" s="41"/>
      <c r="CY128" s="256"/>
      <c r="CZ128" s="308"/>
      <c r="DA128" s="308"/>
      <c r="DB128" s="420"/>
      <c r="DC128" s="41"/>
      <c r="DD128" s="41"/>
      <c r="DE128" s="256"/>
      <c r="DF128" s="41"/>
      <c r="DG128" s="41"/>
      <c r="DH128" s="391"/>
      <c r="DI128" s="41"/>
      <c r="DJ128" s="41"/>
      <c r="DK128" s="203"/>
      <c r="DL128" s="256"/>
      <c r="DM128" s="41"/>
      <c r="DN128" s="41"/>
      <c r="DO128" s="41"/>
      <c r="DP128" s="420"/>
      <c r="DQ128" s="41"/>
      <c r="DR128" s="41"/>
      <c r="DS128" s="203"/>
      <c r="DT128" s="256"/>
      <c r="DU128" s="46"/>
      <c r="DV128" s="46"/>
      <c r="DW128" s="196"/>
      <c r="DX128" s="391"/>
      <c r="DY128" s="41"/>
      <c r="DZ128" s="41"/>
      <c r="EA128" s="41"/>
      <c r="EB128" s="69"/>
      <c r="EC128" s="41"/>
      <c r="ED128" s="41"/>
      <c r="EE128" s="41"/>
      <c r="EF128" s="420"/>
      <c r="EG128" s="41"/>
      <c r="EH128" s="41"/>
      <c r="EI128" s="41"/>
      <c r="EJ128" s="256"/>
      <c r="EK128" s="41"/>
      <c r="EL128" s="41"/>
      <c r="EM128" s="41"/>
      <c r="EN128" s="391"/>
    </row>
    <row r="129" spans="1:144" ht="25.5">
      <c r="A129" s="45">
        <v>122</v>
      </c>
      <c r="B129" s="53" t="s">
        <v>301</v>
      </c>
      <c r="C129" s="45">
        <v>1</v>
      </c>
      <c r="D129" s="55" t="s">
        <v>258</v>
      </c>
      <c r="E129" s="54">
        <v>4</v>
      </c>
      <c r="F129" s="54">
        <v>5</v>
      </c>
      <c r="G129" s="397">
        <f>234818.892/1000</f>
        <v>234.81889200000001</v>
      </c>
      <c r="H129" s="59">
        <v>234818.89199999999</v>
      </c>
      <c r="I129" s="59">
        <v>0</v>
      </c>
      <c r="J129" s="398">
        <v>-240.35028000000011</v>
      </c>
      <c r="K129" s="414">
        <f t="shared" si="6"/>
        <v>-5.5313880000001063</v>
      </c>
      <c r="L129" s="397"/>
      <c r="M129" s="397"/>
      <c r="N129" s="397">
        <f t="shared" si="5"/>
        <v>-5.5313880000001063</v>
      </c>
      <c r="O129" s="399">
        <f t="shared" si="7"/>
        <v>14</v>
      </c>
      <c r="P129" s="196"/>
      <c r="Q129" s="46"/>
      <c r="R129" s="196"/>
      <c r="S129" s="257"/>
      <c r="T129" s="196"/>
      <c r="U129" s="46"/>
      <c r="V129" s="46"/>
      <c r="W129" s="257"/>
      <c r="X129" s="46"/>
      <c r="Y129" s="46"/>
      <c r="Z129" s="46"/>
      <c r="AA129" s="257"/>
      <c r="AB129" s="196"/>
      <c r="AC129" s="46"/>
      <c r="AD129" s="46"/>
      <c r="AE129" s="257"/>
      <c r="AF129" s="196"/>
      <c r="AG129" s="46"/>
      <c r="AH129" s="46"/>
      <c r="AI129" s="218"/>
      <c r="AJ129" s="400"/>
      <c r="AK129" s="196"/>
      <c r="AL129" s="46"/>
      <c r="AM129" s="218"/>
      <c r="AN129" s="257"/>
      <c r="AO129" s="196"/>
      <c r="AP129" s="46"/>
      <c r="AQ129" s="257"/>
      <c r="AR129" s="196"/>
      <c r="AS129" s="46"/>
      <c r="AT129" s="257"/>
      <c r="AU129" s="196"/>
      <c r="AV129" s="46"/>
      <c r="AW129" s="257"/>
      <c r="AX129" s="196"/>
      <c r="AY129" s="46"/>
      <c r="AZ129" s="257"/>
      <c r="BA129" s="46"/>
      <c r="BB129" s="46"/>
      <c r="BC129" s="46"/>
      <c r="BD129" s="46"/>
      <c r="BE129" s="46"/>
      <c r="BF129" s="257"/>
      <c r="BG129" s="46"/>
      <c r="BH129" s="46"/>
      <c r="BI129" s="46"/>
      <c r="BJ129" s="196"/>
      <c r="BK129" s="46"/>
      <c r="BL129" s="46"/>
      <c r="BM129" s="46"/>
      <c r="BN129" s="46"/>
      <c r="BO129" s="257"/>
      <c r="BP129" s="196"/>
      <c r="BQ129" s="46"/>
      <c r="BR129" s="257"/>
      <c r="BS129" s="46"/>
      <c r="BT129" s="46"/>
      <c r="BU129" s="257"/>
      <c r="BV129" s="196"/>
      <c r="BW129" s="46"/>
      <c r="BX129" s="46"/>
      <c r="BY129" s="46"/>
      <c r="BZ129" s="46"/>
      <c r="CA129" s="257"/>
      <c r="CB129" s="196"/>
      <c r="CC129" s="46"/>
      <c r="CD129" s="257"/>
      <c r="CE129" s="46"/>
      <c r="CF129" s="46"/>
      <c r="CG129" s="257"/>
      <c r="CH129" s="46"/>
      <c r="CI129" s="46"/>
      <c r="CJ129" s="46"/>
      <c r="CK129" s="46"/>
      <c r="CL129" s="46"/>
      <c r="CM129" s="257"/>
      <c r="CN129" s="46"/>
      <c r="CO129" s="376"/>
      <c r="CP129" s="257"/>
      <c r="CQ129" s="196"/>
      <c r="CR129" s="523" t="s">
        <v>521</v>
      </c>
      <c r="CS129" s="257">
        <f>CY129+DE129+DL129+DT129+EB129+EJ129+14000</f>
        <v>14000</v>
      </c>
      <c r="CT129" s="218"/>
      <c r="CU129" s="317"/>
      <c r="CV129" s="391">
        <f t="shared" si="8"/>
        <v>0</v>
      </c>
      <c r="CW129" s="41"/>
      <c r="CX129" s="41"/>
      <c r="CY129" s="256"/>
      <c r="CZ129" s="308"/>
      <c r="DA129" s="308"/>
      <c r="DB129" s="420"/>
      <c r="DC129" s="41"/>
      <c r="DD129" s="41"/>
      <c r="DE129" s="256"/>
      <c r="DF129" s="41"/>
      <c r="DG129" s="41"/>
      <c r="DH129" s="391"/>
      <c r="DI129" s="41"/>
      <c r="DJ129" s="41"/>
      <c r="DK129" s="203"/>
      <c r="DL129" s="256"/>
      <c r="DM129" s="41"/>
      <c r="DN129" s="41"/>
      <c r="DO129" s="41"/>
      <c r="DP129" s="420"/>
      <c r="DQ129" s="41"/>
      <c r="DR129" s="41"/>
      <c r="DS129" s="203"/>
      <c r="DT129" s="256"/>
      <c r="DU129" s="46"/>
      <c r="DV129" s="46"/>
      <c r="DW129" s="196"/>
      <c r="DX129" s="391"/>
      <c r="DY129" s="41"/>
      <c r="DZ129" s="41"/>
      <c r="EA129" s="41"/>
      <c r="EB129" s="69"/>
      <c r="EC129" s="41"/>
      <c r="ED129" s="41"/>
      <c r="EE129" s="41"/>
      <c r="EF129" s="420"/>
      <c r="EG129" s="41"/>
      <c r="EH129" s="41"/>
      <c r="EI129" s="41"/>
      <c r="EJ129" s="256"/>
      <c r="EK129" s="41"/>
      <c r="EL129" s="41"/>
      <c r="EM129" s="41"/>
      <c r="EN129" s="391"/>
    </row>
    <row r="130" spans="1:144" ht="55.15" customHeight="1">
      <c r="A130" s="45">
        <v>123</v>
      </c>
      <c r="B130" s="53" t="s">
        <v>301</v>
      </c>
      <c r="C130" s="45">
        <v>1</v>
      </c>
      <c r="D130" s="53" t="s">
        <v>258</v>
      </c>
      <c r="E130" s="54">
        <v>5</v>
      </c>
      <c r="F130" s="54">
        <v>5</v>
      </c>
      <c r="G130" s="397">
        <f>259492.464/1000</f>
        <v>259.49246399999998</v>
      </c>
      <c r="H130" s="59">
        <v>259492.46399999995</v>
      </c>
      <c r="I130" s="59">
        <v>0</v>
      </c>
      <c r="J130" s="398">
        <v>693.88993000000005</v>
      </c>
      <c r="K130" s="414">
        <f t="shared" si="6"/>
        <v>953.38239399999998</v>
      </c>
      <c r="L130" s="397"/>
      <c r="M130" s="397"/>
      <c r="N130" s="397">
        <f t="shared" si="5"/>
        <v>953.38239399999998</v>
      </c>
      <c r="O130" s="399">
        <f t="shared" si="7"/>
        <v>623</v>
      </c>
      <c r="P130" s="196" t="s">
        <v>227</v>
      </c>
      <c r="Q130" s="46">
        <v>1</v>
      </c>
      <c r="R130" s="218" t="s">
        <v>523</v>
      </c>
      <c r="S130" s="257">
        <v>180000</v>
      </c>
      <c r="T130" s="196"/>
      <c r="U130" s="46"/>
      <c r="V130" s="46"/>
      <c r="W130" s="257"/>
      <c r="X130" s="46"/>
      <c r="Y130" s="46"/>
      <c r="Z130" s="46"/>
      <c r="AA130" s="257"/>
      <c r="AB130" s="196"/>
      <c r="AC130" s="46"/>
      <c r="AD130" s="46"/>
      <c r="AE130" s="257"/>
      <c r="AF130" s="196" t="s">
        <v>228</v>
      </c>
      <c r="AG130" s="46" t="s">
        <v>335</v>
      </c>
      <c r="AH130" s="46">
        <v>210</v>
      </c>
      <c r="AI130" s="196" t="s">
        <v>768</v>
      </c>
      <c r="AJ130" s="400">
        <f>AH130*1800</f>
        <v>378000</v>
      </c>
      <c r="AK130" s="196"/>
      <c r="AL130" s="46"/>
      <c r="AM130" s="218"/>
      <c r="AN130" s="257"/>
      <c r="AO130" s="196"/>
      <c r="AP130" s="46"/>
      <c r="AQ130" s="257"/>
      <c r="AR130" s="196"/>
      <c r="AS130" s="46"/>
      <c r="AT130" s="257"/>
      <c r="AU130" s="196"/>
      <c r="AV130" s="46"/>
      <c r="AW130" s="257"/>
      <c r="AX130" s="196"/>
      <c r="AY130" s="46"/>
      <c r="AZ130" s="257"/>
      <c r="BA130" s="46"/>
      <c r="BB130" s="46"/>
      <c r="BC130" s="46"/>
      <c r="BD130" s="46"/>
      <c r="BE130" s="46"/>
      <c r="BF130" s="257"/>
      <c r="BG130" s="46"/>
      <c r="BH130" s="46"/>
      <c r="BI130" s="46"/>
      <c r="BJ130" s="196"/>
      <c r="BK130" s="46"/>
      <c r="BL130" s="46"/>
      <c r="BM130" s="46"/>
      <c r="BN130" s="46"/>
      <c r="BO130" s="257"/>
      <c r="BP130" s="196"/>
      <c r="BQ130" s="46"/>
      <c r="BR130" s="257"/>
      <c r="BS130" s="46"/>
      <c r="BT130" s="46"/>
      <c r="BU130" s="257"/>
      <c r="BV130" s="196"/>
      <c r="BW130" s="46"/>
      <c r="BX130" s="46"/>
      <c r="BY130" s="46"/>
      <c r="BZ130" s="46"/>
      <c r="CA130" s="257"/>
      <c r="CB130" s="196"/>
      <c r="CC130" s="46"/>
      <c r="CD130" s="257"/>
      <c r="CE130" s="46"/>
      <c r="CF130" s="46"/>
      <c r="CG130" s="257"/>
      <c r="CH130" s="46"/>
      <c r="CI130" s="46"/>
      <c r="CJ130" s="46"/>
      <c r="CK130" s="46"/>
      <c r="CL130" s="46"/>
      <c r="CM130" s="257"/>
      <c r="CN130" s="46"/>
      <c r="CO130" s="376"/>
      <c r="CP130" s="257"/>
      <c r="CQ130" s="196" t="s">
        <v>227</v>
      </c>
      <c r="CR130" s="286" t="s">
        <v>769</v>
      </c>
      <c r="CS130" s="257">
        <f>CY130+DE130+DL130+DT130+EB130+EJ130+20000</f>
        <v>65000</v>
      </c>
      <c r="CT130" s="218"/>
      <c r="CU130" s="317"/>
      <c r="CV130" s="391">
        <f t="shared" si="8"/>
        <v>0</v>
      </c>
      <c r="CW130" s="46">
        <v>6</v>
      </c>
      <c r="CX130" s="46"/>
      <c r="CY130" s="257"/>
      <c r="CZ130" s="308"/>
      <c r="DA130" s="317"/>
      <c r="DB130" s="420"/>
      <c r="DC130" s="41"/>
      <c r="DD130" s="41"/>
      <c r="DE130" s="256"/>
      <c r="DF130" s="41"/>
      <c r="DG130" s="41"/>
      <c r="DH130" s="391"/>
      <c r="DI130" s="41"/>
      <c r="DJ130" s="41"/>
      <c r="DK130" s="203"/>
      <c r="DL130" s="256"/>
      <c r="DM130" s="41"/>
      <c r="DN130" s="41"/>
      <c r="DO130" s="41"/>
      <c r="DP130" s="420"/>
      <c r="DQ130" s="41">
        <v>7</v>
      </c>
      <c r="DR130" s="41">
        <v>4</v>
      </c>
      <c r="DS130" s="203" t="s">
        <v>632</v>
      </c>
      <c r="DT130" s="256">
        <v>45000</v>
      </c>
      <c r="DU130" s="46"/>
      <c r="DV130" s="46"/>
      <c r="DW130" s="196"/>
      <c r="DX130" s="391"/>
      <c r="DY130" s="41"/>
      <c r="DZ130" s="41"/>
      <c r="EA130" s="41"/>
      <c r="EB130" s="69"/>
      <c r="EC130" s="41"/>
      <c r="ED130" s="41"/>
      <c r="EE130" s="41"/>
      <c r="EF130" s="420"/>
      <c r="EG130" s="41"/>
      <c r="EH130" s="41"/>
      <c r="EI130" s="41"/>
      <c r="EJ130" s="256"/>
      <c r="EK130" s="41"/>
      <c r="EL130" s="41"/>
      <c r="EM130" s="41"/>
      <c r="EN130" s="391"/>
    </row>
    <row r="131" spans="1:144" ht="25.5">
      <c r="A131" s="45">
        <v>124</v>
      </c>
      <c r="B131" s="53" t="s">
        <v>301</v>
      </c>
      <c r="C131" s="45">
        <v>1</v>
      </c>
      <c r="D131" s="53" t="s">
        <v>259</v>
      </c>
      <c r="E131" s="54">
        <v>1</v>
      </c>
      <c r="F131" s="54">
        <v>5</v>
      </c>
      <c r="G131" s="397">
        <f>32598.72/1000</f>
        <v>32.59872</v>
      </c>
      <c r="H131" s="59">
        <v>32598.720000000001</v>
      </c>
      <c r="I131" s="59">
        <v>0</v>
      </c>
      <c r="J131" s="398">
        <v>53.901650000000004</v>
      </c>
      <c r="K131" s="414">
        <f t="shared" si="6"/>
        <v>86.500370000000004</v>
      </c>
      <c r="L131" s="397"/>
      <c r="M131" s="397"/>
      <c r="N131" s="397">
        <f t="shared" si="5"/>
        <v>86.500370000000004</v>
      </c>
      <c r="O131" s="399">
        <f t="shared" si="7"/>
        <v>90</v>
      </c>
      <c r="P131" s="196"/>
      <c r="Q131" s="46"/>
      <c r="R131" s="196"/>
      <c r="S131" s="257"/>
      <c r="T131" s="196"/>
      <c r="U131" s="46"/>
      <c r="V131" s="46"/>
      <c r="W131" s="257"/>
      <c r="X131" s="46"/>
      <c r="Y131" s="46"/>
      <c r="Z131" s="46"/>
      <c r="AA131" s="257"/>
      <c r="AB131" s="196"/>
      <c r="AC131" s="46"/>
      <c r="AD131" s="46"/>
      <c r="AE131" s="257"/>
      <c r="AF131" s="196"/>
      <c r="AG131" s="46"/>
      <c r="AH131" s="46"/>
      <c r="AI131" s="196"/>
      <c r="AJ131" s="400"/>
      <c r="AK131" s="196"/>
      <c r="AL131" s="46"/>
      <c r="AM131" s="218"/>
      <c r="AN131" s="257"/>
      <c r="AO131" s="196"/>
      <c r="AP131" s="46"/>
      <c r="AQ131" s="257"/>
      <c r="AR131" s="196"/>
      <c r="AS131" s="46"/>
      <c r="AT131" s="257"/>
      <c r="AU131" s="196" t="s">
        <v>228</v>
      </c>
      <c r="AV131" s="46">
        <v>30</v>
      </c>
      <c r="AW131" s="257">
        <f>AV131*3000</f>
        <v>90000</v>
      </c>
      <c r="AX131" s="196"/>
      <c r="AY131" s="46"/>
      <c r="AZ131" s="257"/>
      <c r="BA131" s="46"/>
      <c r="BB131" s="46"/>
      <c r="BC131" s="46"/>
      <c r="BD131" s="46"/>
      <c r="BE131" s="46"/>
      <c r="BF131" s="257"/>
      <c r="BG131" s="46"/>
      <c r="BH131" s="46"/>
      <c r="BI131" s="46"/>
      <c r="BJ131" s="196"/>
      <c r="BK131" s="46"/>
      <c r="BL131" s="46"/>
      <c r="BM131" s="46"/>
      <c r="BN131" s="46"/>
      <c r="BO131" s="257"/>
      <c r="BP131" s="196"/>
      <c r="BQ131" s="46"/>
      <c r="BR131" s="257"/>
      <c r="BS131" s="46"/>
      <c r="BT131" s="46"/>
      <c r="BU131" s="257"/>
      <c r="BV131" s="196"/>
      <c r="BW131" s="46"/>
      <c r="BX131" s="46"/>
      <c r="BY131" s="46"/>
      <c r="BZ131" s="46"/>
      <c r="CA131" s="257"/>
      <c r="CB131" s="196"/>
      <c r="CC131" s="46"/>
      <c r="CD131" s="257"/>
      <c r="CE131" s="46"/>
      <c r="CF131" s="46"/>
      <c r="CG131" s="257"/>
      <c r="CH131" s="46"/>
      <c r="CI131" s="46"/>
      <c r="CJ131" s="46"/>
      <c r="CK131" s="46"/>
      <c r="CL131" s="46"/>
      <c r="CM131" s="257"/>
      <c r="CN131" s="46"/>
      <c r="CO131" s="376"/>
      <c r="CP131" s="257"/>
      <c r="CQ131" s="196"/>
      <c r="CR131" s="523"/>
      <c r="CS131" s="257">
        <f t="shared" si="9"/>
        <v>0</v>
      </c>
      <c r="CT131" s="196"/>
      <c r="CU131" s="317"/>
      <c r="CV131" s="391">
        <f t="shared" si="8"/>
        <v>0</v>
      </c>
      <c r="CW131" s="41"/>
      <c r="CX131" s="41"/>
      <c r="CY131" s="256"/>
      <c r="CZ131" s="308"/>
      <c r="DA131" s="308"/>
      <c r="DB131" s="420"/>
      <c r="DC131" s="41"/>
      <c r="DD131" s="41"/>
      <c r="DE131" s="256"/>
      <c r="DF131" s="41"/>
      <c r="DG131" s="41"/>
      <c r="DH131" s="391"/>
      <c r="DI131" s="41"/>
      <c r="DJ131" s="41"/>
      <c r="DK131" s="203"/>
      <c r="DL131" s="256"/>
      <c r="DM131" s="41"/>
      <c r="DN131" s="41"/>
      <c r="DO131" s="41"/>
      <c r="DP131" s="420"/>
      <c r="DQ131" s="41"/>
      <c r="DR131" s="41"/>
      <c r="DS131" s="203"/>
      <c r="DT131" s="256"/>
      <c r="DU131" s="46"/>
      <c r="DV131" s="46"/>
      <c r="DW131" s="196"/>
      <c r="DX131" s="391"/>
      <c r="DY131" s="41"/>
      <c r="DZ131" s="41"/>
      <c r="EA131" s="41"/>
      <c r="EB131" s="69"/>
      <c r="EC131" s="41"/>
      <c r="ED131" s="41"/>
      <c r="EE131" s="41"/>
      <c r="EF131" s="420"/>
      <c r="EG131" s="41"/>
      <c r="EH131" s="41"/>
      <c r="EI131" s="41"/>
      <c r="EJ131" s="256"/>
      <c r="EK131" s="41"/>
      <c r="EL131" s="41"/>
      <c r="EM131" s="41"/>
      <c r="EN131" s="391"/>
    </row>
    <row r="132" spans="1:144">
      <c r="A132" s="45">
        <v>125</v>
      </c>
      <c r="B132" s="53"/>
      <c r="C132" s="45">
        <v>1</v>
      </c>
      <c r="D132" s="53" t="s">
        <v>259</v>
      </c>
      <c r="E132" s="54">
        <v>2</v>
      </c>
      <c r="F132" s="54">
        <v>5</v>
      </c>
      <c r="G132" s="397">
        <f>32972.94/1000</f>
        <v>32.972940000000001</v>
      </c>
      <c r="H132" s="59">
        <v>32972.94</v>
      </c>
      <c r="I132" s="59">
        <v>0</v>
      </c>
      <c r="J132" s="398">
        <v>32.031350000000003</v>
      </c>
      <c r="K132" s="414">
        <f t="shared" si="6"/>
        <v>65.004289999999997</v>
      </c>
      <c r="L132" s="397"/>
      <c r="M132" s="397"/>
      <c r="N132" s="397">
        <f>K132-L132</f>
        <v>65.004289999999997</v>
      </c>
      <c r="O132" s="399">
        <f t="shared" si="7"/>
        <v>60</v>
      </c>
      <c r="P132" s="196"/>
      <c r="Q132" s="46"/>
      <c r="R132" s="196"/>
      <c r="S132" s="257"/>
      <c r="T132" s="196"/>
      <c r="U132" s="46"/>
      <c r="V132" s="46"/>
      <c r="W132" s="257"/>
      <c r="X132" s="46"/>
      <c r="Y132" s="46"/>
      <c r="Z132" s="46"/>
      <c r="AA132" s="257"/>
      <c r="AB132" s="196"/>
      <c r="AC132" s="46"/>
      <c r="AD132" s="46"/>
      <c r="AE132" s="257"/>
      <c r="AF132" s="196"/>
      <c r="AG132" s="46"/>
      <c r="AH132" s="46"/>
      <c r="AI132" s="196"/>
      <c r="AJ132" s="400"/>
      <c r="AK132" s="196"/>
      <c r="AL132" s="46"/>
      <c r="AM132" s="218"/>
      <c r="AN132" s="257"/>
      <c r="AO132" s="196" t="s">
        <v>250</v>
      </c>
      <c r="AP132" s="46">
        <v>20</v>
      </c>
      <c r="AQ132" s="257">
        <v>40000</v>
      </c>
      <c r="AR132" s="196"/>
      <c r="AS132" s="46"/>
      <c r="AT132" s="257"/>
      <c r="AU132" s="196" t="s">
        <v>254</v>
      </c>
      <c r="AV132" s="46" t="s">
        <v>575</v>
      </c>
      <c r="AW132" s="257">
        <f>40*500</f>
        <v>20000</v>
      </c>
      <c r="AX132" s="196"/>
      <c r="AY132" s="46"/>
      <c r="AZ132" s="257"/>
      <c r="BA132" s="46"/>
      <c r="BB132" s="46"/>
      <c r="BC132" s="46"/>
      <c r="BD132" s="46"/>
      <c r="BE132" s="46"/>
      <c r="BF132" s="257"/>
      <c r="BG132" s="46"/>
      <c r="BH132" s="46"/>
      <c r="BI132" s="46"/>
      <c r="BJ132" s="196"/>
      <c r="BK132" s="46"/>
      <c r="BL132" s="46"/>
      <c r="BM132" s="46"/>
      <c r="BN132" s="46"/>
      <c r="BO132" s="257"/>
      <c r="BP132" s="196"/>
      <c r="BQ132" s="46"/>
      <c r="BR132" s="257"/>
      <c r="BS132" s="46"/>
      <c r="BT132" s="46"/>
      <c r="BU132" s="257"/>
      <c r="BV132" s="196"/>
      <c r="BW132" s="46"/>
      <c r="BX132" s="46"/>
      <c r="BY132" s="46"/>
      <c r="BZ132" s="46"/>
      <c r="CA132" s="257"/>
      <c r="CB132" s="196"/>
      <c r="CC132" s="46"/>
      <c r="CD132" s="257"/>
      <c r="CE132" s="46"/>
      <c r="CF132" s="46"/>
      <c r="CG132" s="257"/>
      <c r="CH132" s="46"/>
      <c r="CI132" s="46"/>
      <c r="CJ132" s="46"/>
      <c r="CK132" s="46"/>
      <c r="CL132" s="46"/>
      <c r="CM132" s="257"/>
      <c r="CN132" s="46"/>
      <c r="CO132" s="376"/>
      <c r="CP132" s="257"/>
      <c r="CQ132" s="196"/>
      <c r="CR132" s="523"/>
      <c r="CS132" s="257">
        <f t="shared" si="9"/>
        <v>0</v>
      </c>
      <c r="CT132" s="196"/>
      <c r="CU132" s="317"/>
      <c r="CV132" s="391">
        <f t="shared" si="8"/>
        <v>0</v>
      </c>
      <c r="CW132" s="41"/>
      <c r="CX132" s="41"/>
      <c r="CY132" s="256"/>
      <c r="CZ132" s="308"/>
      <c r="DA132" s="308"/>
      <c r="DB132" s="420"/>
      <c r="DC132" s="41"/>
      <c r="DD132" s="41"/>
      <c r="DE132" s="256"/>
      <c r="DF132" s="41"/>
      <c r="DG132" s="41"/>
      <c r="DH132" s="391"/>
      <c r="DI132" s="41"/>
      <c r="DJ132" s="41"/>
      <c r="DK132" s="203"/>
      <c r="DL132" s="256"/>
      <c r="DM132" s="41"/>
      <c r="DN132" s="41"/>
      <c r="DO132" s="41"/>
      <c r="DP132" s="420"/>
      <c r="DQ132" s="41"/>
      <c r="DR132" s="41"/>
      <c r="DS132" s="203"/>
      <c r="DT132" s="256"/>
      <c r="DU132" s="46"/>
      <c r="DV132" s="46"/>
      <c r="DW132" s="196"/>
      <c r="DX132" s="391"/>
      <c r="DY132" s="41"/>
      <c r="DZ132" s="41"/>
      <c r="EA132" s="41"/>
      <c r="EB132" s="69"/>
      <c r="EC132" s="41"/>
      <c r="ED132" s="41"/>
      <c r="EE132" s="41"/>
      <c r="EF132" s="420"/>
      <c r="EG132" s="41"/>
      <c r="EH132" s="41"/>
      <c r="EI132" s="41"/>
      <c r="EJ132" s="256"/>
      <c r="EK132" s="41"/>
      <c r="EL132" s="41"/>
      <c r="EM132" s="41"/>
      <c r="EN132" s="391"/>
    </row>
    <row r="133" spans="1:144">
      <c r="A133" s="45">
        <v>126</v>
      </c>
      <c r="B133" s="53"/>
      <c r="C133" s="45">
        <v>1</v>
      </c>
      <c r="D133" s="53" t="s">
        <v>259</v>
      </c>
      <c r="E133" s="54">
        <v>3</v>
      </c>
      <c r="F133" s="54">
        <v>5</v>
      </c>
      <c r="G133" s="397">
        <f>32972.94/1000</f>
        <v>32.972940000000001</v>
      </c>
      <c r="H133" s="59">
        <v>32972.94</v>
      </c>
      <c r="I133" s="59">
        <v>0</v>
      </c>
      <c r="J133" s="398">
        <v>43.794119999999999</v>
      </c>
      <c r="K133" s="414">
        <f t="shared" si="6"/>
        <v>76.767060000000001</v>
      </c>
      <c r="L133" s="397"/>
      <c r="M133" s="397"/>
      <c r="N133" s="397">
        <f>K133-L133</f>
        <v>76.767060000000001</v>
      </c>
      <c r="O133" s="399">
        <f t="shared" si="7"/>
        <v>65</v>
      </c>
      <c r="P133" s="196"/>
      <c r="Q133" s="46"/>
      <c r="R133" s="196"/>
      <c r="S133" s="257"/>
      <c r="T133" s="196"/>
      <c r="U133" s="46"/>
      <c r="V133" s="46"/>
      <c r="W133" s="257"/>
      <c r="X133" s="46"/>
      <c r="Y133" s="46"/>
      <c r="Z133" s="46"/>
      <c r="AA133" s="257"/>
      <c r="AB133" s="196"/>
      <c r="AC133" s="46"/>
      <c r="AD133" s="46"/>
      <c r="AE133" s="257"/>
      <c r="AF133" s="196" t="s">
        <v>229</v>
      </c>
      <c r="AG133" s="46" t="s">
        <v>335</v>
      </c>
      <c r="AH133" s="46">
        <v>50</v>
      </c>
      <c r="AI133" s="196" t="s">
        <v>550</v>
      </c>
      <c r="AJ133" s="400">
        <f>AH133*1300</f>
        <v>65000</v>
      </c>
      <c r="AK133" s="196"/>
      <c r="AL133" s="46"/>
      <c r="AM133" s="218"/>
      <c r="AN133" s="257"/>
      <c r="AO133" s="196"/>
      <c r="AP133" s="46"/>
      <c r="AQ133" s="257"/>
      <c r="AR133" s="196"/>
      <c r="AS133" s="46"/>
      <c r="AT133" s="257"/>
      <c r="AU133" s="196"/>
      <c r="AV133" s="46"/>
      <c r="AW133" s="257"/>
      <c r="AX133" s="196"/>
      <c r="AY133" s="46"/>
      <c r="AZ133" s="257"/>
      <c r="BA133" s="46"/>
      <c r="BB133" s="46"/>
      <c r="BC133" s="46"/>
      <c r="BD133" s="46"/>
      <c r="BE133" s="46"/>
      <c r="BF133" s="257"/>
      <c r="BG133" s="46"/>
      <c r="BH133" s="46"/>
      <c r="BI133" s="46"/>
      <c r="BJ133" s="196"/>
      <c r="BK133" s="46"/>
      <c r="BL133" s="46"/>
      <c r="BM133" s="46"/>
      <c r="BN133" s="46"/>
      <c r="BO133" s="257"/>
      <c r="BP133" s="196"/>
      <c r="BQ133" s="46"/>
      <c r="BR133" s="257"/>
      <c r="BS133" s="46"/>
      <c r="BT133" s="46"/>
      <c r="BU133" s="257"/>
      <c r="BV133" s="196"/>
      <c r="BW133" s="46"/>
      <c r="BX133" s="46"/>
      <c r="BY133" s="46"/>
      <c r="BZ133" s="46"/>
      <c r="CA133" s="257"/>
      <c r="CB133" s="196"/>
      <c r="CC133" s="46"/>
      <c r="CD133" s="257"/>
      <c r="CE133" s="46"/>
      <c r="CF133" s="46"/>
      <c r="CG133" s="257"/>
      <c r="CH133" s="46"/>
      <c r="CI133" s="46"/>
      <c r="CJ133" s="46"/>
      <c r="CK133" s="46"/>
      <c r="CL133" s="46"/>
      <c r="CM133" s="257"/>
      <c r="CN133" s="46"/>
      <c r="CO133" s="376"/>
      <c r="CP133" s="257"/>
      <c r="CQ133" s="196"/>
      <c r="CR133" s="523"/>
      <c r="CS133" s="257">
        <f>CY133+DE133+DL133+DT133+EB133+EJ133</f>
        <v>0</v>
      </c>
      <c r="CT133" s="196"/>
      <c r="CU133" s="317"/>
      <c r="CV133" s="391">
        <f t="shared" si="8"/>
        <v>0</v>
      </c>
      <c r="CW133" s="41"/>
      <c r="CX133" s="41"/>
      <c r="CY133" s="256"/>
      <c r="CZ133" s="308"/>
      <c r="DA133" s="308"/>
      <c r="DB133" s="420"/>
      <c r="DC133" s="41"/>
      <c r="DD133" s="41"/>
      <c r="DE133" s="256"/>
      <c r="DF133" s="41"/>
      <c r="DG133" s="41"/>
      <c r="DH133" s="391"/>
      <c r="DI133" s="41"/>
      <c r="DJ133" s="41"/>
      <c r="DK133" s="203"/>
      <c r="DL133" s="256"/>
      <c r="DM133" s="41"/>
      <c r="DN133" s="41"/>
      <c r="DO133" s="41"/>
      <c r="DP133" s="420"/>
      <c r="DQ133" s="41"/>
      <c r="DR133" s="41"/>
      <c r="DS133" s="203"/>
      <c r="DT133" s="256"/>
      <c r="DU133" s="46"/>
      <c r="DV133" s="46"/>
      <c r="DW133" s="196"/>
      <c r="DX133" s="391"/>
      <c r="DY133" s="41"/>
      <c r="DZ133" s="41"/>
      <c r="EA133" s="41"/>
      <c r="EB133" s="69"/>
      <c r="EC133" s="41"/>
      <c r="ED133" s="41"/>
      <c r="EE133" s="41"/>
      <c r="EF133" s="420"/>
      <c r="EG133" s="41"/>
      <c r="EH133" s="41"/>
      <c r="EI133" s="41"/>
      <c r="EJ133" s="256"/>
      <c r="EK133" s="41"/>
      <c r="EL133" s="41"/>
      <c r="EM133" s="41"/>
      <c r="EN133" s="391"/>
    </row>
    <row r="134" spans="1:144" ht="25.5">
      <c r="A134" s="45">
        <v>127</v>
      </c>
      <c r="B134" s="53" t="s">
        <v>301</v>
      </c>
      <c r="C134" s="45">
        <v>1</v>
      </c>
      <c r="D134" s="55" t="s">
        <v>259</v>
      </c>
      <c r="E134" s="54">
        <v>4</v>
      </c>
      <c r="F134" s="54">
        <v>5</v>
      </c>
      <c r="G134" s="397">
        <f>47318.04/1000</f>
        <v>47.318040000000003</v>
      </c>
      <c r="H134" s="59">
        <v>47318.04</v>
      </c>
      <c r="I134" s="59">
        <v>0</v>
      </c>
      <c r="J134" s="398">
        <v>1.2169800000000137</v>
      </c>
      <c r="K134" s="414">
        <f t="shared" si="6"/>
        <v>48.535020000000017</v>
      </c>
      <c r="L134" s="397"/>
      <c r="M134" s="397"/>
      <c r="N134" s="397">
        <f t="shared" ref="N134:N193" si="10">K134-L134</f>
        <v>48.535020000000017</v>
      </c>
      <c r="O134" s="399">
        <f t="shared" si="7"/>
        <v>55</v>
      </c>
      <c r="P134" s="196"/>
      <c r="Q134" s="46"/>
      <c r="R134" s="196"/>
      <c r="S134" s="257"/>
      <c r="T134" s="196"/>
      <c r="U134" s="46"/>
      <c r="V134" s="46"/>
      <c r="W134" s="257"/>
      <c r="X134" s="46"/>
      <c r="Y134" s="46"/>
      <c r="Z134" s="46"/>
      <c r="AA134" s="257"/>
      <c r="AB134" s="196"/>
      <c r="AC134" s="46"/>
      <c r="AD134" s="46"/>
      <c r="AE134" s="257"/>
      <c r="AF134" s="196"/>
      <c r="AG134" s="46"/>
      <c r="AH134" s="46"/>
      <c r="AI134" s="196"/>
      <c r="AJ134" s="400"/>
      <c r="AK134" s="196"/>
      <c r="AL134" s="46"/>
      <c r="AM134" s="218"/>
      <c r="AN134" s="257"/>
      <c r="AO134" s="196" t="s">
        <v>250</v>
      </c>
      <c r="AP134" s="46">
        <v>20</v>
      </c>
      <c r="AQ134" s="257">
        <v>40000</v>
      </c>
      <c r="AR134" s="196"/>
      <c r="AS134" s="46"/>
      <c r="AT134" s="257"/>
      <c r="AU134" s="196"/>
      <c r="AV134" s="46"/>
      <c r="AW134" s="257"/>
      <c r="AX134" s="196"/>
      <c r="AY134" s="46"/>
      <c r="AZ134" s="257"/>
      <c r="BA134" s="46"/>
      <c r="BB134" s="46"/>
      <c r="BC134" s="46"/>
      <c r="BD134" s="46"/>
      <c r="BE134" s="46"/>
      <c r="BF134" s="257"/>
      <c r="BG134" s="46"/>
      <c r="BH134" s="46"/>
      <c r="BI134" s="46"/>
      <c r="BJ134" s="196"/>
      <c r="BK134" s="46"/>
      <c r="BL134" s="46"/>
      <c r="BM134" s="46"/>
      <c r="BN134" s="46"/>
      <c r="BO134" s="257"/>
      <c r="BP134" s="196"/>
      <c r="BQ134" s="167"/>
      <c r="BR134" s="257"/>
      <c r="BS134" s="46"/>
      <c r="BT134" s="46"/>
      <c r="BU134" s="257"/>
      <c r="BV134" s="196"/>
      <c r="BW134" s="46"/>
      <c r="BX134" s="46"/>
      <c r="BY134" s="46"/>
      <c r="BZ134" s="46"/>
      <c r="CA134" s="257"/>
      <c r="CB134" s="196"/>
      <c r="CC134" s="46"/>
      <c r="CD134" s="257"/>
      <c r="CE134" s="46"/>
      <c r="CF134" s="46"/>
      <c r="CG134" s="257"/>
      <c r="CH134" s="46"/>
      <c r="CI134" s="46"/>
      <c r="CJ134" s="46"/>
      <c r="CK134" s="46"/>
      <c r="CL134" s="46"/>
      <c r="CM134" s="257"/>
      <c r="CN134" s="46"/>
      <c r="CO134" s="376"/>
      <c r="CP134" s="257"/>
      <c r="CQ134" s="196" t="s">
        <v>254</v>
      </c>
      <c r="CR134" s="523" t="s">
        <v>661</v>
      </c>
      <c r="CS134" s="257">
        <f>CY134+DE134+DL134+DT134+EB134+EJ134+15000</f>
        <v>15000</v>
      </c>
      <c r="CT134" s="196"/>
      <c r="CU134" s="317"/>
      <c r="CV134" s="391">
        <f t="shared" si="8"/>
        <v>0</v>
      </c>
      <c r="CW134" s="41"/>
      <c r="CX134" s="41"/>
      <c r="CY134" s="256"/>
      <c r="CZ134" s="308"/>
      <c r="DA134" s="308"/>
      <c r="DB134" s="420"/>
      <c r="DC134" s="41"/>
      <c r="DD134" s="41"/>
      <c r="DE134" s="256"/>
      <c r="DF134" s="41"/>
      <c r="DG134" s="41"/>
      <c r="DH134" s="391"/>
      <c r="DI134" s="41"/>
      <c r="DJ134" s="41"/>
      <c r="DK134" s="203"/>
      <c r="DL134" s="256"/>
      <c r="DM134" s="41"/>
      <c r="DN134" s="41"/>
      <c r="DO134" s="41"/>
      <c r="DP134" s="420"/>
      <c r="DQ134" s="41"/>
      <c r="DR134" s="41"/>
      <c r="DS134" s="203"/>
      <c r="DT134" s="256"/>
      <c r="DU134" s="46"/>
      <c r="DV134" s="46"/>
      <c r="DW134" s="196"/>
      <c r="DX134" s="391"/>
      <c r="DY134" s="41"/>
      <c r="DZ134" s="41"/>
      <c r="EA134" s="41"/>
      <c r="EB134" s="69"/>
      <c r="EC134" s="41"/>
      <c r="ED134" s="41"/>
      <c r="EE134" s="41"/>
      <c r="EF134" s="420"/>
      <c r="EG134" s="41"/>
      <c r="EH134" s="41"/>
      <c r="EI134" s="41"/>
      <c r="EJ134" s="256"/>
      <c r="EK134" s="41"/>
      <c r="EL134" s="41"/>
      <c r="EM134" s="41"/>
      <c r="EN134" s="391"/>
    </row>
    <row r="135" spans="1:144" ht="60.6" customHeight="1">
      <c r="A135" s="45">
        <v>128</v>
      </c>
      <c r="B135" s="53" t="s">
        <v>301</v>
      </c>
      <c r="C135" s="45">
        <v>1</v>
      </c>
      <c r="D135" s="55" t="s">
        <v>259</v>
      </c>
      <c r="E135" s="54">
        <v>5</v>
      </c>
      <c r="F135" s="54">
        <v>5</v>
      </c>
      <c r="G135" s="397">
        <f>46594.548/1000</f>
        <v>46.594548000000003</v>
      </c>
      <c r="H135" s="59">
        <v>46594.547999999995</v>
      </c>
      <c r="I135" s="59">
        <v>0</v>
      </c>
      <c r="J135" s="398">
        <v>156.00910000000002</v>
      </c>
      <c r="K135" s="414">
        <f t="shared" si="6"/>
        <v>202.60364800000002</v>
      </c>
      <c r="L135" s="397"/>
      <c r="M135" s="397"/>
      <c r="N135" s="397">
        <f t="shared" si="10"/>
        <v>202.60364800000002</v>
      </c>
      <c r="O135" s="399">
        <f t="shared" si="7"/>
        <v>0</v>
      </c>
      <c r="P135" s="196"/>
      <c r="Q135" s="46"/>
      <c r="R135" s="196"/>
      <c r="S135" s="257"/>
      <c r="T135" s="196"/>
      <c r="U135" s="46"/>
      <c r="V135" s="46"/>
      <c r="W135" s="257"/>
      <c r="X135" s="46"/>
      <c r="Y135" s="46"/>
      <c r="Z135" s="46"/>
      <c r="AA135" s="257"/>
      <c r="AB135" s="196"/>
      <c r="AC135" s="46"/>
      <c r="AD135" s="46"/>
      <c r="AE135" s="257"/>
      <c r="AF135" s="196"/>
      <c r="AG135" s="46"/>
      <c r="AH135" s="46"/>
      <c r="AI135" s="196"/>
      <c r="AJ135" s="400"/>
      <c r="AK135" s="196"/>
      <c r="AL135" s="46"/>
      <c r="AM135" s="218"/>
      <c r="AN135" s="257"/>
      <c r="AO135" s="196"/>
      <c r="AP135" s="46"/>
      <c r="AQ135" s="257"/>
      <c r="AR135" s="196"/>
      <c r="AS135" s="46"/>
      <c r="AT135" s="257"/>
      <c r="AU135" s="196"/>
      <c r="AV135" s="46"/>
      <c r="AW135" s="257"/>
      <c r="AX135" s="196"/>
      <c r="AY135" s="46"/>
      <c r="AZ135" s="257"/>
      <c r="BA135" s="46"/>
      <c r="BB135" s="46"/>
      <c r="BC135" s="46"/>
      <c r="BD135" s="46"/>
      <c r="BE135" s="46"/>
      <c r="BF135" s="257"/>
      <c r="BG135" s="46"/>
      <c r="BH135" s="46"/>
      <c r="BI135" s="46"/>
      <c r="BJ135" s="196"/>
      <c r="BK135" s="46"/>
      <c r="BL135" s="46"/>
      <c r="BM135" s="46"/>
      <c r="BN135" s="46"/>
      <c r="BO135" s="257"/>
      <c r="BP135" s="196"/>
      <c r="BQ135" s="46"/>
      <c r="BR135" s="257"/>
      <c r="BS135" s="46"/>
      <c r="BT135" s="46"/>
      <c r="BU135" s="257"/>
      <c r="BV135" s="196"/>
      <c r="BW135" s="46"/>
      <c r="BX135" s="46"/>
      <c r="BY135" s="46"/>
      <c r="BZ135" s="46"/>
      <c r="CA135" s="257"/>
      <c r="CB135" s="196"/>
      <c r="CC135" s="46"/>
      <c r="CD135" s="257"/>
      <c r="CE135" s="46"/>
      <c r="CF135" s="46"/>
      <c r="CG135" s="257"/>
      <c r="CH135" s="46"/>
      <c r="CI135" s="46"/>
      <c r="CJ135" s="46"/>
      <c r="CK135" s="46"/>
      <c r="CL135" s="46"/>
      <c r="CM135" s="257"/>
      <c r="CN135" s="46"/>
      <c r="CO135" s="376"/>
      <c r="CP135" s="257"/>
      <c r="CQ135" s="196"/>
      <c r="CR135" s="286"/>
      <c r="CS135" s="257">
        <f t="shared" si="9"/>
        <v>0</v>
      </c>
      <c r="CT135" s="196"/>
      <c r="CU135" s="317"/>
      <c r="CV135" s="391">
        <f t="shared" si="8"/>
        <v>0</v>
      </c>
      <c r="CW135" s="41"/>
      <c r="CX135" s="41"/>
      <c r="CY135" s="256"/>
      <c r="CZ135" s="308"/>
      <c r="DA135" s="308"/>
      <c r="DB135" s="420"/>
      <c r="DC135" s="41"/>
      <c r="DD135" s="41"/>
      <c r="DE135" s="256"/>
      <c r="DF135" s="41"/>
      <c r="DG135" s="41"/>
      <c r="DH135" s="391"/>
      <c r="DI135" s="41"/>
      <c r="DJ135" s="41"/>
      <c r="DK135" s="203"/>
      <c r="DL135" s="256"/>
      <c r="DM135" s="41"/>
      <c r="DN135" s="41"/>
      <c r="DO135" s="41"/>
      <c r="DP135" s="420"/>
      <c r="DQ135" s="41"/>
      <c r="DR135" s="41"/>
      <c r="DS135" s="203"/>
      <c r="DT135" s="256"/>
      <c r="DU135" s="46"/>
      <c r="DV135" s="46"/>
      <c r="DW135" s="196"/>
      <c r="DX135" s="391"/>
      <c r="DY135" s="41"/>
      <c r="DZ135" s="41"/>
      <c r="EA135" s="41"/>
      <c r="EB135" s="69"/>
      <c r="EC135" s="41"/>
      <c r="ED135" s="41"/>
      <c r="EE135" s="41"/>
      <c r="EF135" s="420"/>
      <c r="EG135" s="41"/>
      <c r="EH135" s="41"/>
      <c r="EI135" s="41"/>
      <c r="EJ135" s="256"/>
      <c r="EK135" s="41"/>
      <c r="EL135" s="41"/>
      <c r="EM135" s="41"/>
      <c r="EN135" s="391"/>
    </row>
    <row r="136" spans="1:144" ht="36.75">
      <c r="A136" s="45">
        <v>129</v>
      </c>
      <c r="B136" s="53" t="s">
        <v>301</v>
      </c>
      <c r="C136" s="45">
        <v>1</v>
      </c>
      <c r="D136" s="55" t="s">
        <v>259</v>
      </c>
      <c r="E136" s="54">
        <v>6</v>
      </c>
      <c r="F136" s="54">
        <v>5</v>
      </c>
      <c r="G136" s="397">
        <f>32465.664/1000</f>
        <v>32.465664000000004</v>
      </c>
      <c r="H136" s="59">
        <v>32465.664000000004</v>
      </c>
      <c r="I136" s="59">
        <v>0</v>
      </c>
      <c r="J136" s="398">
        <v>84.535589999999999</v>
      </c>
      <c r="K136" s="414">
        <f t="shared" ref="K136:K199" si="11">J136+G136</f>
        <v>117.001254</v>
      </c>
      <c r="L136" s="397"/>
      <c r="M136" s="397"/>
      <c r="N136" s="397">
        <f t="shared" si="10"/>
        <v>117.001254</v>
      </c>
      <c r="O136" s="399">
        <f t="shared" ref="O136:O199" si="12">(S136+W136+AE136+AJ136+AQ136+AT136+AW136+AZ136+BC136+BF136+BL136+BR136+BX136+CD136+CJ136+CP136+CS136)/1000</f>
        <v>55</v>
      </c>
      <c r="P136" s="196"/>
      <c r="Q136" s="46"/>
      <c r="R136" s="196"/>
      <c r="S136" s="257"/>
      <c r="T136" s="196"/>
      <c r="U136" s="46"/>
      <c r="V136" s="46"/>
      <c r="W136" s="257"/>
      <c r="X136" s="46"/>
      <c r="Y136" s="46"/>
      <c r="Z136" s="46"/>
      <c r="AA136" s="257"/>
      <c r="AB136" s="196"/>
      <c r="AC136" s="46"/>
      <c r="AD136" s="46"/>
      <c r="AE136" s="257"/>
      <c r="AF136" s="196"/>
      <c r="AG136" s="46"/>
      <c r="AH136" s="46"/>
      <c r="AI136" s="196"/>
      <c r="AJ136" s="400"/>
      <c r="AK136" s="196"/>
      <c r="AL136" s="46"/>
      <c r="AM136" s="218"/>
      <c r="AN136" s="257"/>
      <c r="AO136" s="196"/>
      <c r="AP136" s="46"/>
      <c r="AQ136" s="257"/>
      <c r="AR136" s="196"/>
      <c r="AS136" s="46"/>
      <c r="AT136" s="257"/>
      <c r="AU136" s="196"/>
      <c r="AV136" s="46"/>
      <c r="AW136" s="257"/>
      <c r="AX136" s="196"/>
      <c r="AY136" s="46"/>
      <c r="AZ136" s="257"/>
      <c r="BA136" s="46"/>
      <c r="BB136" s="46"/>
      <c r="BC136" s="46"/>
      <c r="BD136" s="46"/>
      <c r="BE136" s="46"/>
      <c r="BF136" s="257"/>
      <c r="BG136" s="46"/>
      <c r="BH136" s="46"/>
      <c r="BI136" s="46"/>
      <c r="BJ136" s="196"/>
      <c r="BK136" s="46"/>
      <c r="BL136" s="46"/>
      <c r="BM136" s="46"/>
      <c r="BN136" s="46"/>
      <c r="BO136" s="257"/>
      <c r="BP136" s="196"/>
      <c r="BQ136" s="46"/>
      <c r="BR136" s="257"/>
      <c r="BS136" s="46"/>
      <c r="BT136" s="46"/>
      <c r="BU136" s="257"/>
      <c r="BV136" s="196"/>
      <c r="BW136" s="46"/>
      <c r="BX136" s="46"/>
      <c r="BY136" s="46"/>
      <c r="BZ136" s="46"/>
      <c r="CA136" s="257"/>
      <c r="CB136" s="196"/>
      <c r="CC136" s="46"/>
      <c r="CD136" s="257"/>
      <c r="CE136" s="46"/>
      <c r="CF136" s="46"/>
      <c r="CG136" s="257"/>
      <c r="CH136" s="46"/>
      <c r="CI136" s="46"/>
      <c r="CJ136" s="46"/>
      <c r="CK136" s="46"/>
      <c r="CL136" s="46"/>
      <c r="CM136" s="257"/>
      <c r="CN136" s="46"/>
      <c r="CO136" s="376"/>
      <c r="CP136" s="257"/>
      <c r="CQ136" s="196" t="s">
        <v>228</v>
      </c>
      <c r="CR136" s="286" t="s">
        <v>770</v>
      </c>
      <c r="CS136" s="257">
        <f>CY136+DE136+DL136+DT136+EB136+EJ136+20000+20000</f>
        <v>55000</v>
      </c>
      <c r="CT136" s="3"/>
      <c r="CU136" s="317"/>
      <c r="CV136" s="391">
        <f t="shared" ref="CV136:CV198" si="13">DB136+DH136+DP136+DX136+EF136+EN136</f>
        <v>0</v>
      </c>
      <c r="CW136" s="41"/>
      <c r="CX136" s="41"/>
      <c r="CY136" s="256"/>
      <c r="CZ136" s="308"/>
      <c r="DA136" s="308"/>
      <c r="DB136" s="420"/>
      <c r="DC136" s="41"/>
      <c r="DD136" s="41"/>
      <c r="DE136" s="256"/>
      <c r="DF136" s="41"/>
      <c r="DG136" s="41"/>
      <c r="DH136" s="391"/>
      <c r="DI136" s="41"/>
      <c r="DJ136" s="41"/>
      <c r="DK136" s="203"/>
      <c r="DL136" s="256"/>
      <c r="DM136" s="41"/>
      <c r="DN136" s="41"/>
      <c r="DO136" s="41"/>
      <c r="DP136" s="420"/>
      <c r="DQ136" s="41"/>
      <c r="DR136" s="41"/>
      <c r="DS136" s="203"/>
      <c r="DT136" s="256"/>
      <c r="DU136" s="46"/>
      <c r="DV136" s="46"/>
      <c r="DW136" s="196"/>
      <c r="DX136" s="391"/>
      <c r="DY136" s="41"/>
      <c r="DZ136" s="41"/>
      <c r="EA136" s="41"/>
      <c r="EB136" s="69"/>
      <c r="EC136" s="41"/>
      <c r="ED136" s="41"/>
      <c r="EE136" s="41"/>
      <c r="EF136" s="420"/>
      <c r="EG136" s="41">
        <v>9</v>
      </c>
      <c r="EH136" s="41">
        <v>1</v>
      </c>
      <c r="EI136" s="41">
        <v>1</v>
      </c>
      <c r="EJ136" s="256">
        <v>15000</v>
      </c>
      <c r="EK136" s="41"/>
      <c r="EL136" s="41"/>
      <c r="EM136" s="41"/>
      <c r="EN136" s="391"/>
    </row>
    <row r="137" spans="1:144" ht="25.5">
      <c r="A137" s="45">
        <v>130</v>
      </c>
      <c r="B137" s="53" t="s">
        <v>301</v>
      </c>
      <c r="C137" s="45">
        <v>1</v>
      </c>
      <c r="D137" s="55" t="s">
        <v>259</v>
      </c>
      <c r="E137" s="54">
        <v>7</v>
      </c>
      <c r="F137" s="54">
        <v>5</v>
      </c>
      <c r="G137" s="397">
        <f>32856.516/1000</f>
        <v>32.856516000000006</v>
      </c>
      <c r="H137" s="59">
        <v>32856.515999999996</v>
      </c>
      <c r="I137" s="59">
        <v>0</v>
      </c>
      <c r="J137" s="398">
        <v>102.96204999999999</v>
      </c>
      <c r="K137" s="414">
        <f t="shared" si="11"/>
        <v>135.818566</v>
      </c>
      <c r="L137" s="397"/>
      <c r="M137" s="397"/>
      <c r="N137" s="397">
        <f t="shared" si="10"/>
        <v>135.818566</v>
      </c>
      <c r="O137" s="399">
        <f t="shared" si="12"/>
        <v>135</v>
      </c>
      <c r="P137" s="196"/>
      <c r="Q137" s="46"/>
      <c r="R137" s="196"/>
      <c r="S137" s="257"/>
      <c r="T137" s="196"/>
      <c r="U137" s="46"/>
      <c r="V137" s="46"/>
      <c r="W137" s="257"/>
      <c r="X137" s="46"/>
      <c r="Y137" s="46"/>
      <c r="Z137" s="46"/>
      <c r="AA137" s="257"/>
      <c r="AB137" s="196"/>
      <c r="AC137" s="46"/>
      <c r="AD137" s="46"/>
      <c r="AE137" s="257"/>
      <c r="AF137" s="196"/>
      <c r="AG137" s="46"/>
      <c r="AH137" s="46"/>
      <c r="AI137" s="196"/>
      <c r="AJ137" s="400"/>
      <c r="AK137" s="196"/>
      <c r="AL137" s="46"/>
      <c r="AM137" s="218"/>
      <c r="AN137" s="257"/>
      <c r="AO137" s="196"/>
      <c r="AP137" s="46"/>
      <c r="AQ137" s="257"/>
      <c r="AR137" s="196"/>
      <c r="AS137" s="46"/>
      <c r="AT137" s="257"/>
      <c r="AU137" s="196"/>
      <c r="AV137" s="46"/>
      <c r="AW137" s="257"/>
      <c r="AX137" s="196"/>
      <c r="AY137" s="46"/>
      <c r="AZ137" s="257"/>
      <c r="BA137" s="46"/>
      <c r="BB137" s="46"/>
      <c r="BC137" s="46"/>
      <c r="BD137" s="46"/>
      <c r="BE137" s="46"/>
      <c r="BF137" s="257"/>
      <c r="BG137" s="46"/>
      <c r="BH137" s="46"/>
      <c r="BI137" s="46"/>
      <c r="BJ137" s="196"/>
      <c r="BK137" s="46"/>
      <c r="BL137" s="46"/>
      <c r="BM137" s="46"/>
      <c r="BN137" s="46"/>
      <c r="BO137" s="257"/>
      <c r="BP137" s="196"/>
      <c r="BQ137" s="191"/>
      <c r="BR137" s="257"/>
      <c r="BS137" s="46"/>
      <c r="BT137" s="46"/>
      <c r="BU137" s="257"/>
      <c r="BV137" s="196"/>
      <c r="BW137" s="46"/>
      <c r="BX137" s="46"/>
      <c r="BY137" s="46"/>
      <c r="BZ137" s="46"/>
      <c r="CA137" s="257"/>
      <c r="CB137" s="196"/>
      <c r="CC137" s="46"/>
      <c r="CD137" s="257"/>
      <c r="CE137" s="46"/>
      <c r="CF137" s="46"/>
      <c r="CG137" s="257"/>
      <c r="CH137" s="46"/>
      <c r="CI137" s="46"/>
      <c r="CJ137" s="46"/>
      <c r="CK137" s="46"/>
      <c r="CL137" s="46"/>
      <c r="CM137" s="257"/>
      <c r="CN137" s="46"/>
      <c r="CO137" s="376"/>
      <c r="CP137" s="257"/>
      <c r="CQ137" s="196"/>
      <c r="CR137" s="523" t="s">
        <v>554</v>
      </c>
      <c r="CS137" s="257">
        <f>CY137+DE137+DL137+DT137+EB137+EJ137+135000</f>
        <v>135000</v>
      </c>
      <c r="CT137" s="3"/>
      <c r="CU137" s="317"/>
      <c r="CV137" s="391">
        <f t="shared" si="13"/>
        <v>0</v>
      </c>
      <c r="CW137" s="41"/>
      <c r="CX137" s="41"/>
      <c r="CY137" s="256"/>
      <c r="CZ137" s="308"/>
      <c r="DA137" s="308"/>
      <c r="DB137" s="420"/>
      <c r="DC137" s="41"/>
      <c r="DD137" s="41"/>
      <c r="DE137" s="256"/>
      <c r="DF137" s="41"/>
      <c r="DG137" s="41"/>
      <c r="DH137" s="391"/>
      <c r="DI137" s="41"/>
      <c r="DJ137" s="41"/>
      <c r="DK137" s="203"/>
      <c r="DL137" s="256"/>
      <c r="DM137" s="41"/>
      <c r="DN137" s="41"/>
      <c r="DO137" s="41"/>
      <c r="DP137" s="420"/>
      <c r="DQ137" s="41"/>
      <c r="DR137" s="41"/>
      <c r="DS137" s="203"/>
      <c r="DT137" s="256"/>
      <c r="DU137" s="46"/>
      <c r="DV137" s="46"/>
      <c r="DW137" s="196"/>
      <c r="DX137" s="391"/>
      <c r="DY137" s="41"/>
      <c r="DZ137" s="41"/>
      <c r="EA137" s="41"/>
      <c r="EB137" s="69"/>
      <c r="EC137" s="41"/>
      <c r="ED137" s="41"/>
      <c r="EE137" s="41"/>
      <c r="EF137" s="420"/>
      <c r="EG137" s="41"/>
      <c r="EH137" s="41"/>
      <c r="EI137" s="41"/>
      <c r="EJ137" s="256"/>
      <c r="EK137" s="41"/>
      <c r="EL137" s="41"/>
      <c r="EM137" s="41"/>
      <c r="EN137" s="391"/>
    </row>
    <row r="138" spans="1:144" ht="73.900000000000006" customHeight="1">
      <c r="A138" s="45">
        <v>131</v>
      </c>
      <c r="B138" s="53" t="s">
        <v>301</v>
      </c>
      <c r="C138" s="45">
        <v>1</v>
      </c>
      <c r="D138" s="55" t="s">
        <v>259</v>
      </c>
      <c r="E138" s="54">
        <v>8</v>
      </c>
      <c r="F138" s="54">
        <v>5</v>
      </c>
      <c r="G138" s="397">
        <f>32665.248/1000</f>
        <v>32.665247999999998</v>
      </c>
      <c r="H138" s="59">
        <v>32665.248000000003</v>
      </c>
      <c r="I138" s="59">
        <v>0</v>
      </c>
      <c r="J138" s="398">
        <v>127.40008</v>
      </c>
      <c r="K138" s="414">
        <f t="shared" si="11"/>
        <v>160.06532799999999</v>
      </c>
      <c r="L138" s="397"/>
      <c r="M138" s="397"/>
      <c r="N138" s="397">
        <f t="shared" si="10"/>
        <v>160.06532799999999</v>
      </c>
      <c r="O138" s="399">
        <f t="shared" si="12"/>
        <v>155</v>
      </c>
      <c r="P138" s="196"/>
      <c r="Q138" s="46"/>
      <c r="R138" s="196"/>
      <c r="S138" s="257"/>
      <c r="T138" s="196"/>
      <c r="U138" s="46"/>
      <c r="V138" s="46"/>
      <c r="W138" s="257"/>
      <c r="X138" s="46"/>
      <c r="Y138" s="46"/>
      <c r="Z138" s="46"/>
      <c r="AA138" s="257"/>
      <c r="AB138" s="196"/>
      <c r="AC138" s="46"/>
      <c r="AD138" s="46"/>
      <c r="AE138" s="257"/>
      <c r="AF138" s="196"/>
      <c r="AG138" s="46"/>
      <c r="AH138" s="46"/>
      <c r="AI138" s="196"/>
      <c r="AJ138" s="400"/>
      <c r="AK138" s="196"/>
      <c r="AL138" s="46"/>
      <c r="AM138" s="218"/>
      <c r="AN138" s="257"/>
      <c r="AO138" s="196"/>
      <c r="AP138" s="46"/>
      <c r="AQ138" s="257"/>
      <c r="AR138" s="196"/>
      <c r="AS138" s="46"/>
      <c r="AT138" s="257"/>
      <c r="AU138" s="196" t="s">
        <v>228</v>
      </c>
      <c r="AV138" s="191" t="s">
        <v>772</v>
      </c>
      <c r="AW138" s="257">
        <v>15000</v>
      </c>
      <c r="AX138" s="196"/>
      <c r="AY138" s="46"/>
      <c r="AZ138" s="257"/>
      <c r="BA138" s="46"/>
      <c r="BB138" s="46"/>
      <c r="BC138" s="46"/>
      <c r="BD138" s="46"/>
      <c r="BE138" s="46"/>
      <c r="BF138" s="257"/>
      <c r="BG138" s="46"/>
      <c r="BH138" s="46"/>
      <c r="BI138" s="46"/>
      <c r="BJ138" s="196"/>
      <c r="BK138" s="46"/>
      <c r="BL138" s="46"/>
      <c r="BM138" s="46"/>
      <c r="BN138" s="46"/>
      <c r="BO138" s="257"/>
      <c r="BP138" s="196"/>
      <c r="BQ138" s="46"/>
      <c r="BR138" s="257"/>
      <c r="BS138" s="46"/>
      <c r="BT138" s="46"/>
      <c r="BU138" s="257"/>
      <c r="BV138" s="196"/>
      <c r="BW138" s="46"/>
      <c r="BX138" s="46"/>
      <c r="BY138" s="46"/>
      <c r="BZ138" s="46"/>
      <c r="CA138" s="257"/>
      <c r="CB138" s="196"/>
      <c r="CC138" s="46"/>
      <c r="CD138" s="257"/>
      <c r="CE138" s="46"/>
      <c r="CF138" s="46"/>
      <c r="CG138" s="257"/>
      <c r="CH138" s="46"/>
      <c r="CI138" s="46"/>
      <c r="CJ138" s="46"/>
      <c r="CK138" s="46"/>
      <c r="CL138" s="46"/>
      <c r="CM138" s="257"/>
      <c r="CN138" s="46"/>
      <c r="CO138" s="376"/>
      <c r="CP138" s="257"/>
      <c r="CQ138" s="218" t="s">
        <v>254</v>
      </c>
      <c r="CR138" s="286" t="s">
        <v>771</v>
      </c>
      <c r="CS138" s="257">
        <f t="shared" ref="CS138:CS198" si="14">CY138+DE138+DL138+DT138+EB138+EJ138</f>
        <v>140000</v>
      </c>
      <c r="CT138" s="196"/>
      <c r="CU138" s="317"/>
      <c r="CV138" s="391">
        <f t="shared" si="13"/>
        <v>0</v>
      </c>
      <c r="CW138" s="41">
        <v>4</v>
      </c>
      <c r="CX138" s="41">
        <v>4</v>
      </c>
      <c r="CY138" s="256">
        <v>80000</v>
      </c>
      <c r="CZ138" s="308"/>
      <c r="DA138" s="308"/>
      <c r="DB138" s="420"/>
      <c r="DC138" s="41">
        <v>8</v>
      </c>
      <c r="DD138" s="41">
        <v>60</v>
      </c>
      <c r="DE138" s="256">
        <v>60000</v>
      </c>
      <c r="DF138" s="41"/>
      <c r="DG138" s="41"/>
      <c r="DH138" s="391"/>
      <c r="DI138" s="41"/>
      <c r="DJ138" s="41"/>
      <c r="DK138" s="203"/>
      <c r="DL138" s="256"/>
      <c r="DM138" s="41"/>
      <c r="DN138" s="41"/>
      <c r="DO138" s="41"/>
      <c r="DP138" s="420"/>
      <c r="DQ138" s="41"/>
      <c r="DR138" s="41"/>
      <c r="DS138" s="203"/>
      <c r="DT138" s="256"/>
      <c r="DU138" s="46"/>
      <c r="DV138" s="46"/>
      <c r="DW138" s="196"/>
      <c r="DX138" s="391"/>
      <c r="DY138" s="41"/>
      <c r="DZ138" s="41"/>
      <c r="EA138" s="41"/>
      <c r="EB138" s="69"/>
      <c r="EC138" s="41"/>
      <c r="ED138" s="41"/>
      <c r="EE138" s="41"/>
      <c r="EF138" s="420"/>
      <c r="EG138" s="41"/>
      <c r="EH138" s="41"/>
      <c r="EI138" s="41"/>
      <c r="EJ138" s="256"/>
      <c r="EK138" s="41"/>
      <c r="EL138" s="41"/>
      <c r="EM138" s="41"/>
      <c r="EN138" s="391"/>
    </row>
    <row r="139" spans="1:144" ht="25.5">
      <c r="A139" s="45">
        <v>132</v>
      </c>
      <c r="B139" s="53" t="s">
        <v>301</v>
      </c>
      <c r="C139" s="45">
        <v>1</v>
      </c>
      <c r="D139" s="55" t="s">
        <v>259</v>
      </c>
      <c r="E139" s="54" t="s">
        <v>260</v>
      </c>
      <c r="F139" s="54">
        <v>5</v>
      </c>
      <c r="G139" s="397">
        <f>61895.988/1000</f>
        <v>61.895987999999996</v>
      </c>
      <c r="H139" s="59">
        <v>61895.987999999998</v>
      </c>
      <c r="I139" s="59">
        <v>0</v>
      </c>
      <c r="J139" s="398">
        <v>107.47622</v>
      </c>
      <c r="K139" s="414">
        <f t="shared" si="11"/>
        <v>169.372208</v>
      </c>
      <c r="L139" s="397"/>
      <c r="M139" s="397"/>
      <c r="N139" s="397">
        <f t="shared" si="10"/>
        <v>169.372208</v>
      </c>
      <c r="O139" s="399">
        <f t="shared" si="12"/>
        <v>158.6</v>
      </c>
      <c r="P139" s="196" t="s">
        <v>254</v>
      </c>
      <c r="Q139" s="46">
        <v>1</v>
      </c>
      <c r="R139" s="196" t="s">
        <v>523</v>
      </c>
      <c r="S139" s="257">
        <v>90000</v>
      </c>
      <c r="T139" s="196"/>
      <c r="U139" s="46"/>
      <c r="V139" s="46"/>
      <c r="W139" s="257"/>
      <c r="X139" s="46"/>
      <c r="Y139" s="46"/>
      <c r="Z139" s="46"/>
      <c r="AA139" s="257"/>
      <c r="AB139" s="196"/>
      <c r="AC139" s="46"/>
      <c r="AD139" s="46"/>
      <c r="AE139" s="257"/>
      <c r="AF139" s="196"/>
      <c r="AG139" s="46"/>
      <c r="AH139" s="46"/>
      <c r="AI139" s="196"/>
      <c r="AJ139" s="400"/>
      <c r="AK139" s="196"/>
      <c r="AL139" s="46"/>
      <c r="AM139" s="218"/>
      <c r="AN139" s="257"/>
      <c r="AO139" s="196"/>
      <c r="AP139" s="46"/>
      <c r="AQ139" s="257"/>
      <c r="AR139" s="196"/>
      <c r="AS139" s="46"/>
      <c r="AT139" s="257"/>
      <c r="AU139" s="196"/>
      <c r="AV139" s="46"/>
      <c r="AW139" s="257"/>
      <c r="AX139" s="196" t="s">
        <v>250</v>
      </c>
      <c r="AY139" s="46">
        <v>22</v>
      </c>
      <c r="AZ139" s="257">
        <f>AY139*1300</f>
        <v>28600</v>
      </c>
      <c r="BA139" s="46"/>
      <c r="BB139" s="46"/>
      <c r="BC139" s="46"/>
      <c r="BD139" s="46"/>
      <c r="BE139" s="46"/>
      <c r="BF139" s="257"/>
      <c r="BG139" s="46"/>
      <c r="BH139" s="46"/>
      <c r="BI139" s="46"/>
      <c r="BJ139" s="196"/>
      <c r="BK139" s="46"/>
      <c r="BL139" s="46"/>
      <c r="BM139" s="46"/>
      <c r="BN139" s="46"/>
      <c r="BO139" s="257"/>
      <c r="BP139" s="196"/>
      <c r="BQ139" s="46"/>
      <c r="BR139" s="257"/>
      <c r="BS139" s="46"/>
      <c r="BT139" s="46"/>
      <c r="BU139" s="257"/>
      <c r="BV139" s="196"/>
      <c r="BW139" s="46"/>
      <c r="BX139" s="46"/>
      <c r="BY139" s="46"/>
      <c r="BZ139" s="46"/>
      <c r="CA139" s="257"/>
      <c r="CB139" s="196"/>
      <c r="CC139" s="46"/>
      <c r="CD139" s="257"/>
      <c r="CE139" s="46"/>
      <c r="CF139" s="46"/>
      <c r="CG139" s="257"/>
      <c r="CH139" s="46"/>
      <c r="CI139" s="46"/>
      <c r="CJ139" s="46"/>
      <c r="CK139" s="46"/>
      <c r="CL139" s="46"/>
      <c r="CM139" s="257"/>
      <c r="CN139" s="46"/>
      <c r="CO139" s="376"/>
      <c r="CP139" s="257"/>
      <c r="CQ139" s="196" t="s">
        <v>226</v>
      </c>
      <c r="CR139" s="286" t="s">
        <v>773</v>
      </c>
      <c r="CS139" s="257">
        <f t="shared" si="14"/>
        <v>40000</v>
      </c>
      <c r="CT139" s="196"/>
      <c r="CU139" s="317"/>
      <c r="CV139" s="391">
        <f t="shared" si="13"/>
        <v>0</v>
      </c>
      <c r="CW139" s="41">
        <v>5</v>
      </c>
      <c r="CX139" s="41">
        <v>2</v>
      </c>
      <c r="CY139" s="256">
        <v>40000</v>
      </c>
      <c r="CZ139" s="308"/>
      <c r="DA139" s="308"/>
      <c r="DB139" s="420"/>
      <c r="DC139" s="41"/>
      <c r="DD139" s="41"/>
      <c r="DE139" s="256"/>
      <c r="DF139" s="41"/>
      <c r="DG139" s="41"/>
      <c r="DH139" s="391"/>
      <c r="DI139" s="41"/>
      <c r="DJ139" s="41"/>
      <c r="DK139" s="203"/>
      <c r="DL139" s="256"/>
      <c r="DM139" s="41"/>
      <c r="DN139" s="41"/>
      <c r="DO139" s="41"/>
      <c r="DP139" s="420"/>
      <c r="DQ139" s="41"/>
      <c r="DR139" s="41"/>
      <c r="DS139" s="203"/>
      <c r="DT139" s="256"/>
      <c r="DU139" s="46"/>
      <c r="DV139" s="46"/>
      <c r="DW139" s="196"/>
      <c r="DX139" s="391"/>
      <c r="DY139" s="41"/>
      <c r="DZ139" s="41"/>
      <c r="EA139" s="41"/>
      <c r="EB139" s="69"/>
      <c r="EC139" s="41"/>
      <c r="ED139" s="41"/>
      <c r="EE139" s="41"/>
      <c r="EF139" s="420"/>
      <c r="EG139" s="41"/>
      <c r="EH139" s="41"/>
      <c r="EI139" s="41"/>
      <c r="EJ139" s="256"/>
      <c r="EK139" s="41"/>
      <c r="EL139" s="41"/>
      <c r="EM139" s="41"/>
      <c r="EN139" s="391"/>
    </row>
    <row r="140" spans="1:144" ht="25.5">
      <c r="A140" s="45">
        <v>133</v>
      </c>
      <c r="B140" s="53" t="s">
        <v>301</v>
      </c>
      <c r="C140" s="45">
        <v>1</v>
      </c>
      <c r="D140" s="55" t="s">
        <v>259</v>
      </c>
      <c r="E140" s="54">
        <v>9</v>
      </c>
      <c r="F140" s="54">
        <v>5</v>
      </c>
      <c r="G140" s="397">
        <f>47051.928/1000</f>
        <v>47.051927999999997</v>
      </c>
      <c r="H140" s="59">
        <v>47051.928</v>
      </c>
      <c r="I140" s="59">
        <v>0</v>
      </c>
      <c r="J140" s="398">
        <v>14.095980000000004</v>
      </c>
      <c r="K140" s="414">
        <f t="shared" si="11"/>
        <v>61.147908000000001</v>
      </c>
      <c r="L140" s="397"/>
      <c r="M140" s="397"/>
      <c r="N140" s="397">
        <f t="shared" si="10"/>
        <v>61.147908000000001</v>
      </c>
      <c r="O140" s="399">
        <f t="shared" si="12"/>
        <v>55</v>
      </c>
      <c r="P140" s="196"/>
      <c r="Q140" s="46"/>
      <c r="R140" s="196"/>
      <c r="S140" s="257"/>
      <c r="T140" s="196"/>
      <c r="U140" s="46"/>
      <c r="V140" s="46"/>
      <c r="W140" s="257"/>
      <c r="X140" s="46"/>
      <c r="Y140" s="46"/>
      <c r="Z140" s="46"/>
      <c r="AA140" s="257"/>
      <c r="AB140" s="196"/>
      <c r="AC140" s="46"/>
      <c r="AD140" s="46"/>
      <c r="AE140" s="257"/>
      <c r="AF140" s="196"/>
      <c r="AG140" s="46"/>
      <c r="AH140" s="46"/>
      <c r="AI140" s="196"/>
      <c r="AJ140" s="400"/>
      <c r="AK140" s="196"/>
      <c r="AL140" s="46"/>
      <c r="AM140" s="218"/>
      <c r="AN140" s="257"/>
      <c r="AO140" s="196" t="s">
        <v>254</v>
      </c>
      <c r="AP140" s="191" t="s">
        <v>662</v>
      </c>
      <c r="AQ140" s="257">
        <v>5000</v>
      </c>
      <c r="AR140" s="196"/>
      <c r="AS140" s="46"/>
      <c r="AT140" s="257"/>
      <c r="AU140" s="196"/>
      <c r="AV140" s="46"/>
      <c r="AW140" s="257"/>
      <c r="AX140" s="196"/>
      <c r="AY140" s="46"/>
      <c r="AZ140" s="257"/>
      <c r="BA140" s="46"/>
      <c r="BB140" s="46"/>
      <c r="BC140" s="46"/>
      <c r="BD140" s="46"/>
      <c r="BE140" s="46"/>
      <c r="BF140" s="257"/>
      <c r="BG140" s="46"/>
      <c r="BH140" s="46"/>
      <c r="BI140" s="46"/>
      <c r="BJ140" s="196"/>
      <c r="BK140" s="46"/>
      <c r="BL140" s="46"/>
      <c r="BM140" s="46"/>
      <c r="BN140" s="46"/>
      <c r="BO140" s="257"/>
      <c r="BP140" s="196" t="s">
        <v>248</v>
      </c>
      <c r="BQ140" s="190" t="s">
        <v>663</v>
      </c>
      <c r="BR140" s="257">
        <v>10000</v>
      </c>
      <c r="BS140" s="46"/>
      <c r="BT140" s="46"/>
      <c r="BU140" s="257"/>
      <c r="BV140" s="196"/>
      <c r="BW140" s="46"/>
      <c r="BX140" s="46"/>
      <c r="BY140" s="46"/>
      <c r="BZ140" s="46"/>
      <c r="CA140" s="257"/>
      <c r="CB140" s="196"/>
      <c r="CC140" s="46"/>
      <c r="CD140" s="257"/>
      <c r="CE140" s="46"/>
      <c r="CF140" s="46"/>
      <c r="CG140" s="257"/>
      <c r="CH140" s="46"/>
      <c r="CI140" s="46"/>
      <c r="CJ140" s="46"/>
      <c r="CK140" s="46"/>
      <c r="CL140" s="46"/>
      <c r="CM140" s="257"/>
      <c r="CN140" s="46"/>
      <c r="CO140" s="376"/>
      <c r="CP140" s="257"/>
      <c r="CQ140" s="196" t="s">
        <v>227</v>
      </c>
      <c r="CR140" s="286" t="s">
        <v>548</v>
      </c>
      <c r="CS140" s="257">
        <f t="shared" si="14"/>
        <v>40000</v>
      </c>
      <c r="CT140" s="526"/>
      <c r="CU140" s="317"/>
      <c r="CV140" s="391">
        <f t="shared" si="13"/>
        <v>0</v>
      </c>
      <c r="CW140" s="41"/>
      <c r="CX140" s="41"/>
      <c r="CY140" s="256"/>
      <c r="CZ140" s="308"/>
      <c r="DA140" s="308"/>
      <c r="DB140" s="420"/>
      <c r="DC140" s="41"/>
      <c r="DD140" s="41"/>
      <c r="DE140" s="256"/>
      <c r="DF140" s="41"/>
      <c r="DG140" s="41"/>
      <c r="DH140" s="391"/>
      <c r="DI140" s="41"/>
      <c r="DJ140" s="41"/>
      <c r="DK140" s="203"/>
      <c r="DL140" s="256"/>
      <c r="DM140" s="41"/>
      <c r="DN140" s="41"/>
      <c r="DO140" s="41"/>
      <c r="DP140" s="420"/>
      <c r="DQ140" s="41">
        <v>7</v>
      </c>
      <c r="DR140" s="41">
        <v>2</v>
      </c>
      <c r="DS140" s="203" t="s">
        <v>560</v>
      </c>
      <c r="DT140" s="256">
        <v>40000</v>
      </c>
      <c r="DU140" s="46"/>
      <c r="DV140" s="46"/>
      <c r="DW140" s="196"/>
      <c r="DX140" s="391"/>
      <c r="DY140" s="41"/>
      <c r="DZ140" s="41"/>
      <c r="EA140" s="41"/>
      <c r="EB140" s="69"/>
      <c r="EC140" s="41"/>
      <c r="ED140" s="41"/>
      <c r="EE140" s="41"/>
      <c r="EF140" s="420"/>
      <c r="EG140" s="41"/>
      <c r="EH140" s="41"/>
      <c r="EI140" s="41"/>
      <c r="EJ140" s="256"/>
      <c r="EK140" s="41"/>
      <c r="EL140" s="41"/>
      <c r="EM140" s="41"/>
      <c r="EN140" s="391"/>
    </row>
    <row r="141" spans="1:144" ht="25.5">
      <c r="A141" s="45">
        <v>134</v>
      </c>
      <c r="B141" s="53" t="s">
        <v>301</v>
      </c>
      <c r="C141" s="45">
        <v>1</v>
      </c>
      <c r="D141" s="55" t="s">
        <v>259</v>
      </c>
      <c r="E141" s="54">
        <v>10</v>
      </c>
      <c r="F141" s="54">
        <v>5</v>
      </c>
      <c r="G141" s="397">
        <f>46519.704/1000</f>
        <v>46.519703999999997</v>
      </c>
      <c r="H141" s="59">
        <v>46519.703999999998</v>
      </c>
      <c r="I141" s="59">
        <v>0</v>
      </c>
      <c r="J141" s="398">
        <v>101.80933999999999</v>
      </c>
      <c r="K141" s="414">
        <f t="shared" si="11"/>
        <v>148.32904399999998</v>
      </c>
      <c r="L141" s="397"/>
      <c r="M141" s="397"/>
      <c r="N141" s="397">
        <f t="shared" si="10"/>
        <v>148.32904399999998</v>
      </c>
      <c r="O141" s="399">
        <f t="shared" si="12"/>
        <v>138</v>
      </c>
      <c r="P141" s="196" t="s">
        <v>247</v>
      </c>
      <c r="Q141" s="46">
        <v>1</v>
      </c>
      <c r="R141" s="196" t="s">
        <v>523</v>
      </c>
      <c r="S141" s="257">
        <v>90000</v>
      </c>
      <c r="T141" s="196"/>
      <c r="U141" s="46"/>
      <c r="V141" s="46"/>
      <c r="W141" s="257"/>
      <c r="X141" s="46"/>
      <c r="Y141" s="46"/>
      <c r="Z141" s="46"/>
      <c r="AA141" s="257"/>
      <c r="AB141" s="196"/>
      <c r="AC141" s="46"/>
      <c r="AD141" s="46"/>
      <c r="AE141" s="257"/>
      <c r="AF141" s="196"/>
      <c r="AG141" s="46"/>
      <c r="AH141" s="46"/>
      <c r="AI141" s="196"/>
      <c r="AJ141" s="400"/>
      <c r="AK141" s="196"/>
      <c r="AL141" s="46"/>
      <c r="AM141" s="218"/>
      <c r="AN141" s="257"/>
      <c r="AO141" s="196"/>
      <c r="AP141" s="46"/>
      <c r="AQ141" s="257"/>
      <c r="AR141" s="196"/>
      <c r="AS141" s="46"/>
      <c r="AT141" s="257"/>
      <c r="AU141" s="196"/>
      <c r="AV141" s="46"/>
      <c r="AW141" s="257"/>
      <c r="AX141" s="196"/>
      <c r="AY141" s="46"/>
      <c r="AZ141" s="257"/>
      <c r="BA141" s="46"/>
      <c r="BB141" s="46"/>
      <c r="BC141" s="46"/>
      <c r="BD141" s="46"/>
      <c r="BE141" s="46"/>
      <c r="BF141" s="257"/>
      <c r="BG141" s="46"/>
      <c r="BH141" s="46"/>
      <c r="BI141" s="46"/>
      <c r="BJ141" s="196"/>
      <c r="BK141" s="46"/>
      <c r="BL141" s="46"/>
      <c r="BM141" s="46"/>
      <c r="BN141" s="46"/>
      <c r="BO141" s="257"/>
      <c r="BP141" s="196"/>
      <c r="BQ141" s="46"/>
      <c r="BR141" s="257"/>
      <c r="BS141" s="46"/>
      <c r="BT141" s="46"/>
      <c r="BU141" s="257"/>
      <c r="BV141" s="196"/>
      <c r="BW141" s="46"/>
      <c r="BX141" s="46"/>
      <c r="BY141" s="46"/>
      <c r="BZ141" s="46"/>
      <c r="CA141" s="257"/>
      <c r="CB141" s="196"/>
      <c r="CC141" s="46"/>
      <c r="CD141" s="257"/>
      <c r="CE141" s="46"/>
      <c r="CF141" s="46"/>
      <c r="CG141" s="257"/>
      <c r="CH141" s="46"/>
      <c r="CI141" s="46"/>
      <c r="CJ141" s="46"/>
      <c r="CK141" s="46"/>
      <c r="CL141" s="46"/>
      <c r="CM141" s="257"/>
      <c r="CN141" s="46"/>
      <c r="CO141" s="376"/>
      <c r="CP141" s="257"/>
      <c r="CQ141" s="196" t="s">
        <v>227</v>
      </c>
      <c r="CR141" s="286" t="s">
        <v>524</v>
      </c>
      <c r="CS141" s="257">
        <f t="shared" si="14"/>
        <v>48000</v>
      </c>
      <c r="CT141" s="196"/>
      <c r="CU141" s="317"/>
      <c r="CV141" s="391">
        <f t="shared" si="13"/>
        <v>0</v>
      </c>
      <c r="CW141" s="41"/>
      <c r="CX141" s="41"/>
      <c r="CY141" s="256"/>
      <c r="CZ141" s="308"/>
      <c r="DA141" s="308"/>
      <c r="DB141" s="420"/>
      <c r="DC141" s="41">
        <v>7</v>
      </c>
      <c r="DD141" s="41">
        <v>60</v>
      </c>
      <c r="DE141" s="256">
        <v>48000</v>
      </c>
      <c r="DF141" s="41"/>
      <c r="DG141" s="41"/>
      <c r="DH141" s="391"/>
      <c r="DI141" s="41"/>
      <c r="DJ141" s="41"/>
      <c r="DK141" s="203"/>
      <c r="DL141" s="256"/>
      <c r="DM141" s="41"/>
      <c r="DN141" s="41"/>
      <c r="DO141" s="41"/>
      <c r="DP141" s="420"/>
      <c r="DQ141" s="41"/>
      <c r="DR141" s="41"/>
      <c r="DS141" s="203"/>
      <c r="DT141" s="256"/>
      <c r="DU141" s="46"/>
      <c r="DV141" s="46"/>
      <c r="DW141" s="196"/>
      <c r="DX141" s="391"/>
      <c r="DY141" s="41"/>
      <c r="DZ141" s="41"/>
      <c r="EA141" s="41"/>
      <c r="EB141" s="69"/>
      <c r="EC141" s="41"/>
      <c r="ED141" s="41"/>
      <c r="EE141" s="41"/>
      <c r="EF141" s="420"/>
      <c r="EG141" s="41"/>
      <c r="EH141" s="41"/>
      <c r="EI141" s="41"/>
      <c r="EJ141" s="256"/>
      <c r="EK141" s="41"/>
      <c r="EL141" s="41"/>
      <c r="EM141" s="41"/>
      <c r="EN141" s="391"/>
    </row>
    <row r="142" spans="1:144" ht="72" customHeight="1">
      <c r="A142" s="45">
        <v>135</v>
      </c>
      <c r="B142" s="53" t="s">
        <v>301</v>
      </c>
      <c r="C142" s="45">
        <v>1</v>
      </c>
      <c r="D142" s="53" t="s">
        <v>259</v>
      </c>
      <c r="E142" s="54">
        <v>11</v>
      </c>
      <c r="F142" s="54">
        <v>5</v>
      </c>
      <c r="G142" s="397">
        <f>46710.972/1000</f>
        <v>46.710971999999998</v>
      </c>
      <c r="H142" s="59">
        <v>46710.972000000002</v>
      </c>
      <c r="I142" s="59">
        <v>0</v>
      </c>
      <c r="J142" s="398">
        <v>179.73400999999998</v>
      </c>
      <c r="K142" s="414">
        <f t="shared" si="11"/>
        <v>226.44498199999998</v>
      </c>
      <c r="L142" s="397"/>
      <c r="M142" s="397"/>
      <c r="N142" s="397">
        <f t="shared" si="10"/>
        <v>226.44498199999998</v>
      </c>
      <c r="O142" s="399">
        <f t="shared" si="12"/>
        <v>220</v>
      </c>
      <c r="P142" s="196" t="s">
        <v>249</v>
      </c>
      <c r="Q142" s="46">
        <v>2</v>
      </c>
      <c r="R142" s="196" t="s">
        <v>560</v>
      </c>
      <c r="S142" s="257">
        <v>180000</v>
      </c>
      <c r="T142" s="196"/>
      <c r="U142" s="46"/>
      <c r="V142" s="46"/>
      <c r="W142" s="257"/>
      <c r="X142" s="46"/>
      <c r="Y142" s="46"/>
      <c r="Z142" s="46"/>
      <c r="AA142" s="257"/>
      <c r="AB142" s="196"/>
      <c r="AC142" s="46"/>
      <c r="AD142" s="46"/>
      <c r="AE142" s="257"/>
      <c r="AF142" s="196"/>
      <c r="AG142" s="46"/>
      <c r="AH142" s="46"/>
      <c r="AI142" s="196"/>
      <c r="AJ142" s="400"/>
      <c r="AK142" s="196"/>
      <c r="AL142" s="46"/>
      <c r="AM142" s="218"/>
      <c r="AN142" s="257"/>
      <c r="AO142" s="196"/>
      <c r="AP142" s="46"/>
      <c r="AQ142" s="257"/>
      <c r="AR142" s="196"/>
      <c r="AS142" s="46"/>
      <c r="AT142" s="257"/>
      <c r="AU142" s="196"/>
      <c r="AV142" s="46"/>
      <c r="AW142" s="257"/>
      <c r="AX142" s="196"/>
      <c r="AY142" s="46"/>
      <c r="AZ142" s="257"/>
      <c r="BA142" s="46"/>
      <c r="BB142" s="46"/>
      <c r="BC142" s="46"/>
      <c r="BD142" s="46"/>
      <c r="BE142" s="46"/>
      <c r="BF142" s="257"/>
      <c r="BG142" s="46"/>
      <c r="BH142" s="46"/>
      <c r="BI142" s="46"/>
      <c r="BJ142" s="196"/>
      <c r="BK142" s="46"/>
      <c r="BL142" s="46"/>
      <c r="BM142" s="46"/>
      <c r="BN142" s="46"/>
      <c r="BO142" s="257"/>
      <c r="BP142" s="196"/>
      <c r="BQ142" s="167"/>
      <c r="BR142" s="257"/>
      <c r="BS142" s="46"/>
      <c r="BT142" s="46"/>
      <c r="BU142" s="257"/>
      <c r="BV142" s="196"/>
      <c r="BW142" s="46"/>
      <c r="BX142" s="46"/>
      <c r="BY142" s="46"/>
      <c r="BZ142" s="46"/>
      <c r="CA142" s="257"/>
      <c r="CB142" s="196"/>
      <c r="CC142" s="46"/>
      <c r="CD142" s="257"/>
      <c r="CE142" s="46"/>
      <c r="CF142" s="46"/>
      <c r="CG142" s="257"/>
      <c r="CH142" s="46"/>
      <c r="CI142" s="46"/>
      <c r="CJ142" s="46"/>
      <c r="CK142" s="46"/>
      <c r="CL142" s="46"/>
      <c r="CM142" s="257"/>
      <c r="CN142" s="46"/>
      <c r="CO142" s="376"/>
      <c r="CP142" s="257"/>
      <c r="CQ142" s="218"/>
      <c r="CR142" s="286" t="s">
        <v>554</v>
      </c>
      <c r="CS142" s="257">
        <f>CY142+DE142+DL142+DT142+EB142+EJ142+40000</f>
        <v>40000</v>
      </c>
      <c r="CT142" s="196"/>
      <c r="CU142" s="317"/>
      <c r="CV142" s="391">
        <f t="shared" si="13"/>
        <v>0</v>
      </c>
      <c r="CW142" s="41"/>
      <c r="CX142" s="41"/>
      <c r="CY142" s="256"/>
      <c r="CZ142" s="308"/>
      <c r="DA142" s="308"/>
      <c r="DB142" s="420"/>
      <c r="DC142" s="41"/>
      <c r="DD142" s="41"/>
      <c r="DE142" s="256"/>
      <c r="DF142" s="41"/>
      <c r="DG142" s="41"/>
      <c r="DH142" s="391"/>
      <c r="DI142" s="41"/>
      <c r="DJ142" s="41"/>
      <c r="DK142" s="203"/>
      <c r="DL142" s="256"/>
      <c r="DM142" s="41"/>
      <c r="DN142" s="41"/>
      <c r="DO142" s="41"/>
      <c r="DP142" s="420"/>
      <c r="DQ142" s="41"/>
      <c r="DR142" s="41"/>
      <c r="DS142" s="203"/>
      <c r="DT142" s="256"/>
      <c r="DU142" s="46"/>
      <c r="DV142" s="46"/>
      <c r="DW142" s="196"/>
      <c r="DX142" s="391"/>
      <c r="DY142" s="41"/>
      <c r="DZ142" s="41"/>
      <c r="EA142" s="41"/>
      <c r="EB142" s="69"/>
      <c r="EC142" s="41"/>
      <c r="ED142" s="41"/>
      <c r="EE142" s="41"/>
      <c r="EF142" s="420"/>
      <c r="EG142" s="41"/>
      <c r="EH142" s="41"/>
      <c r="EI142" s="41"/>
      <c r="EJ142" s="256"/>
      <c r="EK142" s="41"/>
      <c r="EL142" s="41"/>
      <c r="EM142" s="41"/>
      <c r="EN142" s="391"/>
    </row>
    <row r="143" spans="1:144" ht="60.75">
      <c r="A143" s="45">
        <v>136</v>
      </c>
      <c r="B143" s="53" t="s">
        <v>301</v>
      </c>
      <c r="C143" s="45">
        <v>1</v>
      </c>
      <c r="D143" s="55" t="s">
        <v>259</v>
      </c>
      <c r="E143" s="54">
        <v>12</v>
      </c>
      <c r="F143" s="54">
        <v>5</v>
      </c>
      <c r="G143" s="397">
        <f>46819.08/1000</f>
        <v>46.81908</v>
      </c>
      <c r="H143" s="59">
        <v>46819.08</v>
      </c>
      <c r="I143" s="59">
        <v>0</v>
      </c>
      <c r="J143" s="398">
        <v>162.64044000000004</v>
      </c>
      <c r="K143" s="414">
        <f t="shared" si="11"/>
        <v>209.45952000000005</v>
      </c>
      <c r="L143" s="397"/>
      <c r="M143" s="397"/>
      <c r="N143" s="397">
        <f t="shared" si="10"/>
        <v>209.45952000000005</v>
      </c>
      <c r="O143" s="399">
        <f t="shared" si="12"/>
        <v>115</v>
      </c>
      <c r="P143" s="196"/>
      <c r="Q143" s="46"/>
      <c r="R143" s="196"/>
      <c r="S143" s="257"/>
      <c r="T143" s="196"/>
      <c r="U143" s="46"/>
      <c r="V143" s="46"/>
      <c r="W143" s="257"/>
      <c r="X143" s="46"/>
      <c r="Y143" s="46"/>
      <c r="Z143" s="46"/>
      <c r="AA143" s="257"/>
      <c r="AB143" s="196"/>
      <c r="AC143" s="46"/>
      <c r="AD143" s="46"/>
      <c r="AE143" s="257"/>
      <c r="AF143" s="196"/>
      <c r="AG143" s="46"/>
      <c r="AH143" s="46"/>
      <c r="AI143" s="196"/>
      <c r="AJ143" s="400"/>
      <c r="AK143" s="196"/>
      <c r="AL143" s="46"/>
      <c r="AM143" s="218"/>
      <c r="AN143" s="257"/>
      <c r="AO143" s="196"/>
      <c r="AP143" s="46"/>
      <c r="AQ143" s="257"/>
      <c r="AR143" s="196"/>
      <c r="AS143" s="46"/>
      <c r="AT143" s="257"/>
      <c r="AU143" s="196"/>
      <c r="AV143" s="46"/>
      <c r="AW143" s="257"/>
      <c r="AX143" s="196"/>
      <c r="AY143" s="46"/>
      <c r="AZ143" s="257"/>
      <c r="BA143" s="46"/>
      <c r="BB143" s="46"/>
      <c r="BC143" s="46"/>
      <c r="BD143" s="46"/>
      <c r="BE143" s="46"/>
      <c r="BF143" s="257"/>
      <c r="BG143" s="46"/>
      <c r="BH143" s="46"/>
      <c r="BI143" s="46"/>
      <c r="BJ143" s="196"/>
      <c r="BK143" s="46"/>
      <c r="BL143" s="46"/>
      <c r="BM143" s="46"/>
      <c r="BN143" s="46"/>
      <c r="BO143" s="257"/>
      <c r="BP143" s="196"/>
      <c r="BQ143" s="46"/>
      <c r="BR143" s="257"/>
      <c r="BS143" s="46"/>
      <c r="BT143" s="46"/>
      <c r="BU143" s="257"/>
      <c r="BV143" s="196"/>
      <c r="BW143" s="46"/>
      <c r="BX143" s="46"/>
      <c r="BY143" s="46"/>
      <c r="BZ143" s="46"/>
      <c r="CA143" s="257"/>
      <c r="CB143" s="196"/>
      <c r="CC143" s="46"/>
      <c r="CD143" s="257"/>
      <c r="CE143" s="46"/>
      <c r="CF143" s="46"/>
      <c r="CG143" s="257"/>
      <c r="CH143" s="46"/>
      <c r="CI143" s="46"/>
      <c r="CJ143" s="46"/>
      <c r="CK143" s="46"/>
      <c r="CL143" s="46"/>
      <c r="CM143" s="257"/>
      <c r="CN143" s="46"/>
      <c r="CO143" s="376"/>
      <c r="CP143" s="257"/>
      <c r="CQ143" s="218" t="s">
        <v>228</v>
      </c>
      <c r="CR143" s="286" t="s">
        <v>664</v>
      </c>
      <c r="CS143" s="257">
        <f t="shared" si="14"/>
        <v>115000</v>
      </c>
      <c r="CT143" s="196"/>
      <c r="CU143" s="317"/>
      <c r="CV143" s="391">
        <f t="shared" si="13"/>
        <v>0</v>
      </c>
      <c r="CW143" s="41"/>
      <c r="CX143" s="41"/>
      <c r="CY143" s="256"/>
      <c r="CZ143" s="308"/>
      <c r="DA143" s="308"/>
      <c r="DB143" s="420"/>
      <c r="DC143" s="41">
        <v>9</v>
      </c>
      <c r="DD143" s="41">
        <v>60</v>
      </c>
      <c r="DE143" s="256">
        <v>48000</v>
      </c>
      <c r="DF143" s="41"/>
      <c r="DG143" s="41"/>
      <c r="DH143" s="391"/>
      <c r="DI143" s="41">
        <v>9</v>
      </c>
      <c r="DJ143" s="41">
        <v>2</v>
      </c>
      <c r="DK143" s="203" t="s">
        <v>560</v>
      </c>
      <c r="DL143" s="256">
        <v>30000</v>
      </c>
      <c r="DM143" s="41"/>
      <c r="DN143" s="41"/>
      <c r="DO143" s="41"/>
      <c r="DP143" s="420"/>
      <c r="DQ143" s="41">
        <v>9</v>
      </c>
      <c r="DR143" s="41">
        <v>1</v>
      </c>
      <c r="DS143" s="203" t="s">
        <v>224</v>
      </c>
      <c r="DT143" s="256">
        <v>7000</v>
      </c>
      <c r="DU143" s="46"/>
      <c r="DV143" s="46"/>
      <c r="DW143" s="196"/>
      <c r="DX143" s="391"/>
      <c r="DY143" s="41"/>
      <c r="DZ143" s="41"/>
      <c r="EA143" s="41"/>
      <c r="EB143" s="69"/>
      <c r="EC143" s="41"/>
      <c r="ED143" s="41"/>
      <c r="EE143" s="41"/>
      <c r="EF143" s="420"/>
      <c r="EG143" s="41">
        <v>9</v>
      </c>
      <c r="EH143" s="41">
        <v>2</v>
      </c>
      <c r="EI143" s="41">
        <v>1.2</v>
      </c>
      <c r="EJ143" s="256">
        <v>30000</v>
      </c>
      <c r="EK143" s="41"/>
      <c r="EL143" s="41"/>
      <c r="EM143" s="41"/>
      <c r="EN143" s="391"/>
    </row>
    <row r="144" spans="1:144" ht="25.5">
      <c r="A144" s="45">
        <v>137</v>
      </c>
      <c r="B144" s="53" t="s">
        <v>301</v>
      </c>
      <c r="C144" s="45">
        <v>1</v>
      </c>
      <c r="D144" s="55" t="s">
        <v>259</v>
      </c>
      <c r="E144" s="54">
        <v>14</v>
      </c>
      <c r="F144" s="54">
        <v>5</v>
      </c>
      <c r="G144" s="397">
        <f>47151.72/1000</f>
        <v>47.151720000000005</v>
      </c>
      <c r="H144" s="59">
        <v>47151.72</v>
      </c>
      <c r="I144" s="59">
        <v>0</v>
      </c>
      <c r="J144" s="398">
        <v>112.17836</v>
      </c>
      <c r="K144" s="414">
        <f t="shared" si="11"/>
        <v>159.33008000000001</v>
      </c>
      <c r="L144" s="397"/>
      <c r="M144" s="397"/>
      <c r="N144" s="397">
        <f t="shared" si="10"/>
        <v>159.33008000000001</v>
      </c>
      <c r="O144" s="399">
        <f t="shared" si="12"/>
        <v>150</v>
      </c>
      <c r="P144" s="196" t="s">
        <v>229</v>
      </c>
      <c r="Q144" s="46">
        <v>1</v>
      </c>
      <c r="R144" s="196" t="s">
        <v>523</v>
      </c>
      <c r="S144" s="257">
        <v>90000</v>
      </c>
      <c r="T144" s="196"/>
      <c r="U144" s="46"/>
      <c r="V144" s="46"/>
      <c r="W144" s="257"/>
      <c r="X144" s="46"/>
      <c r="Y144" s="46"/>
      <c r="Z144" s="46"/>
      <c r="AA144" s="257"/>
      <c r="AB144" s="196"/>
      <c r="AC144" s="46"/>
      <c r="AD144" s="46"/>
      <c r="AE144" s="257"/>
      <c r="AF144" s="196"/>
      <c r="AG144" s="46"/>
      <c r="AH144" s="46"/>
      <c r="AI144" s="196"/>
      <c r="AJ144" s="400"/>
      <c r="AK144" s="196"/>
      <c r="AL144" s="46"/>
      <c r="AM144" s="218"/>
      <c r="AN144" s="257"/>
      <c r="AO144" s="196"/>
      <c r="AP144" s="46"/>
      <c r="AQ144" s="257"/>
      <c r="AR144" s="196"/>
      <c r="AS144" s="46"/>
      <c r="AT144" s="257"/>
      <c r="AU144" s="196"/>
      <c r="AV144" s="46"/>
      <c r="AW144" s="257"/>
      <c r="AX144" s="196"/>
      <c r="AY144" s="46"/>
      <c r="AZ144" s="257"/>
      <c r="BA144" s="46"/>
      <c r="BB144" s="46"/>
      <c r="BC144" s="46"/>
      <c r="BD144" s="46"/>
      <c r="BE144" s="46"/>
      <c r="BF144" s="257"/>
      <c r="BG144" s="46"/>
      <c r="BH144" s="46"/>
      <c r="BI144" s="46"/>
      <c r="BJ144" s="196"/>
      <c r="BK144" s="46"/>
      <c r="BL144" s="46"/>
      <c r="BM144" s="46"/>
      <c r="BN144" s="46"/>
      <c r="BO144" s="257"/>
      <c r="BP144" s="196"/>
      <c r="BQ144" s="46"/>
      <c r="BR144" s="257"/>
      <c r="BS144" s="46"/>
      <c r="BT144" s="46"/>
      <c r="BU144" s="257"/>
      <c r="BV144" s="196"/>
      <c r="BW144" s="46"/>
      <c r="BX144" s="46"/>
      <c r="BY144" s="46"/>
      <c r="BZ144" s="46"/>
      <c r="CA144" s="257"/>
      <c r="CB144" s="196"/>
      <c r="CC144" s="46"/>
      <c r="CD144" s="257"/>
      <c r="CE144" s="46"/>
      <c r="CF144" s="46"/>
      <c r="CG144" s="257"/>
      <c r="CH144" s="46"/>
      <c r="CI144" s="46"/>
      <c r="CJ144" s="46"/>
      <c r="CK144" s="46"/>
      <c r="CL144" s="46"/>
      <c r="CM144" s="257"/>
      <c r="CN144" s="46"/>
      <c r="CO144" s="376"/>
      <c r="CP144" s="257"/>
      <c r="CQ144" s="196"/>
      <c r="CR144" s="286" t="s">
        <v>554</v>
      </c>
      <c r="CS144" s="257">
        <f>CY144+DE144+DL144+DT144+EB144+EJ144+60000</f>
        <v>60000</v>
      </c>
      <c r="CT144" s="218" t="s">
        <v>523</v>
      </c>
      <c r="CU144" s="317" t="s">
        <v>779</v>
      </c>
      <c r="CV144" s="391">
        <f t="shared" si="13"/>
        <v>20271.86</v>
      </c>
      <c r="CW144" s="41"/>
      <c r="CX144" s="41"/>
      <c r="CY144" s="256"/>
      <c r="CZ144" s="308">
        <v>1</v>
      </c>
      <c r="DA144" s="308">
        <v>3</v>
      </c>
      <c r="DB144" s="420">
        <f>20271.86</f>
        <v>20271.86</v>
      </c>
      <c r="DC144" s="41"/>
      <c r="DD144" s="41"/>
      <c r="DE144" s="256"/>
      <c r="DF144" s="41"/>
      <c r="DG144" s="41"/>
      <c r="DH144" s="391"/>
      <c r="DI144" s="41"/>
      <c r="DJ144" s="41"/>
      <c r="DK144" s="203"/>
      <c r="DL144" s="256"/>
      <c r="DM144" s="41"/>
      <c r="DN144" s="41"/>
      <c r="DO144" s="41"/>
      <c r="DP144" s="420"/>
      <c r="DQ144" s="41"/>
      <c r="DR144" s="41"/>
      <c r="DS144" s="203"/>
      <c r="DT144" s="256"/>
      <c r="DU144" s="46"/>
      <c r="DV144" s="46"/>
      <c r="DW144" s="196"/>
      <c r="DX144" s="391"/>
      <c r="DY144" s="41"/>
      <c r="DZ144" s="41"/>
      <c r="EA144" s="41"/>
      <c r="EB144" s="69"/>
      <c r="EC144" s="41"/>
      <c r="ED144" s="41"/>
      <c r="EE144" s="41"/>
      <c r="EF144" s="420"/>
      <c r="EG144" s="41"/>
      <c r="EH144" s="41"/>
      <c r="EI144" s="41"/>
      <c r="EJ144" s="256"/>
      <c r="EK144" s="41"/>
      <c r="EL144" s="41"/>
      <c r="EM144" s="41"/>
      <c r="EN144" s="391"/>
    </row>
    <row r="145" spans="1:144" ht="25.5">
      <c r="A145" s="45">
        <v>138</v>
      </c>
      <c r="B145" s="53" t="s">
        <v>301</v>
      </c>
      <c r="C145" s="45">
        <v>1</v>
      </c>
      <c r="D145" s="55" t="s">
        <v>259</v>
      </c>
      <c r="E145" s="54">
        <v>16</v>
      </c>
      <c r="F145" s="54">
        <v>5</v>
      </c>
      <c r="G145" s="397">
        <f>47301.408/1000</f>
        <v>47.301408000000002</v>
      </c>
      <c r="H145" s="59">
        <v>47301.407999999996</v>
      </c>
      <c r="I145" s="59">
        <v>0</v>
      </c>
      <c r="J145" s="398">
        <v>38.677299999999995</v>
      </c>
      <c r="K145" s="414">
        <f t="shared" si="11"/>
        <v>85.978707999999997</v>
      </c>
      <c r="L145" s="397"/>
      <c r="M145" s="397"/>
      <c r="N145" s="397">
        <f t="shared" si="10"/>
        <v>85.978707999999997</v>
      </c>
      <c r="O145" s="399">
        <f t="shared" si="12"/>
        <v>90</v>
      </c>
      <c r="P145" s="196" t="s">
        <v>250</v>
      </c>
      <c r="Q145" s="46">
        <v>1</v>
      </c>
      <c r="R145" s="196" t="s">
        <v>224</v>
      </c>
      <c r="S145" s="257">
        <v>90000</v>
      </c>
      <c r="T145" s="196"/>
      <c r="U145" s="46"/>
      <c r="V145" s="46"/>
      <c r="W145" s="257"/>
      <c r="X145" s="46"/>
      <c r="Y145" s="46"/>
      <c r="Z145" s="46"/>
      <c r="AA145" s="257"/>
      <c r="AB145" s="196"/>
      <c r="AC145" s="46"/>
      <c r="AD145" s="46"/>
      <c r="AE145" s="257"/>
      <c r="AF145" s="196"/>
      <c r="AG145" s="46"/>
      <c r="AH145" s="46"/>
      <c r="AI145" s="196"/>
      <c r="AJ145" s="400"/>
      <c r="AK145" s="196"/>
      <c r="AL145" s="46"/>
      <c r="AM145" s="218"/>
      <c r="AN145" s="257"/>
      <c r="AO145" s="196"/>
      <c r="AP145" s="46"/>
      <c r="AQ145" s="257"/>
      <c r="AR145" s="196"/>
      <c r="AS145" s="46"/>
      <c r="AT145" s="257"/>
      <c r="AU145" s="196"/>
      <c r="AV145" s="46"/>
      <c r="AW145" s="257"/>
      <c r="AX145" s="196"/>
      <c r="AY145" s="46"/>
      <c r="AZ145" s="257"/>
      <c r="BA145" s="46"/>
      <c r="BB145" s="46"/>
      <c r="BC145" s="46"/>
      <c r="BD145" s="46"/>
      <c r="BE145" s="46"/>
      <c r="BF145" s="257"/>
      <c r="BG145" s="46"/>
      <c r="BH145" s="46"/>
      <c r="BI145" s="46"/>
      <c r="BJ145" s="196"/>
      <c r="BK145" s="46"/>
      <c r="BL145" s="46"/>
      <c r="BM145" s="46"/>
      <c r="BN145" s="46"/>
      <c r="BO145" s="257"/>
      <c r="BP145" s="196"/>
      <c r="BQ145" s="46"/>
      <c r="BR145" s="257"/>
      <c r="BS145" s="46"/>
      <c r="BT145" s="46"/>
      <c r="BU145" s="257"/>
      <c r="BV145" s="196"/>
      <c r="BW145" s="46"/>
      <c r="BX145" s="46"/>
      <c r="BY145" s="46"/>
      <c r="BZ145" s="46"/>
      <c r="CA145" s="257"/>
      <c r="CB145" s="196"/>
      <c r="CC145" s="46"/>
      <c r="CD145" s="257"/>
      <c r="CE145" s="46"/>
      <c r="CF145" s="46"/>
      <c r="CG145" s="257"/>
      <c r="CH145" s="46"/>
      <c r="CI145" s="46"/>
      <c r="CJ145" s="46"/>
      <c r="CK145" s="46"/>
      <c r="CL145" s="46"/>
      <c r="CM145" s="257"/>
      <c r="CN145" s="46"/>
      <c r="CO145" s="376"/>
      <c r="CP145" s="257"/>
      <c r="CQ145" s="196"/>
      <c r="CR145" s="286"/>
      <c r="CS145" s="257">
        <f t="shared" si="14"/>
        <v>0</v>
      </c>
      <c r="CT145" s="218"/>
      <c r="CU145" s="317"/>
      <c r="CV145" s="391">
        <f t="shared" si="13"/>
        <v>0</v>
      </c>
      <c r="CW145" s="41"/>
      <c r="CX145" s="41"/>
      <c r="CY145" s="256"/>
      <c r="CZ145" s="308"/>
      <c r="DA145" s="308"/>
      <c r="DB145" s="420"/>
      <c r="DC145" s="41"/>
      <c r="DD145" s="41"/>
      <c r="DE145" s="256"/>
      <c r="DF145" s="41"/>
      <c r="DG145" s="41"/>
      <c r="DH145" s="391"/>
      <c r="DI145" s="41"/>
      <c r="DJ145" s="41"/>
      <c r="DK145" s="203"/>
      <c r="DL145" s="256"/>
      <c r="DM145" s="41"/>
      <c r="DN145" s="41"/>
      <c r="DO145" s="41"/>
      <c r="DP145" s="420"/>
      <c r="DQ145" s="41"/>
      <c r="DR145" s="41"/>
      <c r="DS145" s="203"/>
      <c r="DT145" s="256"/>
      <c r="DU145" s="46"/>
      <c r="DV145" s="46"/>
      <c r="DW145" s="196"/>
      <c r="DX145" s="391"/>
      <c r="DY145" s="41"/>
      <c r="DZ145" s="41"/>
      <c r="EA145" s="41"/>
      <c r="EB145" s="69"/>
      <c r="EC145" s="41"/>
      <c r="ED145" s="41"/>
      <c r="EE145" s="41"/>
      <c r="EF145" s="420"/>
      <c r="EG145" s="41"/>
      <c r="EH145" s="41"/>
      <c r="EI145" s="41"/>
      <c r="EJ145" s="256"/>
      <c r="EK145" s="41"/>
      <c r="EL145" s="41"/>
      <c r="EM145" s="41"/>
      <c r="EN145" s="391"/>
    </row>
    <row r="146" spans="1:144" ht="36.75">
      <c r="A146" s="45">
        <v>139</v>
      </c>
      <c r="B146" s="53" t="s">
        <v>301</v>
      </c>
      <c r="C146" s="45">
        <v>1</v>
      </c>
      <c r="D146" s="55" t="s">
        <v>259</v>
      </c>
      <c r="E146" s="54">
        <v>17</v>
      </c>
      <c r="F146" s="54">
        <v>5</v>
      </c>
      <c r="G146" s="397">
        <f>46436.5439999999/1000</f>
        <v>46.436543999999898</v>
      </c>
      <c r="H146" s="59">
        <v>46436.543999999994</v>
      </c>
      <c r="I146" s="59">
        <v>0</v>
      </c>
      <c r="J146" s="398">
        <v>73.278619999999989</v>
      </c>
      <c r="K146" s="414">
        <f t="shared" si="11"/>
        <v>119.71516399999989</v>
      </c>
      <c r="L146" s="397"/>
      <c r="M146" s="397"/>
      <c r="N146" s="397">
        <f t="shared" si="10"/>
        <v>119.71516399999989</v>
      </c>
      <c r="O146" s="399">
        <f t="shared" si="12"/>
        <v>123</v>
      </c>
      <c r="P146" s="196"/>
      <c r="Q146" s="46"/>
      <c r="R146" s="196"/>
      <c r="S146" s="257"/>
      <c r="T146" s="196"/>
      <c r="U146" s="46"/>
      <c r="V146" s="46"/>
      <c r="W146" s="257"/>
      <c r="X146" s="46"/>
      <c r="Y146" s="46"/>
      <c r="Z146" s="46"/>
      <c r="AA146" s="257"/>
      <c r="AB146" s="196"/>
      <c r="AC146" s="46"/>
      <c r="AD146" s="46"/>
      <c r="AE146" s="257"/>
      <c r="AF146" s="196"/>
      <c r="AG146" s="46"/>
      <c r="AH146" s="46"/>
      <c r="AI146" s="196"/>
      <c r="AJ146" s="400"/>
      <c r="AK146" s="196"/>
      <c r="AL146" s="46"/>
      <c r="AM146" s="218"/>
      <c r="AN146" s="257"/>
      <c r="AO146" s="196"/>
      <c r="AP146" s="46"/>
      <c r="AQ146" s="257"/>
      <c r="AR146" s="196"/>
      <c r="AS146" s="46"/>
      <c r="AT146" s="257"/>
      <c r="AU146" s="196"/>
      <c r="AV146" s="46"/>
      <c r="AW146" s="257"/>
      <c r="AX146" s="196"/>
      <c r="AY146" s="46"/>
      <c r="AZ146" s="257"/>
      <c r="BA146" s="46"/>
      <c r="BB146" s="46"/>
      <c r="BC146" s="46"/>
      <c r="BD146" s="46"/>
      <c r="BE146" s="46"/>
      <c r="BF146" s="257"/>
      <c r="BG146" s="46"/>
      <c r="BH146" s="46"/>
      <c r="BI146" s="46"/>
      <c r="BJ146" s="196"/>
      <c r="BK146" s="46"/>
      <c r="BL146" s="46"/>
      <c r="BM146" s="46"/>
      <c r="BN146" s="46"/>
      <c r="BO146" s="257"/>
      <c r="BP146" s="196"/>
      <c r="BQ146" s="46"/>
      <c r="BR146" s="257"/>
      <c r="BS146" s="46"/>
      <c r="BT146" s="46"/>
      <c r="BU146" s="257"/>
      <c r="BV146" s="196"/>
      <c r="BW146" s="46"/>
      <c r="BX146" s="46"/>
      <c r="BY146" s="46"/>
      <c r="BZ146" s="46"/>
      <c r="CA146" s="257"/>
      <c r="CB146" s="196"/>
      <c r="CC146" s="46"/>
      <c r="CD146" s="257"/>
      <c r="CE146" s="46"/>
      <c r="CF146" s="46"/>
      <c r="CG146" s="257"/>
      <c r="CH146" s="46"/>
      <c r="CI146" s="46"/>
      <c r="CJ146" s="46"/>
      <c r="CK146" s="46"/>
      <c r="CL146" s="46"/>
      <c r="CM146" s="257"/>
      <c r="CN146" s="46"/>
      <c r="CO146" s="376"/>
      <c r="CP146" s="257"/>
      <c r="CQ146" s="196" t="s">
        <v>228</v>
      </c>
      <c r="CR146" s="286" t="s">
        <v>665</v>
      </c>
      <c r="CS146" s="257">
        <f>CY146+DE146+DL146+DT146+EB146+EJ146+30000+45000</f>
        <v>123000</v>
      </c>
      <c r="CT146" s="196"/>
      <c r="CU146" s="317"/>
      <c r="CV146" s="391">
        <f t="shared" si="13"/>
        <v>0</v>
      </c>
      <c r="CW146" s="41"/>
      <c r="CX146" s="41"/>
      <c r="CY146" s="256"/>
      <c r="CZ146" s="308"/>
      <c r="DA146" s="308"/>
      <c r="DB146" s="420"/>
      <c r="DC146" s="41">
        <v>9</v>
      </c>
      <c r="DD146" s="41">
        <v>60</v>
      </c>
      <c r="DE146" s="256">
        <v>48000</v>
      </c>
      <c r="DF146" s="41"/>
      <c r="DG146" s="41"/>
      <c r="DH146" s="391"/>
      <c r="DI146" s="41"/>
      <c r="DJ146" s="41"/>
      <c r="DK146" s="203"/>
      <c r="DL146" s="256"/>
      <c r="DM146" s="41"/>
      <c r="DN146" s="41"/>
      <c r="DO146" s="41"/>
      <c r="DP146" s="420"/>
      <c r="DQ146" s="41"/>
      <c r="DR146" s="41"/>
      <c r="DS146" s="203"/>
      <c r="DT146" s="256"/>
      <c r="DU146" s="46"/>
      <c r="DV146" s="46"/>
      <c r="DW146" s="196"/>
      <c r="DX146" s="391"/>
      <c r="DY146" s="41"/>
      <c r="DZ146" s="41"/>
      <c r="EA146" s="41"/>
      <c r="EB146" s="69"/>
      <c r="EC146" s="41"/>
      <c r="ED146" s="41"/>
      <c r="EE146" s="41"/>
      <c r="EF146" s="420"/>
      <c r="EG146" s="41"/>
      <c r="EH146" s="41"/>
      <c r="EI146" s="41"/>
      <c r="EJ146" s="256"/>
      <c r="EK146" s="41"/>
      <c r="EL146" s="41"/>
      <c r="EM146" s="41"/>
      <c r="EN146" s="391"/>
    </row>
    <row r="147" spans="1:144" ht="25.5">
      <c r="A147" s="45">
        <v>140</v>
      </c>
      <c r="B147" s="53" t="s">
        <v>301</v>
      </c>
      <c r="C147" s="45">
        <v>1</v>
      </c>
      <c r="D147" s="55" t="s">
        <v>259</v>
      </c>
      <c r="E147" s="54">
        <v>18</v>
      </c>
      <c r="F147" s="54">
        <v>5</v>
      </c>
      <c r="G147" s="397">
        <f>47151.72/1000</f>
        <v>47.151720000000005</v>
      </c>
      <c r="H147" s="59">
        <v>47151.72</v>
      </c>
      <c r="I147" s="59">
        <v>0</v>
      </c>
      <c r="J147" s="398">
        <v>18.84015999999999</v>
      </c>
      <c r="K147" s="414">
        <f t="shared" si="11"/>
        <v>65.991879999999995</v>
      </c>
      <c r="L147" s="397"/>
      <c r="M147" s="397"/>
      <c r="N147" s="397">
        <f t="shared" si="10"/>
        <v>65.991879999999995</v>
      </c>
      <c r="O147" s="399">
        <f t="shared" si="12"/>
        <v>50</v>
      </c>
      <c r="P147" s="196"/>
      <c r="Q147" s="46"/>
      <c r="R147" s="196"/>
      <c r="S147" s="257"/>
      <c r="T147" s="196"/>
      <c r="U147" s="46"/>
      <c r="V147" s="46"/>
      <c r="W147" s="257"/>
      <c r="X147" s="46"/>
      <c r="Y147" s="46"/>
      <c r="Z147" s="46"/>
      <c r="AA147" s="257"/>
      <c r="AB147" s="196"/>
      <c r="AC147" s="46"/>
      <c r="AD147" s="46"/>
      <c r="AE147" s="257"/>
      <c r="AF147" s="196"/>
      <c r="AG147" s="46"/>
      <c r="AH147" s="46"/>
      <c r="AI147" s="196"/>
      <c r="AJ147" s="400"/>
      <c r="AK147" s="196"/>
      <c r="AL147" s="46"/>
      <c r="AM147" s="218"/>
      <c r="AN147" s="257"/>
      <c r="AO147" s="196"/>
      <c r="AP147" s="46"/>
      <c r="AQ147" s="257"/>
      <c r="AR147" s="196"/>
      <c r="AS147" s="46"/>
      <c r="AT147" s="257"/>
      <c r="AU147" s="196"/>
      <c r="AV147" s="46"/>
      <c r="AW147" s="257"/>
      <c r="AX147" s="196"/>
      <c r="AY147" s="46"/>
      <c r="AZ147" s="257"/>
      <c r="BA147" s="46"/>
      <c r="BB147" s="46"/>
      <c r="BC147" s="46"/>
      <c r="BD147" s="46"/>
      <c r="BE147" s="46"/>
      <c r="BF147" s="257"/>
      <c r="BG147" s="46"/>
      <c r="BH147" s="46"/>
      <c r="BI147" s="46"/>
      <c r="BJ147" s="196"/>
      <c r="BK147" s="46"/>
      <c r="BL147" s="46"/>
      <c r="BM147" s="46"/>
      <c r="BN147" s="46"/>
      <c r="BO147" s="257"/>
      <c r="BP147" s="196"/>
      <c r="BQ147" s="46"/>
      <c r="BR147" s="257"/>
      <c r="BS147" s="46"/>
      <c r="BT147" s="46"/>
      <c r="BU147" s="257"/>
      <c r="BV147" s="196"/>
      <c r="BW147" s="46"/>
      <c r="BX147" s="46"/>
      <c r="BY147" s="46"/>
      <c r="BZ147" s="46"/>
      <c r="CA147" s="257"/>
      <c r="CB147" s="196"/>
      <c r="CC147" s="46"/>
      <c r="CD147" s="257"/>
      <c r="CE147" s="46"/>
      <c r="CF147" s="46"/>
      <c r="CG147" s="257"/>
      <c r="CH147" s="46"/>
      <c r="CI147" s="46"/>
      <c r="CJ147" s="46"/>
      <c r="CK147" s="46"/>
      <c r="CL147" s="46"/>
      <c r="CM147" s="257"/>
      <c r="CN147" s="46"/>
      <c r="CO147" s="376"/>
      <c r="CP147" s="257"/>
      <c r="CQ147" s="196"/>
      <c r="CR147" s="286" t="s">
        <v>554</v>
      </c>
      <c r="CS147" s="257">
        <f>CY147+DE147+DL147+DT147+EB147+EJ147+50000</f>
        <v>50000</v>
      </c>
      <c r="CT147" s="196"/>
      <c r="CU147" s="317"/>
      <c r="CV147" s="391">
        <f t="shared" si="13"/>
        <v>0</v>
      </c>
      <c r="CW147" s="41"/>
      <c r="CX147" s="41"/>
      <c r="CY147" s="256"/>
      <c r="CZ147" s="308"/>
      <c r="DA147" s="308"/>
      <c r="DB147" s="420"/>
      <c r="DC147" s="41"/>
      <c r="DD147" s="41"/>
      <c r="DE147" s="256"/>
      <c r="DF147" s="41"/>
      <c r="DG147" s="41"/>
      <c r="DH147" s="391"/>
      <c r="DI147" s="41"/>
      <c r="DJ147" s="41"/>
      <c r="DK147" s="203"/>
      <c r="DL147" s="256"/>
      <c r="DM147" s="41"/>
      <c r="DN147" s="41"/>
      <c r="DO147" s="41"/>
      <c r="DP147" s="420"/>
      <c r="DQ147" s="41"/>
      <c r="DR147" s="41"/>
      <c r="DS147" s="203"/>
      <c r="DT147" s="256"/>
      <c r="DU147" s="46"/>
      <c r="DV147" s="46"/>
      <c r="DW147" s="196"/>
      <c r="DX147" s="391"/>
      <c r="DY147" s="41"/>
      <c r="DZ147" s="41"/>
      <c r="EA147" s="41"/>
      <c r="EB147" s="69"/>
      <c r="EC147" s="41"/>
      <c r="ED147" s="41"/>
      <c r="EE147" s="41"/>
      <c r="EF147" s="420"/>
      <c r="EG147" s="41"/>
      <c r="EH147" s="41"/>
      <c r="EI147" s="41"/>
      <c r="EJ147" s="256"/>
      <c r="EK147" s="41"/>
      <c r="EL147" s="41"/>
      <c r="EM147" s="41"/>
      <c r="EN147" s="391"/>
    </row>
    <row r="148" spans="1:144" ht="25.5">
      <c r="A148" s="45">
        <v>141</v>
      </c>
      <c r="B148" s="53" t="s">
        <v>301</v>
      </c>
      <c r="C148" s="45">
        <v>1</v>
      </c>
      <c r="D148" s="55" t="s">
        <v>261</v>
      </c>
      <c r="E148" s="54">
        <v>2</v>
      </c>
      <c r="F148" s="54">
        <v>5</v>
      </c>
      <c r="G148" s="397">
        <f>217172.34/1000</f>
        <v>217.17233999999999</v>
      </c>
      <c r="H148" s="59">
        <v>217172.34</v>
      </c>
      <c r="I148" s="59">
        <v>0</v>
      </c>
      <c r="J148" s="398">
        <v>709.56887000000006</v>
      </c>
      <c r="K148" s="414">
        <f t="shared" si="11"/>
        <v>926.74121000000002</v>
      </c>
      <c r="L148" s="397"/>
      <c r="M148" s="397"/>
      <c r="N148" s="397">
        <f t="shared" si="10"/>
        <v>926.74121000000002</v>
      </c>
      <c r="O148" s="399">
        <f t="shared" si="12"/>
        <v>908.3</v>
      </c>
      <c r="P148" s="196"/>
      <c r="Q148" s="46"/>
      <c r="R148" s="218"/>
      <c r="S148" s="257"/>
      <c r="T148" s="196"/>
      <c r="U148" s="46"/>
      <c r="V148" s="46"/>
      <c r="W148" s="257"/>
      <c r="X148" s="46"/>
      <c r="Y148" s="46"/>
      <c r="Z148" s="46"/>
      <c r="AA148" s="257"/>
      <c r="AB148" s="196" t="s">
        <v>523</v>
      </c>
      <c r="AC148" s="46">
        <v>400</v>
      </c>
      <c r="AD148" s="196"/>
      <c r="AE148" s="257">
        <f>AC148*750</f>
        <v>300000</v>
      </c>
      <c r="AF148" s="196" t="s">
        <v>227</v>
      </c>
      <c r="AG148" s="46" t="s">
        <v>335</v>
      </c>
      <c r="AH148" s="46">
        <v>391</v>
      </c>
      <c r="AI148" s="218" t="s">
        <v>666</v>
      </c>
      <c r="AJ148" s="400">
        <f>AH148*1300</f>
        <v>508300</v>
      </c>
      <c r="AK148" s="196"/>
      <c r="AL148" s="46"/>
      <c r="AM148" s="218"/>
      <c r="AN148" s="257"/>
      <c r="AO148" s="218"/>
      <c r="AP148" s="167"/>
      <c r="AQ148" s="524"/>
      <c r="AR148" s="248"/>
      <c r="AS148" s="46"/>
      <c r="AT148" s="257"/>
      <c r="AU148" s="196"/>
      <c r="AV148" s="46"/>
      <c r="AW148" s="257"/>
      <c r="AX148" s="248"/>
      <c r="AY148" s="46"/>
      <c r="AZ148" s="257"/>
      <c r="BA148" s="46"/>
      <c r="BB148" s="46"/>
      <c r="BC148" s="46"/>
      <c r="BD148" s="46"/>
      <c r="BE148" s="46"/>
      <c r="BF148" s="257"/>
      <c r="BG148" s="46"/>
      <c r="BH148" s="46"/>
      <c r="BI148" s="46"/>
      <c r="BJ148" s="196"/>
      <c r="BK148" s="46"/>
      <c r="BL148" s="46"/>
      <c r="BM148" s="46"/>
      <c r="BN148" s="46"/>
      <c r="BO148" s="257"/>
      <c r="BP148" s="248"/>
      <c r="BQ148" s="46"/>
      <c r="BR148" s="257"/>
      <c r="BS148" s="46"/>
      <c r="BT148" s="46"/>
      <c r="BU148" s="257"/>
      <c r="BV148" s="196"/>
      <c r="BW148" s="46"/>
      <c r="BX148" s="46"/>
      <c r="BY148" s="46"/>
      <c r="BZ148" s="46"/>
      <c r="CA148" s="257"/>
      <c r="CB148" s="196"/>
      <c r="CC148" s="46"/>
      <c r="CD148" s="257"/>
      <c r="CE148" s="46"/>
      <c r="CF148" s="46"/>
      <c r="CG148" s="257"/>
      <c r="CH148" s="46"/>
      <c r="CI148" s="46"/>
      <c r="CJ148" s="46"/>
      <c r="CK148" s="46"/>
      <c r="CL148" s="46"/>
      <c r="CM148" s="257"/>
      <c r="CN148" s="46"/>
      <c r="CO148" s="376"/>
      <c r="CP148" s="257"/>
      <c r="CQ148" s="196"/>
      <c r="CR148" s="286" t="s">
        <v>554</v>
      </c>
      <c r="CS148" s="257">
        <f>CY148+DE148+DL148+DT148+EB148+EJ148+100000</f>
        <v>100000</v>
      </c>
      <c r="CT148" s="196"/>
      <c r="CU148" s="317"/>
      <c r="CV148" s="391">
        <f t="shared" si="13"/>
        <v>0</v>
      </c>
      <c r="CW148" s="41"/>
      <c r="CX148" s="41"/>
      <c r="CY148" s="256"/>
      <c r="CZ148" s="308"/>
      <c r="DA148" s="308"/>
      <c r="DB148" s="420"/>
      <c r="DC148" s="41"/>
      <c r="DD148" s="41"/>
      <c r="DE148" s="256"/>
      <c r="DF148" s="41"/>
      <c r="DG148" s="41"/>
      <c r="DH148" s="391"/>
      <c r="DI148" s="41"/>
      <c r="DJ148" s="41"/>
      <c r="DK148" s="203"/>
      <c r="DL148" s="256"/>
      <c r="DM148" s="41"/>
      <c r="DN148" s="41"/>
      <c r="DO148" s="41"/>
      <c r="DP148" s="420"/>
      <c r="DQ148" s="41"/>
      <c r="DR148" s="41"/>
      <c r="DS148" s="203"/>
      <c r="DT148" s="256"/>
      <c r="DU148" s="46"/>
      <c r="DV148" s="46"/>
      <c r="DW148" s="196"/>
      <c r="DX148" s="391"/>
      <c r="DY148" s="41"/>
      <c r="DZ148" s="41"/>
      <c r="EA148" s="41"/>
      <c r="EB148" s="69"/>
      <c r="EC148" s="41"/>
      <c r="ED148" s="41"/>
      <c r="EE148" s="41"/>
      <c r="EF148" s="420"/>
      <c r="EG148" s="41"/>
      <c r="EH148" s="41"/>
      <c r="EI148" s="41"/>
      <c r="EJ148" s="256"/>
      <c r="EK148" s="41"/>
      <c r="EL148" s="41"/>
      <c r="EM148" s="41"/>
      <c r="EN148" s="391"/>
    </row>
    <row r="149" spans="1:144" ht="45">
      <c r="A149" s="45">
        <v>142</v>
      </c>
      <c r="B149" s="53" t="s">
        <v>301</v>
      </c>
      <c r="C149" s="45">
        <v>1</v>
      </c>
      <c r="D149" s="55" t="s">
        <v>261</v>
      </c>
      <c r="E149" s="54">
        <v>5</v>
      </c>
      <c r="F149" s="54">
        <v>5</v>
      </c>
      <c r="G149" s="397">
        <f>207683.784/1000</f>
        <v>207.683784</v>
      </c>
      <c r="H149" s="59">
        <v>207683.78399999999</v>
      </c>
      <c r="I149" s="59">
        <v>0</v>
      </c>
      <c r="J149" s="398">
        <v>491.10953999999998</v>
      </c>
      <c r="K149" s="414">
        <f t="shared" si="11"/>
        <v>698.79332399999998</v>
      </c>
      <c r="L149" s="397"/>
      <c r="M149" s="397"/>
      <c r="N149" s="397">
        <f t="shared" si="10"/>
        <v>698.79332399999998</v>
      </c>
      <c r="O149" s="399">
        <f t="shared" si="12"/>
        <v>667.3</v>
      </c>
      <c r="P149" s="196"/>
      <c r="Q149" s="46"/>
      <c r="R149" s="196"/>
      <c r="S149" s="257"/>
      <c r="T149" s="196"/>
      <c r="U149" s="46"/>
      <c r="V149" s="46"/>
      <c r="W149" s="257"/>
      <c r="X149" s="46"/>
      <c r="Y149" s="46"/>
      <c r="Z149" s="46"/>
      <c r="AA149" s="257"/>
      <c r="AB149" s="196"/>
      <c r="AC149" s="46"/>
      <c r="AD149" s="46"/>
      <c r="AE149" s="257"/>
      <c r="AF149" s="196" t="s">
        <v>248</v>
      </c>
      <c r="AG149" s="46" t="s">
        <v>324</v>
      </c>
      <c r="AH149" s="46">
        <v>166</v>
      </c>
      <c r="AI149" s="218" t="s">
        <v>668</v>
      </c>
      <c r="AJ149" s="400">
        <f>AH149*1800+250000</f>
        <v>548800</v>
      </c>
      <c r="AK149" s="196"/>
      <c r="AL149" s="46"/>
      <c r="AM149" s="218"/>
      <c r="AN149" s="257"/>
      <c r="AO149" s="218"/>
      <c r="AP149" s="167"/>
      <c r="AQ149" s="524"/>
      <c r="AR149" s="196"/>
      <c r="AS149" s="46"/>
      <c r="AT149" s="257"/>
      <c r="AU149" s="196"/>
      <c r="AV149" s="46"/>
      <c r="AW149" s="257"/>
      <c r="AX149" s="196" t="s">
        <v>250</v>
      </c>
      <c r="AY149" s="167" t="s">
        <v>669</v>
      </c>
      <c r="AZ149" s="257">
        <v>58500</v>
      </c>
      <c r="BA149" s="46"/>
      <c r="BB149" s="46"/>
      <c r="BC149" s="46"/>
      <c r="BD149" s="46"/>
      <c r="BE149" s="46"/>
      <c r="BF149" s="257"/>
      <c r="BG149" s="46"/>
      <c r="BH149" s="46"/>
      <c r="BI149" s="46"/>
      <c r="BJ149" s="196"/>
      <c r="BK149" s="46"/>
      <c r="BL149" s="46"/>
      <c r="BM149" s="46"/>
      <c r="BN149" s="46"/>
      <c r="BO149" s="257"/>
      <c r="BP149" s="196"/>
      <c r="BQ149" s="46"/>
      <c r="BR149" s="257"/>
      <c r="BS149" s="46"/>
      <c r="BT149" s="46"/>
      <c r="BU149" s="257"/>
      <c r="BV149" s="196"/>
      <c r="BW149" s="46"/>
      <c r="BX149" s="46"/>
      <c r="BY149" s="46"/>
      <c r="BZ149" s="46"/>
      <c r="CA149" s="257"/>
      <c r="CB149" s="196"/>
      <c r="CC149" s="46"/>
      <c r="CD149" s="257"/>
      <c r="CE149" s="46"/>
      <c r="CF149" s="46"/>
      <c r="CG149" s="257"/>
      <c r="CH149" s="46"/>
      <c r="CI149" s="46"/>
      <c r="CJ149" s="46"/>
      <c r="CK149" s="46"/>
      <c r="CL149" s="46"/>
      <c r="CM149" s="257"/>
      <c r="CN149" s="46">
        <v>5</v>
      </c>
      <c r="CO149" s="377" t="s">
        <v>667</v>
      </c>
      <c r="CP149" s="257">
        <v>60000</v>
      </c>
      <c r="CQ149" s="196"/>
      <c r="CR149" s="286"/>
      <c r="CS149" s="257">
        <f t="shared" si="14"/>
        <v>0</v>
      </c>
      <c r="CT149" s="218"/>
      <c r="CU149" s="317"/>
      <c r="CV149" s="391">
        <f t="shared" si="13"/>
        <v>0</v>
      </c>
      <c r="CW149" s="41"/>
      <c r="CX149" s="41"/>
      <c r="CY149" s="256"/>
      <c r="CZ149" s="308"/>
      <c r="DA149" s="308"/>
      <c r="DB149" s="420"/>
      <c r="DC149" s="41"/>
      <c r="DD149" s="41"/>
      <c r="DE149" s="256"/>
      <c r="DF149" s="41"/>
      <c r="DG149" s="41"/>
      <c r="DH149" s="391"/>
      <c r="DI149" s="41"/>
      <c r="DJ149" s="41"/>
      <c r="DK149" s="203"/>
      <c r="DL149" s="256"/>
      <c r="DM149" s="41"/>
      <c r="DN149" s="41"/>
      <c r="DO149" s="41"/>
      <c r="DP149" s="420"/>
      <c r="DQ149" s="41"/>
      <c r="DR149" s="41"/>
      <c r="DS149" s="203"/>
      <c r="DT149" s="256"/>
      <c r="DU149" s="46"/>
      <c r="DV149" s="46"/>
      <c r="DW149" s="196"/>
      <c r="DX149" s="391"/>
      <c r="DY149" s="41"/>
      <c r="DZ149" s="41"/>
      <c r="EA149" s="41"/>
      <c r="EB149" s="69"/>
      <c r="EC149" s="41"/>
      <c r="ED149" s="41"/>
      <c r="EE149" s="41"/>
      <c r="EF149" s="420"/>
      <c r="EG149" s="41"/>
      <c r="EH149" s="41"/>
      <c r="EI149" s="41"/>
      <c r="EJ149" s="256"/>
      <c r="EK149" s="41"/>
      <c r="EL149" s="41"/>
      <c r="EM149" s="41"/>
      <c r="EN149" s="391"/>
    </row>
    <row r="150" spans="1:144" ht="108.75">
      <c r="A150" s="45">
        <v>143</v>
      </c>
      <c r="B150" s="53" t="s">
        <v>301</v>
      </c>
      <c r="C150" s="45">
        <v>1</v>
      </c>
      <c r="D150" s="55" t="s">
        <v>262</v>
      </c>
      <c r="E150" s="54">
        <v>4</v>
      </c>
      <c r="F150" s="54">
        <v>5</v>
      </c>
      <c r="G150" s="397">
        <f>280398.888/1000</f>
        <v>280.398888</v>
      </c>
      <c r="H150" s="59">
        <v>280398.88800000004</v>
      </c>
      <c r="I150" s="59">
        <v>0</v>
      </c>
      <c r="J150" s="398">
        <v>95.328879999999941</v>
      </c>
      <c r="K150" s="414">
        <f t="shared" si="11"/>
        <v>375.72776799999997</v>
      </c>
      <c r="L150" s="397"/>
      <c r="M150" s="397"/>
      <c r="N150" s="397">
        <f t="shared" si="10"/>
        <v>375.72776799999997</v>
      </c>
      <c r="O150" s="399">
        <f t="shared" si="12"/>
        <v>253</v>
      </c>
      <c r="P150" s="196" t="s">
        <v>250</v>
      </c>
      <c r="Q150" s="46">
        <v>1</v>
      </c>
      <c r="R150" s="368" t="s">
        <v>670</v>
      </c>
      <c r="S150" s="257">
        <f>80000+25000+20000</f>
        <v>125000</v>
      </c>
      <c r="T150" s="196"/>
      <c r="U150" s="46"/>
      <c r="V150" s="46"/>
      <c r="W150" s="257"/>
      <c r="X150" s="46"/>
      <c r="Y150" s="46"/>
      <c r="Z150" s="46"/>
      <c r="AA150" s="257"/>
      <c r="AB150" s="196"/>
      <c r="AC150" s="46"/>
      <c r="AD150" s="46"/>
      <c r="AE150" s="257"/>
      <c r="AF150" s="196"/>
      <c r="AG150" s="46"/>
      <c r="AH150" s="46"/>
      <c r="AI150" s="196"/>
      <c r="AJ150" s="400"/>
      <c r="AK150" s="196"/>
      <c r="AL150" s="46"/>
      <c r="AM150" s="218"/>
      <c r="AN150" s="257"/>
      <c r="AO150" s="196"/>
      <c r="AP150" s="46"/>
      <c r="AQ150" s="257"/>
      <c r="AR150" s="196"/>
      <c r="AS150" s="46"/>
      <c r="AT150" s="257"/>
      <c r="AU150" s="196"/>
      <c r="AV150" s="46"/>
      <c r="AW150" s="257"/>
      <c r="AX150" s="196"/>
      <c r="AY150" s="46"/>
      <c r="AZ150" s="257"/>
      <c r="BA150" s="46"/>
      <c r="BB150" s="46"/>
      <c r="BC150" s="46"/>
      <c r="BD150" s="46"/>
      <c r="BE150" s="46"/>
      <c r="BF150" s="257"/>
      <c r="BG150" s="46"/>
      <c r="BH150" s="46"/>
      <c r="BI150" s="46"/>
      <c r="BJ150" s="196"/>
      <c r="BK150" s="46"/>
      <c r="BL150" s="46"/>
      <c r="BM150" s="46"/>
      <c r="BN150" s="46"/>
      <c r="BO150" s="257"/>
      <c r="BP150" s="196"/>
      <c r="BQ150" s="46"/>
      <c r="BR150" s="257"/>
      <c r="BS150" s="46"/>
      <c r="BT150" s="46"/>
      <c r="BU150" s="257"/>
      <c r="BV150" s="196"/>
      <c r="BW150" s="46"/>
      <c r="BX150" s="46"/>
      <c r="BY150" s="46"/>
      <c r="BZ150" s="46"/>
      <c r="CA150" s="257"/>
      <c r="CB150" s="196" t="s">
        <v>227</v>
      </c>
      <c r="CC150" s="46">
        <v>10</v>
      </c>
      <c r="CD150" s="257">
        <v>18000</v>
      </c>
      <c r="CE150" s="46"/>
      <c r="CF150" s="46"/>
      <c r="CG150" s="257"/>
      <c r="CH150" s="46"/>
      <c r="CI150" s="46"/>
      <c r="CJ150" s="46"/>
      <c r="CK150" s="46"/>
      <c r="CL150" s="46"/>
      <c r="CM150" s="257"/>
      <c r="CN150" s="46"/>
      <c r="CO150" s="376"/>
      <c r="CP150" s="257"/>
      <c r="CQ150" s="196" t="s">
        <v>797</v>
      </c>
      <c r="CR150" s="286" t="s">
        <v>671</v>
      </c>
      <c r="CS150" s="257">
        <f>CY150+DE150+DL150+DT150+EB150+EJ150+4*2500+15000+20000*3+10000</f>
        <v>110000</v>
      </c>
      <c r="CT150" s="196"/>
      <c r="CU150" s="317"/>
      <c r="CV150" s="391">
        <f t="shared" si="13"/>
        <v>0</v>
      </c>
      <c r="CW150" s="41"/>
      <c r="CX150" s="41"/>
      <c r="CY150" s="256"/>
      <c r="CZ150" s="308"/>
      <c r="DA150" s="308"/>
      <c r="DB150" s="420"/>
      <c r="DC150" s="41"/>
      <c r="DD150" s="41"/>
      <c r="DE150" s="256"/>
      <c r="DF150" s="41"/>
      <c r="DG150" s="41"/>
      <c r="DH150" s="391"/>
      <c r="DI150" s="41"/>
      <c r="DJ150" s="41"/>
      <c r="DK150" s="203"/>
      <c r="DL150" s="256"/>
      <c r="DM150" s="41"/>
      <c r="DN150" s="41"/>
      <c r="DO150" s="41"/>
      <c r="DP150" s="420"/>
      <c r="DQ150" s="41">
        <v>6</v>
      </c>
      <c r="DR150" s="41">
        <v>1</v>
      </c>
      <c r="DS150" s="203" t="s">
        <v>523</v>
      </c>
      <c r="DT150" s="256">
        <v>15000</v>
      </c>
      <c r="DU150" s="46"/>
      <c r="DV150" s="46"/>
      <c r="DW150" s="196"/>
      <c r="DX150" s="391"/>
      <c r="DY150" s="41"/>
      <c r="DZ150" s="41"/>
      <c r="EA150" s="41"/>
      <c r="EB150" s="69"/>
      <c r="EC150" s="41"/>
      <c r="ED150" s="41"/>
      <c r="EE150" s="41"/>
      <c r="EF150" s="420"/>
      <c r="EG150" s="41"/>
      <c r="EH150" s="41"/>
      <c r="EI150" s="41"/>
      <c r="EJ150" s="256"/>
      <c r="EK150" s="41"/>
      <c r="EL150" s="41"/>
      <c r="EM150" s="41"/>
      <c r="EN150" s="391"/>
    </row>
    <row r="151" spans="1:144" ht="36.75">
      <c r="A151" s="45">
        <v>144</v>
      </c>
      <c r="B151" s="53" t="s">
        <v>301</v>
      </c>
      <c r="C151" s="45">
        <v>1</v>
      </c>
      <c r="D151" s="55" t="s">
        <v>262</v>
      </c>
      <c r="E151" s="54">
        <v>13</v>
      </c>
      <c r="F151" s="54">
        <v>5</v>
      </c>
      <c r="G151" s="397">
        <f>259376.04/1000</f>
        <v>259.37603999999999</v>
      </c>
      <c r="H151" s="59">
        <v>259376.03999999998</v>
      </c>
      <c r="I151" s="59">
        <v>0</v>
      </c>
      <c r="J151" s="398">
        <v>343.66591000000005</v>
      </c>
      <c r="K151" s="414">
        <f t="shared" si="11"/>
        <v>603.04195000000004</v>
      </c>
      <c r="L151" s="397"/>
      <c r="M151" s="397"/>
      <c r="N151" s="397">
        <f t="shared" si="10"/>
        <v>603.04195000000004</v>
      </c>
      <c r="O151" s="399">
        <f t="shared" si="12"/>
        <v>345</v>
      </c>
      <c r="P151" s="196" t="s">
        <v>600</v>
      </c>
      <c r="Q151" s="46">
        <v>2</v>
      </c>
      <c r="R151" s="196" t="s">
        <v>808</v>
      </c>
      <c r="S151" s="257">
        <v>300000</v>
      </c>
      <c r="T151" s="196"/>
      <c r="U151" s="46"/>
      <c r="V151" s="46"/>
      <c r="W151" s="257"/>
      <c r="X151" s="46"/>
      <c r="Y151" s="46"/>
      <c r="Z151" s="46"/>
      <c r="AA151" s="257"/>
      <c r="AB151" s="196"/>
      <c r="AC151" s="46"/>
      <c r="AD151" s="46"/>
      <c r="AE151" s="257"/>
      <c r="AF151" s="196"/>
      <c r="AG151" s="46"/>
      <c r="AH151" s="46"/>
      <c r="AI151" s="196"/>
      <c r="AJ151" s="400"/>
      <c r="AK151" s="196"/>
      <c r="AL151" s="46"/>
      <c r="AM151" s="218"/>
      <c r="AN151" s="257"/>
      <c r="AO151" s="218"/>
      <c r="AP151" s="167"/>
      <c r="AQ151" s="524"/>
      <c r="AR151" s="196"/>
      <c r="AS151" s="46"/>
      <c r="AT151" s="257"/>
      <c r="AU151" s="196"/>
      <c r="AV151" s="46"/>
      <c r="AW151" s="257"/>
      <c r="AX151" s="196"/>
      <c r="AY151" s="46"/>
      <c r="AZ151" s="257"/>
      <c r="BA151" s="46"/>
      <c r="BB151" s="46"/>
      <c r="BC151" s="46"/>
      <c r="BD151" s="46"/>
      <c r="BE151" s="46"/>
      <c r="BF151" s="257"/>
      <c r="BG151" s="46"/>
      <c r="BH151" s="46"/>
      <c r="BI151" s="46"/>
      <c r="BJ151" s="196"/>
      <c r="BK151" s="46"/>
      <c r="BL151" s="46"/>
      <c r="BM151" s="46"/>
      <c r="BN151" s="46"/>
      <c r="BO151" s="257"/>
      <c r="BP151" s="196"/>
      <c r="BQ151" s="167"/>
      <c r="BR151" s="257"/>
      <c r="BS151" s="46"/>
      <c r="BT151" s="46"/>
      <c r="BU151" s="257"/>
      <c r="BV151" s="196"/>
      <c r="BW151" s="46"/>
      <c r="BX151" s="46"/>
      <c r="BY151" s="46"/>
      <c r="BZ151" s="46"/>
      <c r="CA151" s="257"/>
      <c r="CB151" s="196"/>
      <c r="CC151" s="46"/>
      <c r="CD151" s="257"/>
      <c r="CE151" s="46"/>
      <c r="CF151" s="46"/>
      <c r="CG151" s="257"/>
      <c r="CH151" s="46"/>
      <c r="CI151" s="46"/>
      <c r="CJ151" s="46"/>
      <c r="CK151" s="46"/>
      <c r="CL151" s="46"/>
      <c r="CM151" s="257"/>
      <c r="CN151" s="46"/>
      <c r="CO151" s="376"/>
      <c r="CP151" s="257"/>
      <c r="CQ151" s="196" t="s">
        <v>248</v>
      </c>
      <c r="CR151" s="286" t="s">
        <v>809</v>
      </c>
      <c r="CS151" s="257">
        <f t="shared" si="14"/>
        <v>45000</v>
      </c>
      <c r="CT151" s="196"/>
      <c r="CU151" s="317"/>
      <c r="CV151" s="391">
        <f t="shared" si="13"/>
        <v>0</v>
      </c>
      <c r="CW151" s="41"/>
      <c r="CX151" s="41"/>
      <c r="CY151" s="256"/>
      <c r="CZ151" s="308"/>
      <c r="DA151" s="308"/>
      <c r="DB151" s="420"/>
      <c r="DC151" s="41"/>
      <c r="DD151" s="41"/>
      <c r="DE151" s="256"/>
      <c r="DF151" s="41"/>
      <c r="DG151" s="41"/>
      <c r="DH151" s="391"/>
      <c r="DI151" s="41"/>
      <c r="DJ151" s="41"/>
      <c r="DK151" s="203"/>
      <c r="DL151" s="256"/>
      <c r="DM151" s="41"/>
      <c r="DN151" s="41"/>
      <c r="DO151" s="41"/>
      <c r="DP151" s="420"/>
      <c r="DQ151" s="41">
        <v>8</v>
      </c>
      <c r="DR151" s="41">
        <v>3</v>
      </c>
      <c r="DS151" s="203" t="s">
        <v>528</v>
      </c>
      <c r="DT151" s="256">
        <v>45000</v>
      </c>
      <c r="DU151" s="46"/>
      <c r="DV151" s="46"/>
      <c r="DW151" s="196"/>
      <c r="DX151" s="391"/>
      <c r="DY151" s="41"/>
      <c r="DZ151" s="41"/>
      <c r="EA151" s="41"/>
      <c r="EB151" s="69"/>
      <c r="EC151" s="41"/>
      <c r="ED151" s="41"/>
      <c r="EE151" s="41"/>
      <c r="EF151" s="420"/>
      <c r="EG151" s="41"/>
      <c r="EH151" s="41"/>
      <c r="EI151" s="41"/>
      <c r="EJ151" s="256"/>
      <c r="EK151" s="60"/>
      <c r="EL151" s="41"/>
      <c r="EM151" s="41"/>
      <c r="EN151" s="391"/>
    </row>
    <row r="152" spans="1:144" ht="25.5">
      <c r="A152" s="45">
        <v>145</v>
      </c>
      <c r="B152" s="53" t="s">
        <v>301</v>
      </c>
      <c r="C152" s="45">
        <v>1</v>
      </c>
      <c r="D152" s="55" t="s">
        <v>262</v>
      </c>
      <c r="E152" s="54">
        <v>18</v>
      </c>
      <c r="F152" s="54">
        <v>5</v>
      </c>
      <c r="G152" s="397">
        <f>280947.744/1000</f>
        <v>280.947744</v>
      </c>
      <c r="H152" s="59">
        <v>280947.74399999995</v>
      </c>
      <c r="I152" s="59">
        <v>0</v>
      </c>
      <c r="J152" s="398">
        <v>693.87041999999997</v>
      </c>
      <c r="K152" s="414">
        <f t="shared" si="11"/>
        <v>974.81816400000002</v>
      </c>
      <c r="L152" s="397"/>
      <c r="M152" s="397"/>
      <c r="N152" s="397">
        <f t="shared" si="10"/>
        <v>974.81816400000002</v>
      </c>
      <c r="O152" s="399">
        <f t="shared" si="12"/>
        <v>900</v>
      </c>
      <c r="P152" s="196"/>
      <c r="Q152" s="46"/>
      <c r="R152" s="218"/>
      <c r="S152" s="257"/>
      <c r="T152" s="196"/>
      <c r="U152" s="46"/>
      <c r="V152" s="46"/>
      <c r="W152" s="257"/>
      <c r="X152" s="46"/>
      <c r="Y152" s="46"/>
      <c r="Z152" s="46"/>
      <c r="AA152" s="257"/>
      <c r="AB152" s="196"/>
      <c r="AC152" s="46"/>
      <c r="AD152" s="46"/>
      <c r="AE152" s="257"/>
      <c r="AF152" s="196"/>
      <c r="AG152" s="46"/>
      <c r="AH152" s="46"/>
      <c r="AI152" s="196"/>
      <c r="AJ152" s="400"/>
      <c r="AK152" s="196"/>
      <c r="AL152" s="46"/>
      <c r="AM152" s="218"/>
      <c r="AN152" s="257"/>
      <c r="AO152" s="196"/>
      <c r="AP152" s="46"/>
      <c r="AQ152" s="257"/>
      <c r="AR152" s="196"/>
      <c r="AS152" s="46"/>
      <c r="AT152" s="257"/>
      <c r="AU152" s="196" t="s">
        <v>247</v>
      </c>
      <c r="AV152" s="46">
        <v>300</v>
      </c>
      <c r="AW152" s="257">
        <f>AV152*3000</f>
        <v>900000</v>
      </c>
      <c r="AX152" s="196"/>
      <c r="AY152" s="46"/>
      <c r="AZ152" s="257"/>
      <c r="BA152" s="46"/>
      <c r="BB152" s="46"/>
      <c r="BC152" s="46"/>
      <c r="BD152" s="46"/>
      <c r="BE152" s="46"/>
      <c r="BF152" s="257"/>
      <c r="BG152" s="46"/>
      <c r="BH152" s="46"/>
      <c r="BI152" s="46"/>
      <c r="BJ152" s="196"/>
      <c r="BK152" s="46"/>
      <c r="BL152" s="46"/>
      <c r="BM152" s="46"/>
      <c r="BN152" s="46"/>
      <c r="BO152" s="257"/>
      <c r="BP152" s="196"/>
      <c r="BQ152" s="46"/>
      <c r="BR152" s="257"/>
      <c r="BS152" s="46"/>
      <c r="BT152" s="46"/>
      <c r="BU152" s="257"/>
      <c r="BV152" s="196"/>
      <c r="BW152" s="46"/>
      <c r="BX152" s="46"/>
      <c r="BY152" s="46"/>
      <c r="BZ152" s="46"/>
      <c r="CA152" s="257"/>
      <c r="CB152" s="196"/>
      <c r="CC152" s="46"/>
      <c r="CD152" s="257"/>
      <c r="CE152" s="46"/>
      <c r="CF152" s="46"/>
      <c r="CG152" s="257"/>
      <c r="CH152" s="46"/>
      <c r="CI152" s="46"/>
      <c r="CJ152" s="46"/>
      <c r="CK152" s="46"/>
      <c r="CL152" s="46"/>
      <c r="CM152" s="257"/>
      <c r="CN152" s="46"/>
      <c r="CO152" s="376"/>
      <c r="CP152" s="257"/>
      <c r="CQ152" s="196"/>
      <c r="CR152" s="286"/>
      <c r="CS152" s="257">
        <f t="shared" si="14"/>
        <v>0</v>
      </c>
      <c r="CT152" s="218"/>
      <c r="CU152" s="317"/>
      <c r="CV152" s="391">
        <f t="shared" si="13"/>
        <v>0</v>
      </c>
      <c r="CW152" s="41"/>
      <c r="CX152" s="41"/>
      <c r="CY152" s="256"/>
      <c r="CZ152" s="308"/>
      <c r="DA152" s="308"/>
      <c r="DB152" s="420"/>
      <c r="DC152" s="41"/>
      <c r="DD152" s="41"/>
      <c r="DE152" s="256"/>
      <c r="DF152" s="41"/>
      <c r="DG152" s="41"/>
      <c r="DH152" s="391"/>
      <c r="DI152" s="41"/>
      <c r="DJ152" s="41"/>
      <c r="DK152" s="203"/>
      <c r="DL152" s="256"/>
      <c r="DM152" s="41"/>
      <c r="DN152" s="41"/>
      <c r="DO152" s="41"/>
      <c r="DP152" s="420"/>
      <c r="DQ152" s="41"/>
      <c r="DR152" s="41"/>
      <c r="DS152" s="203"/>
      <c r="DT152" s="256"/>
      <c r="DU152" s="46"/>
      <c r="DV152" s="46"/>
      <c r="DW152" s="196"/>
      <c r="DX152" s="391"/>
      <c r="DY152" s="41"/>
      <c r="DZ152" s="41"/>
      <c r="EA152" s="41"/>
      <c r="EB152" s="69"/>
      <c r="EC152" s="41"/>
      <c r="ED152" s="41"/>
      <c r="EE152" s="41"/>
      <c r="EF152" s="420"/>
      <c r="EG152" s="41"/>
      <c r="EH152" s="41"/>
      <c r="EI152" s="41"/>
      <c r="EJ152" s="256"/>
      <c r="EK152" s="41"/>
      <c r="EL152" s="41"/>
      <c r="EM152" s="41"/>
      <c r="EN152" s="391"/>
    </row>
    <row r="153" spans="1:144" ht="72.75">
      <c r="A153" s="45">
        <v>146</v>
      </c>
      <c r="B153" s="53" t="s">
        <v>301</v>
      </c>
      <c r="C153" s="45">
        <v>1</v>
      </c>
      <c r="D153" s="55" t="s">
        <v>262</v>
      </c>
      <c r="E153" s="54">
        <v>19</v>
      </c>
      <c r="F153" s="54">
        <v>5</v>
      </c>
      <c r="G153" s="397">
        <f>342361.404/1000</f>
        <v>342.36140399999999</v>
      </c>
      <c r="H153" s="59">
        <v>342361.40399999998</v>
      </c>
      <c r="I153" s="59">
        <v>0</v>
      </c>
      <c r="J153" s="398">
        <v>737.16574999999989</v>
      </c>
      <c r="K153" s="414">
        <f t="shared" si="11"/>
        <v>1079.5271539999999</v>
      </c>
      <c r="L153" s="397"/>
      <c r="M153" s="397"/>
      <c r="N153" s="397">
        <f t="shared" si="10"/>
        <v>1079.5271539999999</v>
      </c>
      <c r="O153" s="399">
        <f t="shared" si="12"/>
        <v>758.3</v>
      </c>
      <c r="P153" s="196" t="s">
        <v>224</v>
      </c>
      <c r="Q153" s="46">
        <v>1</v>
      </c>
      <c r="R153" s="368" t="s">
        <v>673</v>
      </c>
      <c r="S153" s="257">
        <f>80000+180000+3.5*1600</f>
        <v>265600</v>
      </c>
      <c r="T153" s="196"/>
      <c r="U153" s="46"/>
      <c r="V153" s="46"/>
      <c r="W153" s="257"/>
      <c r="X153" s="46"/>
      <c r="Y153" s="46"/>
      <c r="Z153" s="46"/>
      <c r="AA153" s="257"/>
      <c r="AB153" s="196"/>
      <c r="AC153" s="46"/>
      <c r="AD153" s="46"/>
      <c r="AE153" s="257"/>
      <c r="AF153" s="196"/>
      <c r="AG153" s="46"/>
      <c r="AH153" s="46"/>
      <c r="AI153" s="196"/>
      <c r="AJ153" s="400"/>
      <c r="AK153" s="196"/>
      <c r="AL153" s="46"/>
      <c r="AM153" s="218"/>
      <c r="AN153" s="257"/>
      <c r="AO153" s="218"/>
      <c r="AP153" s="167"/>
      <c r="AQ153" s="524"/>
      <c r="AR153" s="196"/>
      <c r="AS153" s="46"/>
      <c r="AT153" s="257"/>
      <c r="AU153" s="196"/>
      <c r="AV153" s="46"/>
      <c r="AW153" s="257"/>
      <c r="AX153" s="196" t="s">
        <v>226</v>
      </c>
      <c r="AY153" s="415" t="s">
        <v>674</v>
      </c>
      <c r="AZ153" s="257">
        <f>15*1300</f>
        <v>19500</v>
      </c>
      <c r="BA153" s="46"/>
      <c r="BB153" s="46"/>
      <c r="BC153" s="46"/>
      <c r="BD153" s="46"/>
      <c r="BE153" s="46"/>
      <c r="BF153" s="257"/>
      <c r="BG153" s="46"/>
      <c r="BH153" s="46"/>
      <c r="BI153" s="46"/>
      <c r="BJ153" s="196"/>
      <c r="BK153" s="46"/>
      <c r="BL153" s="46"/>
      <c r="BM153" s="46"/>
      <c r="BN153" s="46"/>
      <c r="BO153" s="257"/>
      <c r="BP153" s="46"/>
      <c r="BQ153" s="46"/>
      <c r="BR153" s="257"/>
      <c r="BS153" s="46"/>
      <c r="BT153" s="46"/>
      <c r="BU153" s="257"/>
      <c r="BV153" s="196"/>
      <c r="BW153" s="46"/>
      <c r="BX153" s="46"/>
      <c r="BY153" s="46"/>
      <c r="BZ153" s="46"/>
      <c r="CA153" s="257"/>
      <c r="CB153" s="196" t="s">
        <v>247</v>
      </c>
      <c r="CC153" s="46">
        <v>165</v>
      </c>
      <c r="CD153" s="257">
        <f>CC153*1800</f>
        <v>297000</v>
      </c>
      <c r="CE153" s="46"/>
      <c r="CF153" s="46"/>
      <c r="CG153" s="257"/>
      <c r="CH153" s="46"/>
      <c r="CI153" s="46"/>
      <c r="CJ153" s="46"/>
      <c r="CK153" s="46"/>
      <c r="CL153" s="46"/>
      <c r="CM153" s="257"/>
      <c r="CN153" s="46">
        <v>8</v>
      </c>
      <c r="CO153" s="377" t="s">
        <v>667</v>
      </c>
      <c r="CP153" s="257">
        <v>60000</v>
      </c>
      <c r="CQ153" s="218" t="s">
        <v>798</v>
      </c>
      <c r="CR153" s="286" t="s">
        <v>675</v>
      </c>
      <c r="CS153" s="257">
        <f>CY153+DE153+DL153+DT153+EB153+EJ153+30000+6*2500+7*1600</f>
        <v>116200</v>
      </c>
      <c r="CT153" s="196"/>
      <c r="CU153" s="317"/>
      <c r="CV153" s="391">
        <f t="shared" si="13"/>
        <v>0</v>
      </c>
      <c r="CW153" s="41"/>
      <c r="CX153" s="41"/>
      <c r="CY153" s="256"/>
      <c r="CZ153" s="308"/>
      <c r="DA153" s="308"/>
      <c r="DB153" s="420"/>
      <c r="DC153" s="41"/>
      <c r="DD153" s="72"/>
      <c r="DE153" s="256"/>
      <c r="DF153" s="41"/>
      <c r="DG153" s="41"/>
      <c r="DH153" s="391"/>
      <c r="DI153" s="41">
        <v>5.6</v>
      </c>
      <c r="DJ153" s="41">
        <v>4</v>
      </c>
      <c r="DK153" s="203" t="s">
        <v>672</v>
      </c>
      <c r="DL153" s="256">
        <f>15000*4</f>
        <v>60000</v>
      </c>
      <c r="DM153" s="41"/>
      <c r="DN153" s="41"/>
      <c r="DO153" s="41"/>
      <c r="DP153" s="420"/>
      <c r="DQ153" s="41"/>
      <c r="DR153" s="41"/>
      <c r="DS153" s="203"/>
      <c r="DT153" s="256"/>
      <c r="DU153" s="46"/>
      <c r="DV153" s="46"/>
      <c r="DW153" s="196"/>
      <c r="DX153" s="391"/>
      <c r="DY153" s="41"/>
      <c r="DZ153" s="41"/>
      <c r="EA153" s="41"/>
      <c r="EB153" s="69"/>
      <c r="EC153" s="41"/>
      <c r="ED153" s="41"/>
      <c r="EE153" s="41"/>
      <c r="EF153" s="420"/>
      <c r="EG153" s="41"/>
      <c r="EH153" s="41"/>
      <c r="EI153" s="41"/>
      <c r="EJ153" s="256"/>
      <c r="EK153" s="41"/>
      <c r="EL153" s="41"/>
      <c r="EM153" s="41"/>
      <c r="EN153" s="391"/>
    </row>
    <row r="154" spans="1:144" ht="27.6" customHeight="1">
      <c r="A154" s="45">
        <v>147</v>
      </c>
      <c r="B154" s="53" t="s">
        <v>301</v>
      </c>
      <c r="C154" s="45">
        <v>1</v>
      </c>
      <c r="D154" s="55" t="s">
        <v>263</v>
      </c>
      <c r="E154" s="54">
        <v>1</v>
      </c>
      <c r="F154" s="54">
        <v>6</v>
      </c>
      <c r="G154" s="397">
        <f>38124.768/1000</f>
        <v>38.124767999999996</v>
      </c>
      <c r="H154" s="59">
        <v>10782.552</v>
      </c>
      <c r="I154" s="59">
        <v>27342.216</v>
      </c>
      <c r="J154" s="398">
        <v>125.86964999999999</v>
      </c>
      <c r="K154" s="414">
        <f t="shared" si="11"/>
        <v>163.994418</v>
      </c>
      <c r="L154" s="397"/>
      <c r="M154" s="397"/>
      <c r="N154" s="397">
        <f t="shared" si="10"/>
        <v>163.994418</v>
      </c>
      <c r="O154" s="399">
        <f t="shared" si="12"/>
        <v>179</v>
      </c>
      <c r="P154" s="196"/>
      <c r="Q154" s="46"/>
      <c r="R154" s="196"/>
      <c r="S154" s="257"/>
      <c r="T154" s="196"/>
      <c r="U154" s="46"/>
      <c r="V154" s="46"/>
      <c r="W154" s="257"/>
      <c r="X154" s="46"/>
      <c r="Y154" s="46"/>
      <c r="Z154" s="46"/>
      <c r="AA154" s="257"/>
      <c r="AB154" s="196"/>
      <c r="AC154" s="46"/>
      <c r="AD154" s="46"/>
      <c r="AE154" s="257"/>
      <c r="AF154" s="196"/>
      <c r="AG154" s="46"/>
      <c r="AH154" s="46"/>
      <c r="AI154" s="196"/>
      <c r="AJ154" s="400"/>
      <c r="AK154" s="196"/>
      <c r="AL154" s="46"/>
      <c r="AM154" s="218"/>
      <c r="AN154" s="257"/>
      <c r="AO154" s="196"/>
      <c r="AP154" s="46"/>
      <c r="AQ154" s="257"/>
      <c r="AR154" s="196"/>
      <c r="AS154" s="46"/>
      <c r="AT154" s="257"/>
      <c r="AU154" s="196"/>
      <c r="AV154" s="46"/>
      <c r="AW154" s="257"/>
      <c r="AX154" s="196"/>
      <c r="AY154" s="46"/>
      <c r="AZ154" s="257"/>
      <c r="BA154" s="46"/>
      <c r="BB154" s="46"/>
      <c r="BC154" s="46"/>
      <c r="BD154" s="46"/>
      <c r="BE154" s="46"/>
      <c r="BF154" s="257"/>
      <c r="BG154" s="46"/>
      <c r="BH154" s="46"/>
      <c r="BI154" s="46"/>
      <c r="BJ154" s="196"/>
      <c r="BK154" s="46"/>
      <c r="BL154" s="46"/>
      <c r="BM154" s="46"/>
      <c r="BN154" s="46"/>
      <c r="BO154" s="257"/>
      <c r="BP154" s="196"/>
      <c r="BQ154" s="46"/>
      <c r="BR154" s="257"/>
      <c r="BS154" s="46"/>
      <c r="BT154" s="46"/>
      <c r="BU154" s="257"/>
      <c r="BV154" s="196"/>
      <c r="BW154" s="46"/>
      <c r="BX154" s="46"/>
      <c r="BY154" s="46"/>
      <c r="BZ154" s="46"/>
      <c r="CA154" s="257"/>
      <c r="CB154" s="196"/>
      <c r="CC154" s="46"/>
      <c r="CD154" s="257"/>
      <c r="CE154" s="46"/>
      <c r="CF154" s="46"/>
      <c r="CG154" s="257"/>
      <c r="CH154" s="46"/>
      <c r="CI154" s="46"/>
      <c r="CJ154" s="46"/>
      <c r="CK154" s="46"/>
      <c r="CL154" s="46"/>
      <c r="CM154" s="257"/>
      <c r="CN154" s="46"/>
      <c r="CO154" s="376"/>
      <c r="CP154" s="257"/>
      <c r="CQ154" s="196"/>
      <c r="CR154" s="191" t="s">
        <v>554</v>
      </c>
      <c r="CS154" s="257">
        <f>CY154+DE154+DL154+DT154+EB154+EJ154+179000</f>
        <v>179000</v>
      </c>
      <c r="CT154" s="196"/>
      <c r="CU154" s="317"/>
      <c r="CV154" s="391">
        <f t="shared" si="13"/>
        <v>0</v>
      </c>
      <c r="CW154" s="41"/>
      <c r="CX154" s="41"/>
      <c r="CY154" s="256"/>
      <c r="CZ154" s="308"/>
      <c r="DA154" s="308"/>
      <c r="DB154" s="420"/>
      <c r="DC154" s="41"/>
      <c r="DD154" s="41"/>
      <c r="DE154" s="256"/>
      <c r="DF154" s="41"/>
      <c r="DG154" s="41"/>
      <c r="DH154" s="391"/>
      <c r="DI154" s="41"/>
      <c r="DJ154" s="41"/>
      <c r="DK154" s="203"/>
      <c r="DL154" s="256"/>
      <c r="DM154" s="41"/>
      <c r="DN154" s="41"/>
      <c r="DO154" s="41"/>
      <c r="DP154" s="420"/>
      <c r="DQ154" s="41"/>
      <c r="DR154" s="41"/>
      <c r="DS154" s="203"/>
      <c r="DT154" s="256"/>
      <c r="DU154" s="46"/>
      <c r="DV154" s="46"/>
      <c r="DW154" s="196"/>
      <c r="DX154" s="391"/>
      <c r="DY154" s="41"/>
      <c r="DZ154" s="41"/>
      <c r="EA154" s="41"/>
      <c r="EB154" s="69"/>
      <c r="EC154" s="41"/>
      <c r="ED154" s="41"/>
      <c r="EE154" s="41"/>
      <c r="EF154" s="420"/>
      <c r="EG154" s="41"/>
      <c r="EH154" s="41"/>
      <c r="EI154" s="41"/>
      <c r="EJ154" s="256"/>
      <c r="EK154" s="41"/>
      <c r="EL154" s="41"/>
      <c r="EM154" s="41"/>
      <c r="EN154" s="391"/>
    </row>
    <row r="155" spans="1:144" ht="43.5" customHeight="1">
      <c r="A155" s="45">
        <v>148</v>
      </c>
      <c r="B155" s="53" t="s">
        <v>301</v>
      </c>
      <c r="C155" s="45">
        <v>1</v>
      </c>
      <c r="D155" s="55" t="s">
        <v>263</v>
      </c>
      <c r="E155" s="54" t="s">
        <v>264</v>
      </c>
      <c r="F155" s="54">
        <v>6</v>
      </c>
      <c r="G155" s="397">
        <f>80704.7376/1000</f>
        <v>80.704737599999987</v>
      </c>
      <c r="H155" s="59">
        <v>22825.136400000003</v>
      </c>
      <c r="I155" s="59">
        <v>57879.601200000005</v>
      </c>
      <c r="J155" s="398">
        <v>143.15262519999996</v>
      </c>
      <c r="K155" s="414">
        <f t="shared" si="11"/>
        <v>223.85736279999995</v>
      </c>
      <c r="L155" s="397"/>
      <c r="M155" s="397"/>
      <c r="N155" s="397">
        <f t="shared" si="10"/>
        <v>223.85736279999995</v>
      </c>
      <c r="O155" s="399">
        <f t="shared" si="12"/>
        <v>261</v>
      </c>
      <c r="P155" s="196"/>
      <c r="Q155" s="46"/>
      <c r="R155" s="196"/>
      <c r="S155" s="257"/>
      <c r="T155" s="196"/>
      <c r="U155" s="46"/>
      <c r="V155" s="46"/>
      <c r="W155" s="257"/>
      <c r="X155" s="46"/>
      <c r="Y155" s="46"/>
      <c r="Z155" s="46"/>
      <c r="AA155" s="257"/>
      <c r="AB155" s="196"/>
      <c r="AC155" s="46"/>
      <c r="AD155" s="46"/>
      <c r="AE155" s="257"/>
      <c r="AF155" s="196"/>
      <c r="AG155" s="46"/>
      <c r="AH155" s="46"/>
      <c r="AI155" s="196"/>
      <c r="AJ155" s="400"/>
      <c r="AK155" s="196"/>
      <c r="AL155" s="46"/>
      <c r="AM155" s="218"/>
      <c r="AN155" s="257"/>
      <c r="AO155" s="196"/>
      <c r="AP155" s="46"/>
      <c r="AQ155" s="257"/>
      <c r="AR155" s="196"/>
      <c r="AS155" s="46"/>
      <c r="AT155" s="257"/>
      <c r="AU155" s="196"/>
      <c r="AV155" s="46"/>
      <c r="AW155" s="257"/>
      <c r="AX155" s="196"/>
      <c r="AY155" s="46"/>
      <c r="AZ155" s="257"/>
      <c r="BA155" s="46"/>
      <c r="BB155" s="46"/>
      <c r="BC155" s="46"/>
      <c r="BD155" s="46"/>
      <c r="BE155" s="46"/>
      <c r="BF155" s="257"/>
      <c r="BG155" s="46"/>
      <c r="BH155" s="46"/>
      <c r="BI155" s="46"/>
      <c r="BJ155" s="196"/>
      <c r="BK155" s="46"/>
      <c r="BL155" s="46"/>
      <c r="BM155" s="46"/>
      <c r="BN155" s="46"/>
      <c r="BO155" s="257"/>
      <c r="BP155" s="196"/>
      <c r="BQ155" s="46"/>
      <c r="BR155" s="257"/>
      <c r="BS155" s="46"/>
      <c r="BT155" s="46"/>
      <c r="BU155" s="257"/>
      <c r="BV155" s="196"/>
      <c r="BW155" s="46"/>
      <c r="BX155" s="46"/>
      <c r="BY155" s="46"/>
      <c r="BZ155" s="46"/>
      <c r="CA155" s="257"/>
      <c r="CB155" s="196"/>
      <c r="CC155" s="46"/>
      <c r="CD155" s="257"/>
      <c r="CE155" s="46"/>
      <c r="CF155" s="46"/>
      <c r="CG155" s="257"/>
      <c r="CH155" s="46"/>
      <c r="CI155" s="46"/>
      <c r="CJ155" s="46"/>
      <c r="CK155" s="46"/>
      <c r="CL155" s="46"/>
      <c r="CM155" s="257"/>
      <c r="CN155" s="46"/>
      <c r="CO155" s="376"/>
      <c r="CP155" s="257"/>
      <c r="CQ155" s="218"/>
      <c r="CR155" s="190" t="s">
        <v>554</v>
      </c>
      <c r="CS155" s="257">
        <f>CY155+DE155+DL155+DT155+EB155+EJ155+261000</f>
        <v>261000</v>
      </c>
      <c r="CT155" s="218"/>
      <c r="CU155" s="317"/>
      <c r="CV155" s="391">
        <f t="shared" si="13"/>
        <v>0</v>
      </c>
      <c r="CW155" s="41"/>
      <c r="CX155" s="41"/>
      <c r="CY155" s="256"/>
      <c r="CZ155" s="308"/>
      <c r="DA155" s="308"/>
      <c r="DB155" s="420"/>
      <c r="DC155" s="41"/>
      <c r="DD155" s="41"/>
      <c r="DE155" s="256"/>
      <c r="DF155" s="41"/>
      <c r="DG155" s="41"/>
      <c r="DH155" s="391"/>
      <c r="DI155" s="41"/>
      <c r="DJ155" s="41"/>
      <c r="DK155" s="203"/>
      <c r="DL155" s="256"/>
      <c r="DM155" s="41"/>
      <c r="DN155" s="41"/>
      <c r="DO155" s="41"/>
      <c r="DP155" s="420"/>
      <c r="DQ155" s="41"/>
      <c r="DR155" s="41"/>
      <c r="DS155" s="203"/>
      <c r="DT155" s="256"/>
      <c r="DU155" s="46"/>
      <c r="DV155" s="46"/>
      <c r="DW155" s="196"/>
      <c r="DX155" s="391"/>
      <c r="DY155" s="41"/>
      <c r="DZ155" s="41"/>
      <c r="EA155" s="41"/>
      <c r="EB155" s="69"/>
      <c r="EC155" s="41"/>
      <c r="ED155" s="41"/>
      <c r="EE155" s="41"/>
      <c r="EF155" s="420"/>
      <c r="EG155" s="41"/>
      <c r="EH155" s="41"/>
      <c r="EI155" s="41"/>
      <c r="EJ155" s="256"/>
      <c r="EK155" s="41"/>
      <c r="EL155" s="41"/>
      <c r="EM155" s="41"/>
      <c r="EN155" s="391"/>
    </row>
    <row r="156" spans="1:144" ht="30">
      <c r="A156" s="45">
        <v>149</v>
      </c>
      <c r="B156" s="53" t="s">
        <v>301</v>
      </c>
      <c r="C156" s="45">
        <v>1</v>
      </c>
      <c r="D156" s="55" t="s">
        <v>263</v>
      </c>
      <c r="E156" s="54">
        <v>4</v>
      </c>
      <c r="F156" s="54">
        <v>6</v>
      </c>
      <c r="G156" s="397">
        <f>43301.664/1000</f>
        <v>43.301663999999995</v>
      </c>
      <c r="H156" s="59">
        <v>12246.696</v>
      </c>
      <c r="I156" s="59">
        <v>31054.967999999997</v>
      </c>
      <c r="J156" s="398">
        <v>175.05166800000001</v>
      </c>
      <c r="K156" s="414">
        <f t="shared" si="11"/>
        <v>218.35333199999999</v>
      </c>
      <c r="L156" s="397"/>
      <c r="M156" s="397"/>
      <c r="N156" s="397">
        <f t="shared" si="10"/>
        <v>218.35333199999999</v>
      </c>
      <c r="O156" s="399">
        <f t="shared" si="12"/>
        <v>210</v>
      </c>
      <c r="P156" s="196" t="s">
        <v>250</v>
      </c>
      <c r="Q156" s="46">
        <v>1</v>
      </c>
      <c r="R156" s="196" t="s">
        <v>523</v>
      </c>
      <c r="S156" s="257">
        <v>90000</v>
      </c>
      <c r="T156" s="196"/>
      <c r="U156" s="46"/>
      <c r="V156" s="46"/>
      <c r="W156" s="257"/>
      <c r="X156" s="46"/>
      <c r="Y156" s="46"/>
      <c r="Z156" s="46"/>
      <c r="AA156" s="257"/>
      <c r="AB156" s="196"/>
      <c r="AC156" s="46"/>
      <c r="AD156" s="46"/>
      <c r="AE156" s="257"/>
      <c r="AF156" s="196"/>
      <c r="AG156" s="46"/>
      <c r="AH156" s="46"/>
      <c r="AI156" s="196"/>
      <c r="AJ156" s="400"/>
      <c r="AK156" s="196"/>
      <c r="AL156" s="46"/>
      <c r="AM156" s="218"/>
      <c r="AN156" s="257"/>
      <c r="AO156" s="196"/>
      <c r="AP156" s="46"/>
      <c r="AQ156" s="257"/>
      <c r="AR156" s="196"/>
      <c r="AS156" s="46"/>
      <c r="AT156" s="257"/>
      <c r="AU156" s="196" t="s">
        <v>228</v>
      </c>
      <c r="AV156" s="46">
        <v>40</v>
      </c>
      <c r="AW156" s="257">
        <f>AV156*3000</f>
        <v>120000</v>
      </c>
      <c r="AX156" s="196"/>
      <c r="AY156" s="46"/>
      <c r="AZ156" s="257"/>
      <c r="BA156" s="46"/>
      <c r="BB156" s="46"/>
      <c r="BC156" s="46"/>
      <c r="BD156" s="46"/>
      <c r="BE156" s="46"/>
      <c r="BF156" s="257"/>
      <c r="BG156" s="46"/>
      <c r="BH156" s="46"/>
      <c r="BI156" s="46"/>
      <c r="BJ156" s="196"/>
      <c r="BK156" s="46"/>
      <c r="BL156" s="46"/>
      <c r="BM156" s="46"/>
      <c r="BN156" s="46"/>
      <c r="BO156" s="257"/>
      <c r="BP156" s="196"/>
      <c r="BQ156" s="46"/>
      <c r="BR156" s="257"/>
      <c r="BS156" s="46"/>
      <c r="BT156" s="46"/>
      <c r="BU156" s="257"/>
      <c r="BV156" s="196"/>
      <c r="BW156" s="46"/>
      <c r="BX156" s="46"/>
      <c r="BY156" s="46"/>
      <c r="BZ156" s="46"/>
      <c r="CA156" s="257"/>
      <c r="CB156" s="196"/>
      <c r="CC156" s="46"/>
      <c r="CD156" s="257"/>
      <c r="CE156" s="46"/>
      <c r="CF156" s="46"/>
      <c r="CG156" s="257"/>
      <c r="CH156" s="46"/>
      <c r="CI156" s="46"/>
      <c r="CJ156" s="46"/>
      <c r="CK156" s="46"/>
      <c r="CL156" s="46"/>
      <c r="CM156" s="257"/>
      <c r="CN156" s="46"/>
      <c r="CO156" s="376"/>
      <c r="CP156" s="257"/>
      <c r="CQ156" s="196"/>
      <c r="CR156" s="191"/>
      <c r="CS156" s="257">
        <f t="shared" si="14"/>
        <v>0</v>
      </c>
      <c r="CT156" s="196" t="s">
        <v>523</v>
      </c>
      <c r="CU156" s="317" t="s">
        <v>781</v>
      </c>
      <c r="CV156" s="391">
        <f>DB156+DH156+DP156+DX156+EF156+EN156+11184.86</f>
        <v>11184.86</v>
      </c>
      <c r="CW156" s="41"/>
      <c r="CX156" s="41"/>
      <c r="CY156" s="256"/>
      <c r="CZ156" s="308"/>
      <c r="DA156" s="308"/>
      <c r="DB156" s="420"/>
      <c r="DC156" s="41"/>
      <c r="DD156" s="41"/>
      <c r="DE156" s="256"/>
      <c r="DF156" s="41"/>
      <c r="DG156" s="41"/>
      <c r="DH156" s="391"/>
      <c r="DI156" s="41"/>
      <c r="DJ156" s="41"/>
      <c r="DK156" s="203"/>
      <c r="DL156" s="256"/>
      <c r="DM156" s="41"/>
      <c r="DN156" s="41"/>
      <c r="DO156" s="41"/>
      <c r="DP156" s="420"/>
      <c r="DQ156" s="41"/>
      <c r="DR156" s="41"/>
      <c r="DS156" s="203"/>
      <c r="DT156" s="256"/>
      <c r="DU156" s="46"/>
      <c r="DV156" s="46"/>
      <c r="DW156" s="196"/>
      <c r="DX156" s="391"/>
      <c r="DY156" s="41"/>
      <c r="DZ156" s="41"/>
      <c r="EA156" s="41"/>
      <c r="EB156" s="69"/>
      <c r="EC156" s="41"/>
      <c r="ED156" s="41"/>
      <c r="EE156" s="41"/>
      <c r="EF156" s="420"/>
      <c r="EG156" s="41"/>
      <c r="EH156" s="41"/>
      <c r="EI156" s="41"/>
      <c r="EJ156" s="256"/>
      <c r="EK156" s="41"/>
      <c r="EL156" s="41"/>
      <c r="EM156" s="41"/>
      <c r="EN156" s="391"/>
    </row>
    <row r="157" spans="1:144" ht="25.5">
      <c r="A157" s="45">
        <v>150</v>
      </c>
      <c r="B157" s="53" t="s">
        <v>301</v>
      </c>
      <c r="C157" s="45">
        <v>1</v>
      </c>
      <c r="D157" s="55" t="s">
        <v>263</v>
      </c>
      <c r="E157" s="54" t="s">
        <v>265</v>
      </c>
      <c r="F157" s="54">
        <v>6</v>
      </c>
      <c r="G157" s="397">
        <f>62490.18/1000</f>
        <v>62.490180000000002</v>
      </c>
      <c r="H157" s="59">
        <v>17673.645</v>
      </c>
      <c r="I157" s="59">
        <v>44816.535000000003</v>
      </c>
      <c r="J157" s="398">
        <v>140.094325</v>
      </c>
      <c r="K157" s="414">
        <f t="shared" si="11"/>
        <v>202.58450500000001</v>
      </c>
      <c r="L157" s="397"/>
      <c r="M157" s="397"/>
      <c r="N157" s="397">
        <f t="shared" si="10"/>
        <v>202.58450500000001</v>
      </c>
      <c r="O157" s="399">
        <f t="shared" si="12"/>
        <v>213</v>
      </c>
      <c r="P157" s="196"/>
      <c r="Q157" s="46"/>
      <c r="R157" s="196"/>
      <c r="S157" s="257"/>
      <c r="T157" s="196"/>
      <c r="U157" s="46"/>
      <c r="V157" s="46"/>
      <c r="W157" s="257"/>
      <c r="X157" s="46"/>
      <c r="Y157" s="46"/>
      <c r="Z157" s="46"/>
      <c r="AA157" s="257"/>
      <c r="AB157" s="196"/>
      <c r="AC157" s="46"/>
      <c r="AD157" s="46"/>
      <c r="AE157" s="257"/>
      <c r="AF157" s="196"/>
      <c r="AG157" s="46"/>
      <c r="AH157" s="46"/>
      <c r="AI157" s="196"/>
      <c r="AJ157" s="400"/>
      <c r="AK157" s="196"/>
      <c r="AL157" s="46"/>
      <c r="AM157" s="218"/>
      <c r="AN157" s="257"/>
      <c r="AO157" s="196"/>
      <c r="AP157" s="46"/>
      <c r="AQ157" s="257"/>
      <c r="AR157" s="196"/>
      <c r="AS157" s="46"/>
      <c r="AT157" s="257"/>
      <c r="AU157" s="196"/>
      <c r="AV157" s="46"/>
      <c r="AW157" s="257"/>
      <c r="AX157" s="196"/>
      <c r="AY157" s="46"/>
      <c r="AZ157" s="257"/>
      <c r="BA157" s="46"/>
      <c r="BB157" s="46"/>
      <c r="BC157" s="46"/>
      <c r="BD157" s="46"/>
      <c r="BE157" s="46"/>
      <c r="BF157" s="257"/>
      <c r="BG157" s="46"/>
      <c r="BH157" s="46"/>
      <c r="BI157" s="46"/>
      <c r="BJ157" s="196"/>
      <c r="BK157" s="46"/>
      <c r="BL157" s="46"/>
      <c r="BM157" s="46"/>
      <c r="BN157" s="46"/>
      <c r="BO157" s="257"/>
      <c r="BP157" s="196"/>
      <c r="BQ157" s="46"/>
      <c r="BR157" s="257"/>
      <c r="BS157" s="46"/>
      <c r="BT157" s="46"/>
      <c r="BU157" s="257"/>
      <c r="BV157" s="196"/>
      <c r="BW157" s="46"/>
      <c r="BX157" s="46"/>
      <c r="BY157" s="46"/>
      <c r="BZ157" s="46"/>
      <c r="CA157" s="257"/>
      <c r="CB157" s="196"/>
      <c r="CC157" s="46"/>
      <c r="CD157" s="257"/>
      <c r="CE157" s="46"/>
      <c r="CF157" s="46"/>
      <c r="CG157" s="257"/>
      <c r="CH157" s="46"/>
      <c r="CI157" s="46"/>
      <c r="CJ157" s="46"/>
      <c r="CK157" s="46"/>
      <c r="CL157" s="46"/>
      <c r="CM157" s="257"/>
      <c r="CN157" s="46"/>
      <c r="CO157" s="376"/>
      <c r="CP157" s="257"/>
      <c r="CQ157" s="196"/>
      <c r="CR157" s="191" t="s">
        <v>554</v>
      </c>
      <c r="CS157" s="257">
        <f>CY157+DE157+DL157+DT157+EB157+EJ157+213000</f>
        <v>213000</v>
      </c>
      <c r="CT157" s="196"/>
      <c r="CU157" s="317"/>
      <c r="CV157" s="391">
        <f t="shared" si="13"/>
        <v>0</v>
      </c>
      <c r="CW157" s="41"/>
      <c r="CX157" s="41"/>
      <c r="CY157" s="256"/>
      <c r="CZ157" s="308"/>
      <c r="DA157" s="308"/>
      <c r="DB157" s="420"/>
      <c r="DC157" s="41"/>
      <c r="DD157" s="41"/>
      <c r="DE157" s="256"/>
      <c r="DF157" s="41"/>
      <c r="DG157" s="41"/>
      <c r="DH157" s="391"/>
      <c r="DI157" s="41"/>
      <c r="DJ157" s="41"/>
      <c r="DK157" s="203"/>
      <c r="DL157" s="256"/>
      <c r="DM157" s="41"/>
      <c r="DN157" s="41"/>
      <c r="DO157" s="41"/>
      <c r="DP157" s="420"/>
      <c r="DQ157" s="41"/>
      <c r="DR157" s="41"/>
      <c r="DS157" s="203"/>
      <c r="DT157" s="256"/>
      <c r="DU157" s="46"/>
      <c r="DV157" s="46"/>
      <c r="DW157" s="196"/>
      <c r="DX157" s="391"/>
      <c r="DY157" s="41"/>
      <c r="DZ157" s="41"/>
      <c r="EA157" s="41"/>
      <c r="EB157" s="69"/>
      <c r="EC157" s="41"/>
      <c r="ED157" s="41"/>
      <c r="EE157" s="41"/>
      <c r="EF157" s="420"/>
      <c r="EG157" s="41"/>
      <c r="EH157" s="41"/>
      <c r="EI157" s="41"/>
      <c r="EJ157" s="256"/>
      <c r="EK157" s="41"/>
      <c r="EL157" s="41"/>
      <c r="EM157" s="41"/>
      <c r="EN157" s="391"/>
    </row>
    <row r="158" spans="1:144" ht="25.5">
      <c r="A158" s="45">
        <v>151</v>
      </c>
      <c r="B158" s="53" t="s">
        <v>301</v>
      </c>
      <c r="C158" s="45">
        <v>1</v>
      </c>
      <c r="D158" s="55" t="s">
        <v>263</v>
      </c>
      <c r="E158" s="54">
        <v>6</v>
      </c>
      <c r="F158" s="54">
        <v>6</v>
      </c>
      <c r="G158" s="397">
        <f>38519.616/1000</f>
        <v>38.519615999999999</v>
      </c>
      <c r="H158" s="59">
        <v>10894.224</v>
      </c>
      <c r="I158" s="59">
        <v>27625.392</v>
      </c>
      <c r="J158" s="398">
        <v>139.99229</v>
      </c>
      <c r="K158" s="414">
        <f t="shared" si="11"/>
        <v>178.51190600000001</v>
      </c>
      <c r="L158" s="397"/>
      <c r="M158" s="397"/>
      <c r="N158" s="397">
        <f t="shared" si="10"/>
        <v>178.51190600000001</v>
      </c>
      <c r="O158" s="399">
        <f t="shared" si="12"/>
        <v>170</v>
      </c>
      <c r="P158" s="196"/>
      <c r="Q158" s="46"/>
      <c r="R158" s="196"/>
      <c r="S158" s="257"/>
      <c r="T158" s="196"/>
      <c r="U158" s="46"/>
      <c r="V158" s="46"/>
      <c r="W158" s="257"/>
      <c r="X158" s="46"/>
      <c r="Y158" s="46"/>
      <c r="Z158" s="46"/>
      <c r="AA158" s="257"/>
      <c r="AB158" s="196"/>
      <c r="AC158" s="46"/>
      <c r="AD158" s="46"/>
      <c r="AE158" s="257"/>
      <c r="AF158" s="196"/>
      <c r="AG158" s="46"/>
      <c r="AH158" s="46"/>
      <c r="AI158" s="196"/>
      <c r="AJ158" s="400"/>
      <c r="AK158" s="196"/>
      <c r="AL158" s="46"/>
      <c r="AM158" s="218"/>
      <c r="AN158" s="257"/>
      <c r="AO158" s="196"/>
      <c r="AP158" s="46"/>
      <c r="AQ158" s="257"/>
      <c r="AR158" s="196"/>
      <c r="AS158" s="46"/>
      <c r="AT158" s="257"/>
      <c r="AU158" s="196"/>
      <c r="AV158" s="46"/>
      <c r="AW158" s="257"/>
      <c r="AX158" s="196"/>
      <c r="AY158" s="46"/>
      <c r="AZ158" s="257"/>
      <c r="BA158" s="46"/>
      <c r="BB158" s="46"/>
      <c r="BC158" s="46"/>
      <c r="BD158" s="46"/>
      <c r="BE158" s="46"/>
      <c r="BF158" s="257"/>
      <c r="BG158" s="46"/>
      <c r="BH158" s="46"/>
      <c r="BI158" s="46"/>
      <c r="BJ158" s="196"/>
      <c r="BK158" s="46"/>
      <c r="BL158" s="46"/>
      <c r="BM158" s="46"/>
      <c r="BN158" s="46"/>
      <c r="BO158" s="257"/>
      <c r="BP158" s="196"/>
      <c r="BQ158" s="46"/>
      <c r="BR158" s="257"/>
      <c r="BS158" s="46"/>
      <c r="BT158" s="46"/>
      <c r="BU158" s="257"/>
      <c r="BV158" s="196"/>
      <c r="BW158" s="46"/>
      <c r="BX158" s="46"/>
      <c r="BY158" s="46"/>
      <c r="BZ158" s="46"/>
      <c r="CA158" s="257"/>
      <c r="CB158" s="196"/>
      <c r="CC158" s="46"/>
      <c r="CD158" s="257"/>
      <c r="CE158" s="46"/>
      <c r="CF158" s="46"/>
      <c r="CG158" s="257"/>
      <c r="CH158" s="46"/>
      <c r="CI158" s="46"/>
      <c r="CJ158" s="46"/>
      <c r="CK158" s="46"/>
      <c r="CL158" s="46"/>
      <c r="CM158" s="257"/>
      <c r="CN158" s="46"/>
      <c r="CO158" s="376"/>
      <c r="CP158" s="257"/>
      <c r="CQ158" s="196"/>
      <c r="CR158" s="191" t="s">
        <v>554</v>
      </c>
      <c r="CS158" s="257">
        <f>CY158+DE158+DL158+DT158+EB158+EJ158+170000</f>
        <v>170000</v>
      </c>
      <c r="CT158" s="196"/>
      <c r="CU158" s="317"/>
      <c r="CV158" s="391">
        <f t="shared" si="13"/>
        <v>0</v>
      </c>
      <c r="CW158" s="41"/>
      <c r="CX158" s="41"/>
      <c r="CY158" s="256"/>
      <c r="CZ158" s="308"/>
      <c r="DA158" s="308"/>
      <c r="DB158" s="420"/>
      <c r="DC158" s="41"/>
      <c r="DD158" s="41"/>
      <c r="DE158" s="256"/>
      <c r="DF158" s="41"/>
      <c r="DG158" s="41"/>
      <c r="DH158" s="391"/>
      <c r="DI158" s="41"/>
      <c r="DJ158" s="41"/>
      <c r="DK158" s="203"/>
      <c r="DL158" s="256"/>
      <c r="DM158" s="41"/>
      <c r="DN158" s="41"/>
      <c r="DO158" s="41"/>
      <c r="DP158" s="420"/>
      <c r="DQ158" s="41"/>
      <c r="DR158" s="41"/>
      <c r="DS158" s="203"/>
      <c r="DT158" s="256"/>
      <c r="DU158" s="46"/>
      <c r="DV158" s="46"/>
      <c r="DW158" s="196"/>
      <c r="DX158" s="391"/>
      <c r="DY158" s="41"/>
      <c r="DZ158" s="41"/>
      <c r="EA158" s="41"/>
      <c r="EB158" s="69"/>
      <c r="EC158" s="41"/>
      <c r="ED158" s="41"/>
      <c r="EE158" s="41"/>
      <c r="EF158" s="420"/>
      <c r="EG158" s="41"/>
      <c r="EH158" s="41"/>
      <c r="EI158" s="41"/>
      <c r="EJ158" s="256"/>
      <c r="EK158" s="41"/>
      <c r="EL158" s="41"/>
      <c r="EM158" s="41"/>
      <c r="EN158" s="391"/>
    </row>
    <row r="159" spans="1:144" ht="25.5">
      <c r="A159" s="45">
        <v>152</v>
      </c>
      <c r="B159" s="53" t="s">
        <v>301</v>
      </c>
      <c r="C159" s="45">
        <v>1</v>
      </c>
      <c r="D159" s="55" t="s">
        <v>263</v>
      </c>
      <c r="E159" s="54">
        <v>7</v>
      </c>
      <c r="F159" s="54">
        <v>6</v>
      </c>
      <c r="G159" s="397">
        <f>32991.744/1000</f>
        <v>32.991743999999997</v>
      </c>
      <c r="H159" s="59">
        <v>9330.8159999999989</v>
      </c>
      <c r="I159" s="59">
        <v>23660.928</v>
      </c>
      <c r="J159" s="398">
        <v>115.34327</v>
      </c>
      <c r="K159" s="414">
        <f t="shared" si="11"/>
        <v>148.335014</v>
      </c>
      <c r="L159" s="397"/>
      <c r="M159" s="397"/>
      <c r="N159" s="397">
        <f>K159-L159</f>
        <v>148.335014</v>
      </c>
      <c r="O159" s="399">
        <f t="shared" si="12"/>
        <v>146</v>
      </c>
      <c r="P159" s="369" t="s">
        <v>1012</v>
      </c>
      <c r="Q159" s="46"/>
      <c r="R159" s="218"/>
      <c r="S159" s="257"/>
      <c r="T159" s="196"/>
      <c r="U159" s="46"/>
      <c r="V159" s="46"/>
      <c r="W159" s="257"/>
      <c r="X159" s="46"/>
      <c r="Y159" s="46"/>
      <c r="Z159" s="46"/>
      <c r="AA159" s="257"/>
      <c r="AB159" s="196"/>
      <c r="AC159" s="46"/>
      <c r="AD159" s="167"/>
      <c r="AE159" s="257"/>
      <c r="AF159" s="196"/>
      <c r="AG159" s="46"/>
      <c r="AH159" s="46"/>
      <c r="AI159" s="196"/>
      <c r="AJ159" s="400"/>
      <c r="AK159" s="196"/>
      <c r="AL159" s="46"/>
      <c r="AM159" s="218"/>
      <c r="AN159" s="257"/>
      <c r="AO159" s="196"/>
      <c r="AP159" s="46"/>
      <c r="AQ159" s="257"/>
      <c r="AR159" s="196"/>
      <c r="AS159" s="46"/>
      <c r="AT159" s="257"/>
      <c r="AU159" s="196"/>
      <c r="AV159" s="46"/>
      <c r="AW159" s="257"/>
      <c r="AX159" s="196"/>
      <c r="AY159" s="46"/>
      <c r="AZ159" s="257"/>
      <c r="BA159" s="46"/>
      <c r="BB159" s="46"/>
      <c r="BC159" s="46"/>
      <c r="BD159" s="46"/>
      <c r="BE159" s="46"/>
      <c r="BF159" s="257"/>
      <c r="BG159" s="46"/>
      <c r="BH159" s="46"/>
      <c r="BI159" s="46"/>
      <c r="BJ159" s="196"/>
      <c r="BK159" s="46"/>
      <c r="BL159" s="257"/>
      <c r="BM159" s="46"/>
      <c r="BN159" s="46"/>
      <c r="BO159" s="257"/>
      <c r="BP159" s="196"/>
      <c r="BQ159" s="191"/>
      <c r="BR159" s="257"/>
      <c r="BS159" s="46"/>
      <c r="BT159" s="46"/>
      <c r="BU159" s="257"/>
      <c r="BV159" s="196"/>
      <c r="BW159" s="46"/>
      <c r="BX159" s="257"/>
      <c r="BY159" s="46"/>
      <c r="BZ159" s="46"/>
      <c r="CA159" s="257"/>
      <c r="CB159" s="196"/>
      <c r="CC159" s="46"/>
      <c r="CD159" s="257"/>
      <c r="CE159" s="46"/>
      <c r="CF159" s="46"/>
      <c r="CG159" s="257"/>
      <c r="CH159" s="46"/>
      <c r="CI159" s="46"/>
      <c r="CJ159" s="46"/>
      <c r="CK159" s="46"/>
      <c r="CL159" s="46"/>
      <c r="CM159" s="257"/>
      <c r="CN159" s="46"/>
      <c r="CO159" s="376"/>
      <c r="CP159" s="257"/>
      <c r="CQ159" s="196"/>
      <c r="CR159" s="190" t="s">
        <v>554</v>
      </c>
      <c r="CS159" s="257">
        <f>CY159+DE159+DL159+DT159+EB159+EJ159+146000</f>
        <v>146000</v>
      </c>
      <c r="CT159" s="218"/>
      <c r="CU159" s="317"/>
      <c r="CV159" s="391">
        <f t="shared" si="13"/>
        <v>0</v>
      </c>
      <c r="CW159" s="41"/>
      <c r="CX159" s="41"/>
      <c r="CY159" s="256"/>
      <c r="CZ159" s="308"/>
      <c r="DA159" s="308"/>
      <c r="DB159" s="420"/>
      <c r="DC159" s="41"/>
      <c r="DD159" s="41"/>
      <c r="DE159" s="256"/>
      <c r="DF159" s="308"/>
      <c r="DG159" s="308"/>
      <c r="DH159" s="391"/>
      <c r="DI159" s="41"/>
      <c r="DJ159" s="41"/>
      <c r="DK159" s="203"/>
      <c r="DL159" s="256"/>
      <c r="DM159" s="41"/>
      <c r="DN159" s="41"/>
      <c r="DO159" s="41"/>
      <c r="DP159" s="420"/>
      <c r="DQ159" s="41"/>
      <c r="DR159" s="41"/>
      <c r="DS159" s="203"/>
      <c r="DT159" s="256"/>
      <c r="DU159" s="46"/>
      <c r="DV159" s="46"/>
      <c r="DW159" s="196"/>
      <c r="DX159" s="391"/>
      <c r="DY159" s="41"/>
      <c r="DZ159" s="41"/>
      <c r="EA159" s="41"/>
      <c r="EB159" s="69"/>
      <c r="EC159" s="41"/>
      <c r="ED159" s="41"/>
      <c r="EE159" s="41"/>
      <c r="EF159" s="420"/>
      <c r="EG159" s="41"/>
      <c r="EH159" s="41"/>
      <c r="EI159" s="41"/>
      <c r="EJ159" s="256"/>
      <c r="EK159" s="41"/>
      <c r="EL159" s="41"/>
      <c r="EM159" s="41"/>
      <c r="EN159" s="391"/>
    </row>
    <row r="160" spans="1:144" ht="25.5">
      <c r="A160" s="45">
        <v>153</v>
      </c>
      <c r="B160" s="53" t="s">
        <v>301</v>
      </c>
      <c r="C160" s="45">
        <v>3</v>
      </c>
      <c r="D160" s="53" t="s">
        <v>266</v>
      </c>
      <c r="E160" s="54">
        <v>1</v>
      </c>
      <c r="F160" s="56">
        <v>7</v>
      </c>
      <c r="G160" s="397">
        <f>58397.472/1000</f>
        <v>58.397472</v>
      </c>
      <c r="H160" s="59">
        <v>0</v>
      </c>
      <c r="I160" s="59">
        <v>58397.472000000002</v>
      </c>
      <c r="J160" s="398">
        <v>122.48413000000002</v>
      </c>
      <c r="K160" s="414">
        <f t="shared" si="11"/>
        <v>180.88160200000002</v>
      </c>
      <c r="L160" s="397"/>
      <c r="M160" s="397"/>
      <c r="N160" s="397">
        <f t="shared" si="10"/>
        <v>180.88160200000002</v>
      </c>
      <c r="O160" s="399">
        <f t="shared" si="12"/>
        <v>176</v>
      </c>
      <c r="P160" s="369"/>
      <c r="Q160" s="46"/>
      <c r="R160" s="218"/>
      <c r="S160" s="257"/>
      <c r="T160" s="196"/>
      <c r="U160" s="46"/>
      <c r="V160" s="46"/>
      <c r="W160" s="257"/>
      <c r="X160" s="46"/>
      <c r="Y160" s="46"/>
      <c r="Z160" s="46"/>
      <c r="AA160" s="257"/>
      <c r="AB160" s="196"/>
      <c r="AC160" s="46"/>
      <c r="AD160" s="167"/>
      <c r="AE160" s="257"/>
      <c r="AF160" s="196" t="s">
        <v>254</v>
      </c>
      <c r="AG160" s="46" t="s">
        <v>335</v>
      </c>
      <c r="AH160" s="46">
        <v>120</v>
      </c>
      <c r="AI160" s="196" t="s">
        <v>594</v>
      </c>
      <c r="AJ160" s="400">
        <f>AH160*1300</f>
        <v>156000</v>
      </c>
      <c r="AK160" s="196"/>
      <c r="AL160" s="46"/>
      <c r="AM160" s="218"/>
      <c r="AN160" s="257"/>
      <c r="AO160" s="196"/>
      <c r="AP160" s="46"/>
      <c r="AQ160" s="257"/>
      <c r="AR160" s="196"/>
      <c r="AS160" s="46"/>
      <c r="AT160" s="257"/>
      <c r="AU160" s="196"/>
      <c r="AV160" s="46"/>
      <c r="AW160" s="257"/>
      <c r="AX160" s="196"/>
      <c r="AY160" s="46"/>
      <c r="AZ160" s="257"/>
      <c r="BA160" s="46"/>
      <c r="BB160" s="46"/>
      <c r="BC160" s="46"/>
      <c r="BD160" s="46"/>
      <c r="BE160" s="46"/>
      <c r="BF160" s="257"/>
      <c r="BG160" s="46"/>
      <c r="BH160" s="46"/>
      <c r="BI160" s="46"/>
      <c r="BJ160" s="196"/>
      <c r="BK160" s="46"/>
      <c r="BL160" s="46"/>
      <c r="BM160" s="46"/>
      <c r="BN160" s="46"/>
      <c r="BO160" s="257"/>
      <c r="BP160" s="196"/>
      <c r="BQ160" s="46"/>
      <c r="BR160" s="257"/>
      <c r="BS160" s="46"/>
      <c r="BT160" s="46"/>
      <c r="BU160" s="257"/>
      <c r="BV160" s="196"/>
      <c r="BW160" s="46"/>
      <c r="BX160" s="46"/>
      <c r="BY160" s="46"/>
      <c r="BZ160" s="46"/>
      <c r="CA160" s="257"/>
      <c r="CB160" s="196"/>
      <c r="CC160" s="46"/>
      <c r="CD160" s="257"/>
      <c r="CE160" s="46"/>
      <c r="CF160" s="46"/>
      <c r="CG160" s="257"/>
      <c r="CH160" s="46"/>
      <c r="CI160" s="46"/>
      <c r="CJ160" s="46"/>
      <c r="CK160" s="46"/>
      <c r="CL160" s="46"/>
      <c r="CM160" s="257"/>
      <c r="CN160" s="46"/>
      <c r="CO160" s="376"/>
      <c r="CP160" s="257"/>
      <c r="CQ160" s="218" t="s">
        <v>229</v>
      </c>
      <c r="CR160" s="190" t="s">
        <v>690</v>
      </c>
      <c r="CS160" s="257">
        <f>CY160+DE160+DL160+DT160+EB160+EJ160+20000</f>
        <v>20000</v>
      </c>
      <c r="CT160" s="196"/>
      <c r="CU160" s="317"/>
      <c r="CV160" s="391">
        <f t="shared" si="13"/>
        <v>0</v>
      </c>
      <c r="CW160" s="41"/>
      <c r="CX160" s="41"/>
      <c r="CY160" s="256"/>
      <c r="CZ160" s="308"/>
      <c r="DA160" s="308"/>
      <c r="DB160" s="420"/>
      <c r="DC160" s="41"/>
      <c r="DD160" s="41"/>
      <c r="DE160" s="256"/>
      <c r="DF160" s="41"/>
      <c r="DG160" s="41"/>
      <c r="DH160" s="391"/>
      <c r="DI160" s="41"/>
      <c r="DJ160" s="41"/>
      <c r="DK160" s="203"/>
      <c r="DL160" s="256"/>
      <c r="DM160" s="41"/>
      <c r="DN160" s="41"/>
      <c r="DO160" s="41"/>
      <c r="DP160" s="420"/>
      <c r="DQ160" s="41"/>
      <c r="DR160" s="41"/>
      <c r="DS160" s="203"/>
      <c r="DT160" s="256"/>
      <c r="DU160" s="46"/>
      <c r="DV160" s="46"/>
      <c r="DW160" s="196"/>
      <c r="DX160" s="391"/>
      <c r="DY160" s="41"/>
      <c r="DZ160" s="41"/>
      <c r="EA160" s="41"/>
      <c r="EB160" s="69"/>
      <c r="EC160" s="41"/>
      <c r="ED160" s="41"/>
      <c r="EE160" s="41"/>
      <c r="EF160" s="420"/>
      <c r="EG160" s="41"/>
      <c r="EH160" s="41"/>
      <c r="EI160" s="41"/>
      <c r="EJ160" s="256"/>
      <c r="EK160" s="41"/>
      <c r="EL160" s="41"/>
      <c r="EM160" s="41"/>
      <c r="EN160" s="391"/>
    </row>
    <row r="161" spans="1:144" ht="25.5">
      <c r="A161" s="45">
        <v>154</v>
      </c>
      <c r="B161" s="53" t="s">
        <v>301</v>
      </c>
      <c r="C161" s="45">
        <v>3</v>
      </c>
      <c r="D161" s="53" t="s">
        <v>533</v>
      </c>
      <c r="E161" s="54">
        <v>5</v>
      </c>
      <c r="F161" s="56">
        <v>7</v>
      </c>
      <c r="G161" s="397">
        <f>57456.252/1000</f>
        <v>57.456251999999999</v>
      </c>
      <c r="H161" s="59">
        <v>0</v>
      </c>
      <c r="I161" s="59">
        <v>57456.251999999993</v>
      </c>
      <c r="J161" s="398">
        <v>168.25116</v>
      </c>
      <c r="K161" s="414">
        <f t="shared" si="11"/>
        <v>225.70741200000001</v>
      </c>
      <c r="L161" s="397"/>
      <c r="M161" s="397"/>
      <c r="N161" s="397">
        <f t="shared" si="10"/>
        <v>225.70741200000001</v>
      </c>
      <c r="O161" s="399">
        <f t="shared" si="12"/>
        <v>176</v>
      </c>
      <c r="P161" s="369" t="s">
        <v>1012</v>
      </c>
      <c r="Q161" s="46"/>
      <c r="R161" s="218"/>
      <c r="S161" s="257"/>
      <c r="T161" s="196"/>
      <c r="U161" s="46"/>
      <c r="V161" s="46"/>
      <c r="W161" s="257"/>
      <c r="X161" s="46"/>
      <c r="Y161" s="46"/>
      <c r="Z161" s="46"/>
      <c r="AA161" s="257"/>
      <c r="AB161" s="196"/>
      <c r="AC161" s="46"/>
      <c r="AD161" s="167"/>
      <c r="AE161" s="257"/>
      <c r="AF161" s="196" t="s">
        <v>254</v>
      </c>
      <c r="AG161" s="46" t="s">
        <v>335</v>
      </c>
      <c r="AH161" s="46">
        <v>60</v>
      </c>
      <c r="AI161" s="196" t="s">
        <v>552</v>
      </c>
      <c r="AJ161" s="400">
        <f>AH161*1300</f>
        <v>78000</v>
      </c>
      <c r="AK161" s="196"/>
      <c r="AL161" s="46"/>
      <c r="AM161" s="218"/>
      <c r="AN161" s="257"/>
      <c r="AO161" s="196"/>
      <c r="AP161" s="46"/>
      <c r="AQ161" s="257"/>
      <c r="AR161" s="196"/>
      <c r="AS161" s="46"/>
      <c r="AT161" s="257"/>
      <c r="AU161" s="196"/>
      <c r="AV161" s="46"/>
      <c r="AW161" s="257"/>
      <c r="AX161" s="196"/>
      <c r="AY161" s="46"/>
      <c r="AZ161" s="257"/>
      <c r="BA161" s="46"/>
      <c r="BB161" s="46"/>
      <c r="BC161" s="46"/>
      <c r="BD161" s="46"/>
      <c r="BE161" s="46"/>
      <c r="BF161" s="257"/>
      <c r="BG161" s="46"/>
      <c r="BH161" s="46"/>
      <c r="BI161" s="46"/>
      <c r="BJ161" s="196"/>
      <c r="BK161" s="46"/>
      <c r="BL161" s="46"/>
      <c r="BM161" s="46"/>
      <c r="BN161" s="46"/>
      <c r="BO161" s="257"/>
      <c r="BP161" s="196"/>
      <c r="BQ161" s="46"/>
      <c r="BR161" s="257"/>
      <c r="BS161" s="46"/>
      <c r="BT161" s="46"/>
      <c r="BU161" s="257"/>
      <c r="BV161" s="196"/>
      <c r="BW161" s="46"/>
      <c r="BX161" s="46"/>
      <c r="BY161" s="46"/>
      <c r="BZ161" s="46"/>
      <c r="CA161" s="257"/>
      <c r="CB161" s="196"/>
      <c r="CC161" s="46"/>
      <c r="CD161" s="257"/>
      <c r="CE161" s="46"/>
      <c r="CF161" s="46"/>
      <c r="CG161" s="257"/>
      <c r="CH161" s="46"/>
      <c r="CI161" s="46"/>
      <c r="CJ161" s="46"/>
      <c r="CK161" s="46"/>
      <c r="CL161" s="46"/>
      <c r="CM161" s="257"/>
      <c r="CN161" s="46"/>
      <c r="CO161" s="376"/>
      <c r="CP161" s="257"/>
      <c r="CQ161" s="196" t="s">
        <v>254</v>
      </c>
      <c r="CR161" s="190" t="s">
        <v>653</v>
      </c>
      <c r="CS161" s="257">
        <f t="shared" si="14"/>
        <v>98000</v>
      </c>
      <c r="CT161" s="196"/>
      <c r="CU161" s="317"/>
      <c r="CV161" s="391">
        <f t="shared" si="13"/>
        <v>0</v>
      </c>
      <c r="CW161" s="41"/>
      <c r="CX161" s="41"/>
      <c r="CY161" s="256"/>
      <c r="CZ161" s="308"/>
      <c r="DA161" s="308"/>
      <c r="DB161" s="420"/>
      <c r="DC161" s="41">
        <v>4</v>
      </c>
      <c r="DD161" s="41">
        <v>98</v>
      </c>
      <c r="DE161" s="256">
        <f>DD161*1000</f>
        <v>98000</v>
      </c>
      <c r="DF161" s="41"/>
      <c r="DG161" s="41"/>
      <c r="DH161" s="391"/>
      <c r="DI161" s="41"/>
      <c r="DJ161" s="41"/>
      <c r="DK161" s="203"/>
      <c r="DL161" s="256"/>
      <c r="DM161" s="41"/>
      <c r="DN161" s="41"/>
      <c r="DO161" s="41"/>
      <c r="DP161" s="420"/>
      <c r="DQ161" s="41"/>
      <c r="DR161" s="41"/>
      <c r="DS161" s="203"/>
      <c r="DT161" s="256"/>
      <c r="DU161" s="46"/>
      <c r="DV161" s="46"/>
      <c r="DW161" s="196"/>
      <c r="DX161" s="391"/>
      <c r="DY161" s="41"/>
      <c r="DZ161" s="41"/>
      <c r="EA161" s="41"/>
      <c r="EB161" s="69"/>
      <c r="EC161" s="41"/>
      <c r="ED161" s="41"/>
      <c r="EE161" s="41"/>
      <c r="EF161" s="420"/>
      <c r="EG161" s="41"/>
      <c r="EH161" s="41"/>
      <c r="EI161" s="41"/>
      <c r="EJ161" s="256"/>
      <c r="EK161" s="41"/>
      <c r="EL161" s="41"/>
      <c r="EM161" s="41"/>
      <c r="EN161" s="391"/>
    </row>
    <row r="162" spans="1:144" ht="25.5">
      <c r="A162" s="45">
        <v>155</v>
      </c>
      <c r="B162" s="53" t="s">
        <v>301</v>
      </c>
      <c r="C162" s="45">
        <v>3</v>
      </c>
      <c r="D162" s="53" t="s">
        <v>533</v>
      </c>
      <c r="E162" s="54">
        <v>7</v>
      </c>
      <c r="F162" s="56">
        <v>7</v>
      </c>
      <c r="G162" s="397">
        <f>62486.55/1000</f>
        <v>62.486550000000001</v>
      </c>
      <c r="H162" s="59">
        <v>0</v>
      </c>
      <c r="I162" s="59">
        <v>62486.549999999996</v>
      </c>
      <c r="J162" s="398">
        <v>122.37640999999999</v>
      </c>
      <c r="K162" s="414">
        <f t="shared" si="11"/>
        <v>184.86295999999999</v>
      </c>
      <c r="L162" s="397"/>
      <c r="M162" s="397"/>
      <c r="N162" s="397">
        <f t="shared" si="10"/>
        <v>184.86295999999999</v>
      </c>
      <c r="O162" s="399">
        <f t="shared" si="12"/>
        <v>146.4</v>
      </c>
      <c r="P162" s="369" t="s">
        <v>1012</v>
      </c>
      <c r="Q162" s="46"/>
      <c r="R162" s="218"/>
      <c r="S162" s="257"/>
      <c r="T162" s="196"/>
      <c r="U162" s="46"/>
      <c r="V162" s="46"/>
      <c r="W162" s="257"/>
      <c r="X162" s="46"/>
      <c r="Y162" s="46"/>
      <c r="Z162" s="46"/>
      <c r="AA162" s="257"/>
      <c r="AB162" s="196"/>
      <c r="AC162" s="46"/>
      <c r="AD162" s="167"/>
      <c r="AE162" s="257"/>
      <c r="AF162" s="196"/>
      <c r="AG162" s="46"/>
      <c r="AH162" s="46"/>
      <c r="AI162" s="196"/>
      <c r="AJ162" s="400"/>
      <c r="AK162" s="196"/>
      <c r="AL162" s="46"/>
      <c r="AM162" s="218"/>
      <c r="AN162" s="257"/>
      <c r="AO162" s="196"/>
      <c r="AP162" s="46"/>
      <c r="AQ162" s="257"/>
      <c r="AR162" s="196"/>
      <c r="AS162" s="46"/>
      <c r="AT162" s="257"/>
      <c r="AU162" s="196"/>
      <c r="AV162" s="46"/>
      <c r="AW162" s="257"/>
      <c r="AX162" s="196"/>
      <c r="AY162" s="46"/>
      <c r="AZ162" s="257"/>
      <c r="BA162" s="46"/>
      <c r="BB162" s="46"/>
      <c r="BC162" s="46"/>
      <c r="BD162" s="46"/>
      <c r="BE162" s="46"/>
      <c r="BF162" s="257"/>
      <c r="BG162" s="46"/>
      <c r="BH162" s="46"/>
      <c r="BI162" s="46"/>
      <c r="BJ162" s="196"/>
      <c r="BK162" s="46"/>
      <c r="BL162" s="46"/>
      <c r="BM162" s="46"/>
      <c r="BN162" s="46"/>
      <c r="BO162" s="257"/>
      <c r="BP162" s="196"/>
      <c r="BQ162" s="46"/>
      <c r="BR162" s="257"/>
      <c r="BS162" s="46"/>
      <c r="BT162" s="46"/>
      <c r="BU162" s="257"/>
      <c r="BV162" s="196"/>
      <c r="BW162" s="46"/>
      <c r="BX162" s="46"/>
      <c r="BY162" s="46"/>
      <c r="BZ162" s="46"/>
      <c r="CA162" s="257"/>
      <c r="CB162" s="196" t="s">
        <v>227</v>
      </c>
      <c r="CC162" s="46">
        <v>73</v>
      </c>
      <c r="CD162" s="257">
        <f>CC162*1800</f>
        <v>131400</v>
      </c>
      <c r="CE162" s="46"/>
      <c r="CF162" s="46"/>
      <c r="CG162" s="257"/>
      <c r="CH162" s="46"/>
      <c r="CI162" s="46"/>
      <c r="CJ162" s="46"/>
      <c r="CK162" s="46"/>
      <c r="CL162" s="46"/>
      <c r="CM162" s="257"/>
      <c r="CN162" s="46"/>
      <c r="CO162" s="376"/>
      <c r="CP162" s="257"/>
      <c r="CQ162" s="196" t="s">
        <v>228</v>
      </c>
      <c r="CR162" s="190" t="s">
        <v>691</v>
      </c>
      <c r="CS162" s="257">
        <f>CY162+DE162+DL162+DT162+EB162+EJ162+15000</f>
        <v>15000</v>
      </c>
      <c r="CT162" s="218"/>
      <c r="CU162" s="317"/>
      <c r="CV162" s="391">
        <f t="shared" si="13"/>
        <v>0</v>
      </c>
      <c r="CW162" s="41"/>
      <c r="CX162" s="41"/>
      <c r="CY162" s="256"/>
      <c r="CZ162" s="308"/>
      <c r="DA162" s="308"/>
      <c r="DB162" s="420"/>
      <c r="DC162" s="41"/>
      <c r="DD162" s="41"/>
      <c r="DE162" s="256"/>
      <c r="DF162" s="41"/>
      <c r="DG162" s="41"/>
      <c r="DH162" s="391"/>
      <c r="DI162" s="41"/>
      <c r="DJ162" s="41"/>
      <c r="DK162" s="203"/>
      <c r="DL162" s="256"/>
      <c r="DM162" s="41"/>
      <c r="DN162" s="41"/>
      <c r="DO162" s="41"/>
      <c r="DP162" s="420"/>
      <c r="DQ162" s="41"/>
      <c r="DR162" s="41"/>
      <c r="DS162" s="203"/>
      <c r="DT162" s="256"/>
      <c r="DU162" s="46"/>
      <c r="DV162" s="46"/>
      <c r="DW162" s="196"/>
      <c r="DX162" s="391"/>
      <c r="DY162" s="41"/>
      <c r="DZ162" s="41"/>
      <c r="EA162" s="41"/>
      <c r="EB162" s="69"/>
      <c r="EC162" s="41"/>
      <c r="ED162" s="41"/>
      <c r="EE162" s="41"/>
      <c r="EF162" s="420"/>
      <c r="EG162" s="41"/>
      <c r="EH162" s="41"/>
      <c r="EI162" s="41"/>
      <c r="EJ162" s="256"/>
      <c r="EK162" s="41"/>
      <c r="EL162" s="41"/>
      <c r="EM162" s="41"/>
      <c r="EN162" s="391"/>
    </row>
    <row r="163" spans="1:144" ht="25.5">
      <c r="A163" s="45">
        <v>156</v>
      </c>
      <c r="B163" s="53" t="s">
        <v>301</v>
      </c>
      <c r="C163" s="45">
        <v>3</v>
      </c>
      <c r="D163" s="53" t="s">
        <v>533</v>
      </c>
      <c r="E163" s="54">
        <v>9</v>
      </c>
      <c r="F163" s="56">
        <v>7</v>
      </c>
      <c r="G163" s="397">
        <f>57665.412/1000</f>
        <v>57.665411999999996</v>
      </c>
      <c r="H163" s="59">
        <v>0</v>
      </c>
      <c r="I163" s="59">
        <v>57665.412000000011</v>
      </c>
      <c r="J163" s="398">
        <v>158.39835000000002</v>
      </c>
      <c r="K163" s="414">
        <f t="shared" si="11"/>
        <v>216.06376200000003</v>
      </c>
      <c r="L163" s="397"/>
      <c r="M163" s="397"/>
      <c r="N163" s="397">
        <f t="shared" si="10"/>
        <v>216.06376200000003</v>
      </c>
      <c r="O163" s="399">
        <f t="shared" si="12"/>
        <v>191.6</v>
      </c>
      <c r="P163" s="369" t="s">
        <v>1012</v>
      </c>
      <c r="Q163" s="46"/>
      <c r="R163" s="218"/>
      <c r="S163" s="257"/>
      <c r="T163" s="196"/>
      <c r="U163" s="46"/>
      <c r="V163" s="46"/>
      <c r="W163" s="257"/>
      <c r="X163" s="46"/>
      <c r="Y163" s="46"/>
      <c r="Z163" s="46"/>
      <c r="AA163" s="257"/>
      <c r="AB163" s="196"/>
      <c r="AC163" s="46"/>
      <c r="AD163" s="167"/>
      <c r="AE163" s="257"/>
      <c r="AF163" s="196"/>
      <c r="AG163" s="46"/>
      <c r="AH163" s="46"/>
      <c r="AI163" s="196"/>
      <c r="AJ163" s="400"/>
      <c r="AK163" s="196"/>
      <c r="AL163" s="46"/>
      <c r="AM163" s="218"/>
      <c r="AN163" s="257"/>
      <c r="AO163" s="196"/>
      <c r="AP163" s="46"/>
      <c r="AQ163" s="257"/>
      <c r="AR163" s="196"/>
      <c r="AS163" s="46"/>
      <c r="AT163" s="257"/>
      <c r="AU163" s="196"/>
      <c r="AV163" s="46"/>
      <c r="AW163" s="257"/>
      <c r="AX163" s="196"/>
      <c r="AY163" s="46"/>
      <c r="AZ163" s="257"/>
      <c r="BA163" s="46"/>
      <c r="BB163" s="46"/>
      <c r="BC163" s="46"/>
      <c r="BD163" s="46"/>
      <c r="BE163" s="46"/>
      <c r="BF163" s="257"/>
      <c r="BG163" s="46"/>
      <c r="BH163" s="46"/>
      <c r="BI163" s="46"/>
      <c r="BJ163" s="196"/>
      <c r="BK163" s="46"/>
      <c r="BL163" s="46"/>
      <c r="BM163" s="46"/>
      <c r="BN163" s="46"/>
      <c r="BO163" s="257"/>
      <c r="BP163" s="196"/>
      <c r="BQ163" s="46"/>
      <c r="BR163" s="257"/>
      <c r="BS163" s="46"/>
      <c r="BT163" s="46"/>
      <c r="BU163" s="257"/>
      <c r="BV163" s="196"/>
      <c r="BW163" s="46"/>
      <c r="BX163" s="46"/>
      <c r="BY163" s="46"/>
      <c r="BZ163" s="46"/>
      <c r="CA163" s="257"/>
      <c r="CB163" s="196" t="s">
        <v>227</v>
      </c>
      <c r="CC163" s="46">
        <v>52</v>
      </c>
      <c r="CD163" s="257">
        <f>CC163*1800</f>
        <v>93600</v>
      </c>
      <c r="CE163" s="46"/>
      <c r="CF163" s="46"/>
      <c r="CG163" s="257"/>
      <c r="CH163" s="46"/>
      <c r="CI163" s="46"/>
      <c r="CJ163" s="46"/>
      <c r="CK163" s="46"/>
      <c r="CL163" s="46"/>
      <c r="CM163" s="257"/>
      <c r="CN163" s="46"/>
      <c r="CO163" s="376"/>
      <c r="CP163" s="257"/>
      <c r="CQ163" s="196" t="s">
        <v>254</v>
      </c>
      <c r="CR163" s="191" t="s">
        <v>653</v>
      </c>
      <c r="CS163" s="257">
        <f t="shared" si="14"/>
        <v>98000</v>
      </c>
      <c r="CT163" s="196"/>
      <c r="CU163" s="317"/>
      <c r="CV163" s="391">
        <f t="shared" si="13"/>
        <v>0</v>
      </c>
      <c r="CW163" s="41"/>
      <c r="CX163" s="41"/>
      <c r="CY163" s="256"/>
      <c r="CZ163" s="308"/>
      <c r="DA163" s="308"/>
      <c r="DB163" s="420"/>
      <c r="DC163" s="41"/>
      <c r="DD163" s="41">
        <v>98</v>
      </c>
      <c r="DE163" s="256">
        <v>98000</v>
      </c>
      <c r="DF163" s="41"/>
      <c r="DG163" s="41"/>
      <c r="DH163" s="391"/>
      <c r="DI163" s="41"/>
      <c r="DJ163" s="41"/>
      <c r="DK163" s="203"/>
      <c r="DL163" s="256"/>
      <c r="DM163" s="41"/>
      <c r="DN163" s="41"/>
      <c r="DO163" s="41"/>
      <c r="DP163" s="420"/>
      <c r="DQ163" s="41"/>
      <c r="DR163" s="41"/>
      <c r="DS163" s="203"/>
      <c r="DT163" s="256"/>
      <c r="DU163" s="46"/>
      <c r="DV163" s="46"/>
      <c r="DW163" s="196"/>
      <c r="DX163" s="391"/>
      <c r="DY163" s="41"/>
      <c r="DZ163" s="41"/>
      <c r="EA163" s="41"/>
      <c r="EB163" s="69"/>
      <c r="EC163" s="41"/>
      <c r="ED163" s="41"/>
      <c r="EE163" s="41"/>
      <c r="EF163" s="420"/>
      <c r="EG163" s="41"/>
      <c r="EH163" s="41"/>
      <c r="EI163" s="41"/>
      <c r="EJ163" s="256"/>
      <c r="EK163" s="41"/>
      <c r="EL163" s="41"/>
      <c r="EM163" s="41"/>
      <c r="EN163" s="391"/>
    </row>
    <row r="164" spans="1:144" ht="25.5">
      <c r="A164" s="45">
        <v>157</v>
      </c>
      <c r="B164" s="53" t="s">
        <v>301</v>
      </c>
      <c r="C164" s="45">
        <v>3</v>
      </c>
      <c r="D164" s="53" t="s">
        <v>533</v>
      </c>
      <c r="E164" s="54">
        <v>11</v>
      </c>
      <c r="F164" s="56">
        <v>7</v>
      </c>
      <c r="G164" s="397">
        <f>63633.7926/1000</f>
        <v>63.6337926</v>
      </c>
      <c r="H164" s="59">
        <v>0</v>
      </c>
      <c r="I164" s="59">
        <v>63633.792600000001</v>
      </c>
      <c r="J164" s="398">
        <v>138.46464819999997</v>
      </c>
      <c r="K164" s="414">
        <f t="shared" si="11"/>
        <v>202.09844079999996</v>
      </c>
      <c r="L164" s="397"/>
      <c r="M164" s="397"/>
      <c r="N164" s="397">
        <f t="shared" si="10"/>
        <v>202.09844079999996</v>
      </c>
      <c r="O164" s="399">
        <f t="shared" si="12"/>
        <v>176</v>
      </c>
      <c r="P164" s="369" t="s">
        <v>1012</v>
      </c>
      <c r="Q164" s="46"/>
      <c r="R164" s="218"/>
      <c r="S164" s="257"/>
      <c r="T164" s="196"/>
      <c r="U164" s="46"/>
      <c r="V164" s="46"/>
      <c r="W164" s="257"/>
      <c r="X164" s="46"/>
      <c r="Y164" s="46"/>
      <c r="Z164" s="46"/>
      <c r="AA164" s="257"/>
      <c r="AB164" s="196"/>
      <c r="AC164" s="46"/>
      <c r="AD164" s="167"/>
      <c r="AE164" s="257"/>
      <c r="AF164" s="196" t="s">
        <v>226</v>
      </c>
      <c r="AG164" s="46" t="s">
        <v>335</v>
      </c>
      <c r="AH164" s="46">
        <v>60</v>
      </c>
      <c r="AI164" s="196" t="s">
        <v>552</v>
      </c>
      <c r="AJ164" s="400">
        <f>AH164*1300</f>
        <v>78000</v>
      </c>
      <c r="AK164" s="196"/>
      <c r="AL164" s="46"/>
      <c r="AM164" s="218"/>
      <c r="AN164" s="257"/>
      <c r="AO164" s="196"/>
      <c r="AP164" s="46"/>
      <c r="AQ164" s="257"/>
      <c r="AR164" s="196"/>
      <c r="AS164" s="46"/>
      <c r="AT164" s="257"/>
      <c r="AU164" s="196"/>
      <c r="AV164" s="46"/>
      <c r="AW164" s="257"/>
      <c r="AX164" s="196"/>
      <c r="AY164" s="46"/>
      <c r="AZ164" s="257"/>
      <c r="BA164" s="46"/>
      <c r="BB164" s="46"/>
      <c r="BC164" s="46"/>
      <c r="BD164" s="46"/>
      <c r="BE164" s="46"/>
      <c r="BF164" s="257"/>
      <c r="BG164" s="46"/>
      <c r="BH164" s="46"/>
      <c r="BI164" s="46"/>
      <c r="BJ164" s="196"/>
      <c r="BK164" s="46"/>
      <c r="BL164" s="46"/>
      <c r="BM164" s="46"/>
      <c r="BN164" s="46"/>
      <c r="BO164" s="257"/>
      <c r="BP164" s="196"/>
      <c r="BQ164" s="46"/>
      <c r="BR164" s="257"/>
      <c r="BS164" s="46"/>
      <c r="BT164" s="46"/>
      <c r="BU164" s="257"/>
      <c r="BV164" s="196"/>
      <c r="BW164" s="46"/>
      <c r="BX164" s="46"/>
      <c r="BY164" s="46"/>
      <c r="BZ164" s="46"/>
      <c r="CA164" s="257"/>
      <c r="CB164" s="196"/>
      <c r="CC164" s="46"/>
      <c r="CD164" s="257"/>
      <c r="CE164" s="46"/>
      <c r="CF164" s="46"/>
      <c r="CG164" s="257"/>
      <c r="CH164" s="46"/>
      <c r="CI164" s="46"/>
      <c r="CJ164" s="46"/>
      <c r="CK164" s="46"/>
      <c r="CL164" s="46"/>
      <c r="CM164" s="257"/>
      <c r="CN164" s="46"/>
      <c r="CO164" s="376"/>
      <c r="CP164" s="257"/>
      <c r="CQ164" s="196" t="s">
        <v>254</v>
      </c>
      <c r="CR164" s="191" t="s">
        <v>653</v>
      </c>
      <c r="CS164" s="257">
        <f t="shared" si="14"/>
        <v>98000</v>
      </c>
      <c r="CT164" s="196"/>
      <c r="CU164" s="317"/>
      <c r="CV164" s="391">
        <f t="shared" si="13"/>
        <v>0</v>
      </c>
      <c r="CW164" s="41"/>
      <c r="CX164" s="41"/>
      <c r="CY164" s="256"/>
      <c r="CZ164" s="308"/>
      <c r="DA164" s="308"/>
      <c r="DB164" s="420"/>
      <c r="DC164" s="41">
        <v>4</v>
      </c>
      <c r="DD164" s="41">
        <v>98</v>
      </c>
      <c r="DE164" s="256">
        <v>98000</v>
      </c>
      <c r="DF164" s="41"/>
      <c r="DG164" s="41"/>
      <c r="DH164" s="391"/>
      <c r="DI164" s="41"/>
      <c r="DJ164" s="41"/>
      <c r="DK164" s="203"/>
      <c r="DL164" s="256"/>
      <c r="DM164" s="41"/>
      <c r="DN164" s="41"/>
      <c r="DO164" s="41"/>
      <c r="DP164" s="420"/>
      <c r="DQ164" s="41"/>
      <c r="DR164" s="41"/>
      <c r="DS164" s="203"/>
      <c r="DT164" s="256"/>
      <c r="DU164" s="46"/>
      <c r="DV164" s="46"/>
      <c r="DW164" s="196"/>
      <c r="DX164" s="391"/>
      <c r="DY164" s="41"/>
      <c r="DZ164" s="41"/>
      <c r="EA164" s="41"/>
      <c r="EB164" s="69"/>
      <c r="EC164" s="41"/>
      <c r="ED164" s="41"/>
      <c r="EE164" s="41"/>
      <c r="EF164" s="420"/>
      <c r="EG164" s="41"/>
      <c r="EH164" s="41"/>
      <c r="EI164" s="41"/>
      <c r="EJ164" s="256"/>
      <c r="EK164" s="41"/>
      <c r="EL164" s="41"/>
      <c r="EM164" s="41"/>
      <c r="EN164" s="391"/>
    </row>
    <row r="165" spans="1:144" ht="25.5">
      <c r="A165" s="45">
        <v>158</v>
      </c>
      <c r="B165" s="53" t="s">
        <v>301</v>
      </c>
      <c r="C165" s="45">
        <v>3</v>
      </c>
      <c r="D165" s="53" t="s">
        <v>533</v>
      </c>
      <c r="E165" s="54">
        <v>17</v>
      </c>
      <c r="F165" s="56">
        <v>5</v>
      </c>
      <c r="G165" s="397">
        <f>32133.024/1000</f>
        <v>32.133023999999999</v>
      </c>
      <c r="H165" s="59">
        <v>32133.023999999994</v>
      </c>
      <c r="I165" s="59">
        <v>0</v>
      </c>
      <c r="J165" s="398">
        <v>117.08333999999999</v>
      </c>
      <c r="K165" s="414">
        <f t="shared" si="11"/>
        <v>149.216364</v>
      </c>
      <c r="L165" s="397"/>
      <c r="M165" s="397"/>
      <c r="N165" s="397">
        <f t="shared" si="10"/>
        <v>149.216364</v>
      </c>
      <c r="O165" s="399">
        <f t="shared" si="12"/>
        <v>132</v>
      </c>
      <c r="P165" s="369" t="s">
        <v>1012</v>
      </c>
      <c r="Q165" s="46"/>
      <c r="R165" s="218"/>
      <c r="S165" s="257"/>
      <c r="T165" s="196"/>
      <c r="U165" s="46"/>
      <c r="V165" s="46"/>
      <c r="W165" s="257"/>
      <c r="X165" s="46"/>
      <c r="Y165" s="46"/>
      <c r="Z165" s="46"/>
      <c r="AA165" s="257"/>
      <c r="AB165" s="196"/>
      <c r="AC165" s="46"/>
      <c r="AD165" s="167"/>
      <c r="AE165" s="257"/>
      <c r="AF165" s="196" t="s">
        <v>226</v>
      </c>
      <c r="AG165" s="46" t="s">
        <v>335</v>
      </c>
      <c r="AH165" s="46">
        <v>40</v>
      </c>
      <c r="AI165" s="196" t="s">
        <v>552</v>
      </c>
      <c r="AJ165" s="400">
        <f>AH165*1300</f>
        <v>52000</v>
      </c>
      <c r="AK165" s="196"/>
      <c r="AL165" s="46"/>
      <c r="AM165" s="218"/>
      <c r="AN165" s="257"/>
      <c r="AO165" s="196"/>
      <c r="AP165" s="46"/>
      <c r="AQ165" s="257"/>
      <c r="AR165" s="196"/>
      <c r="AS165" s="46"/>
      <c r="AT165" s="257"/>
      <c r="AU165" s="196"/>
      <c r="AV165" s="46"/>
      <c r="AW165" s="257"/>
      <c r="AX165" s="196"/>
      <c r="AY165" s="46"/>
      <c r="AZ165" s="257"/>
      <c r="BA165" s="46"/>
      <c r="BB165" s="46"/>
      <c r="BC165" s="46"/>
      <c r="BD165" s="46"/>
      <c r="BE165" s="46"/>
      <c r="BF165" s="257"/>
      <c r="BG165" s="46"/>
      <c r="BH165" s="46"/>
      <c r="BI165" s="46"/>
      <c r="BJ165" s="196"/>
      <c r="BK165" s="46"/>
      <c r="BL165" s="46"/>
      <c r="BM165" s="46"/>
      <c r="BN165" s="46"/>
      <c r="BO165" s="257"/>
      <c r="BP165" s="196"/>
      <c r="BQ165" s="46"/>
      <c r="BR165" s="257"/>
      <c r="BS165" s="46"/>
      <c r="BT165" s="46"/>
      <c r="BU165" s="257"/>
      <c r="BV165" s="196"/>
      <c r="BW165" s="46"/>
      <c r="BX165" s="46"/>
      <c r="BY165" s="46"/>
      <c r="BZ165" s="46"/>
      <c r="CA165" s="257"/>
      <c r="CB165" s="196"/>
      <c r="CC165" s="46"/>
      <c r="CD165" s="257"/>
      <c r="CE165" s="46"/>
      <c r="CF165" s="46"/>
      <c r="CG165" s="257"/>
      <c r="CH165" s="46"/>
      <c r="CI165" s="46"/>
      <c r="CJ165" s="46"/>
      <c r="CK165" s="46"/>
      <c r="CL165" s="46"/>
      <c r="CM165" s="257"/>
      <c r="CN165" s="46"/>
      <c r="CO165" s="376"/>
      <c r="CP165" s="257"/>
      <c r="CQ165" s="196" t="s">
        <v>254</v>
      </c>
      <c r="CR165" s="523" t="s">
        <v>653</v>
      </c>
      <c r="CS165" s="257">
        <f t="shared" si="14"/>
        <v>80000</v>
      </c>
      <c r="CT165" s="196"/>
      <c r="CU165" s="317"/>
      <c r="CV165" s="391">
        <f t="shared" si="13"/>
        <v>0</v>
      </c>
      <c r="CW165" s="41"/>
      <c r="CX165" s="41"/>
      <c r="CY165" s="256"/>
      <c r="CZ165" s="308"/>
      <c r="DA165" s="308"/>
      <c r="DB165" s="420"/>
      <c r="DC165" s="41">
        <v>4</v>
      </c>
      <c r="DD165" s="41">
        <v>80</v>
      </c>
      <c r="DE165" s="256">
        <v>80000</v>
      </c>
      <c r="DF165" s="41"/>
      <c r="DG165" s="41"/>
      <c r="DH165" s="391"/>
      <c r="DI165" s="41"/>
      <c r="DJ165" s="41"/>
      <c r="DK165" s="203"/>
      <c r="DL165" s="256"/>
      <c r="DM165" s="41"/>
      <c r="DN165" s="41"/>
      <c r="DO165" s="41"/>
      <c r="DP165" s="420"/>
      <c r="DQ165" s="41"/>
      <c r="DR165" s="41"/>
      <c r="DS165" s="203"/>
      <c r="DT165" s="256"/>
      <c r="DU165" s="46"/>
      <c r="DV165" s="46"/>
      <c r="DW165" s="196"/>
      <c r="DX165" s="391"/>
      <c r="DY165" s="41"/>
      <c r="DZ165" s="41"/>
      <c r="EA165" s="41"/>
      <c r="EB165" s="69"/>
      <c r="EC165" s="41"/>
      <c r="ED165" s="41"/>
      <c r="EE165" s="41"/>
      <c r="EF165" s="420"/>
      <c r="EG165" s="41"/>
      <c r="EH165" s="41"/>
      <c r="EI165" s="41"/>
      <c r="EJ165" s="256"/>
      <c r="EK165" s="41"/>
      <c r="EL165" s="41"/>
      <c r="EM165" s="41"/>
      <c r="EN165" s="391"/>
    </row>
    <row r="166" spans="1:144" ht="25.5">
      <c r="A166" s="45">
        <v>159</v>
      </c>
      <c r="B166" s="53" t="s">
        <v>301</v>
      </c>
      <c r="C166" s="45">
        <v>3</v>
      </c>
      <c r="D166" s="53" t="s">
        <v>533</v>
      </c>
      <c r="E166" s="54">
        <v>19</v>
      </c>
      <c r="F166" s="56">
        <v>5</v>
      </c>
      <c r="G166" s="397">
        <f>53530.092/1000</f>
        <v>53.530091999999996</v>
      </c>
      <c r="H166" s="59">
        <v>53530.092000000004</v>
      </c>
      <c r="I166" s="59">
        <v>0</v>
      </c>
      <c r="J166" s="398">
        <v>206.65259999999998</v>
      </c>
      <c r="K166" s="414">
        <f t="shared" si="11"/>
        <v>260.18269199999997</v>
      </c>
      <c r="L166" s="397"/>
      <c r="M166" s="397"/>
      <c r="N166" s="397">
        <f t="shared" si="10"/>
        <v>260.18269199999997</v>
      </c>
      <c r="O166" s="399">
        <f t="shared" si="12"/>
        <v>229.4</v>
      </c>
      <c r="P166" s="369" t="s">
        <v>1012</v>
      </c>
      <c r="Q166" s="46"/>
      <c r="R166" s="218"/>
      <c r="S166" s="257"/>
      <c r="T166" s="196"/>
      <c r="U166" s="46"/>
      <c r="V166" s="46"/>
      <c r="W166" s="257"/>
      <c r="X166" s="46"/>
      <c r="Y166" s="46"/>
      <c r="Z166" s="46"/>
      <c r="AA166" s="257"/>
      <c r="AB166" s="196"/>
      <c r="AC166" s="46"/>
      <c r="AD166" s="167"/>
      <c r="AE166" s="257"/>
      <c r="AF166" s="196"/>
      <c r="AG166" s="46"/>
      <c r="AH166" s="46"/>
      <c r="AI166" s="196"/>
      <c r="AJ166" s="400"/>
      <c r="AK166" s="196"/>
      <c r="AL166" s="46"/>
      <c r="AM166" s="218"/>
      <c r="AN166" s="257"/>
      <c r="AO166" s="196"/>
      <c r="AP166" s="46"/>
      <c r="AQ166" s="257"/>
      <c r="AR166" s="196"/>
      <c r="AS166" s="46"/>
      <c r="AT166" s="257"/>
      <c r="AU166" s="196"/>
      <c r="AV166" s="46"/>
      <c r="AW166" s="257"/>
      <c r="AX166" s="196"/>
      <c r="AY166" s="46"/>
      <c r="AZ166" s="257"/>
      <c r="BA166" s="46"/>
      <c r="BB166" s="46"/>
      <c r="BC166" s="46"/>
      <c r="BD166" s="46"/>
      <c r="BE166" s="46"/>
      <c r="BF166" s="257"/>
      <c r="BG166" s="46"/>
      <c r="BH166" s="46"/>
      <c r="BI166" s="46"/>
      <c r="BJ166" s="196"/>
      <c r="BK166" s="46"/>
      <c r="BL166" s="46"/>
      <c r="BM166" s="46"/>
      <c r="BN166" s="46"/>
      <c r="BO166" s="257"/>
      <c r="BP166" s="196"/>
      <c r="BQ166" s="46"/>
      <c r="BR166" s="257"/>
      <c r="BS166" s="46"/>
      <c r="BT166" s="46"/>
      <c r="BU166" s="257"/>
      <c r="BV166" s="196"/>
      <c r="BW166" s="46"/>
      <c r="BX166" s="46"/>
      <c r="BY166" s="46"/>
      <c r="BZ166" s="46"/>
      <c r="CA166" s="257"/>
      <c r="CB166" s="196" t="s">
        <v>227</v>
      </c>
      <c r="CC166" s="46">
        <v>73</v>
      </c>
      <c r="CD166" s="257">
        <f>CC166*1800</f>
        <v>131400</v>
      </c>
      <c r="CE166" s="46"/>
      <c r="CF166" s="46"/>
      <c r="CG166" s="257"/>
      <c r="CH166" s="46"/>
      <c r="CI166" s="46"/>
      <c r="CJ166" s="46"/>
      <c r="CK166" s="46"/>
      <c r="CL166" s="46"/>
      <c r="CM166" s="257"/>
      <c r="CN166" s="46"/>
      <c r="CO166" s="376"/>
      <c r="CP166" s="257"/>
      <c r="CQ166" s="196" t="s">
        <v>254</v>
      </c>
      <c r="CR166" s="523" t="s">
        <v>653</v>
      </c>
      <c r="CS166" s="257">
        <f t="shared" si="14"/>
        <v>98000</v>
      </c>
      <c r="CT166" s="196"/>
      <c r="CU166" s="317"/>
      <c r="CV166" s="391">
        <f t="shared" si="13"/>
        <v>0</v>
      </c>
      <c r="CW166" s="41"/>
      <c r="CX166" s="41"/>
      <c r="CY166" s="256"/>
      <c r="CZ166" s="308"/>
      <c r="DA166" s="308"/>
      <c r="DB166" s="420"/>
      <c r="DC166" s="41">
        <v>4</v>
      </c>
      <c r="DD166" s="41">
        <v>98</v>
      </c>
      <c r="DE166" s="256">
        <v>98000</v>
      </c>
      <c r="DF166" s="41"/>
      <c r="DG166" s="41"/>
      <c r="DH166" s="391"/>
      <c r="DI166" s="41"/>
      <c r="DJ166" s="41"/>
      <c r="DK166" s="203"/>
      <c r="DL166" s="256"/>
      <c r="DM166" s="41"/>
      <c r="DN166" s="41"/>
      <c r="DO166" s="41"/>
      <c r="DP166" s="420"/>
      <c r="DQ166" s="41"/>
      <c r="DR166" s="41"/>
      <c r="DS166" s="203"/>
      <c r="DT166" s="256"/>
      <c r="DU166" s="46"/>
      <c r="DV166" s="46"/>
      <c r="DW166" s="196"/>
      <c r="DX166" s="391"/>
      <c r="DY166" s="41"/>
      <c r="DZ166" s="41"/>
      <c r="EA166" s="41"/>
      <c r="EB166" s="69"/>
      <c r="EC166" s="41"/>
      <c r="ED166" s="41"/>
      <c r="EE166" s="41"/>
      <c r="EF166" s="420"/>
      <c r="EG166" s="41"/>
      <c r="EH166" s="41"/>
      <c r="EI166" s="41"/>
      <c r="EJ166" s="256"/>
      <c r="EK166" s="41"/>
      <c r="EL166" s="41"/>
      <c r="EM166" s="41"/>
      <c r="EN166" s="391"/>
    </row>
    <row r="167" spans="1:144" ht="25.5">
      <c r="A167" s="45">
        <v>160</v>
      </c>
      <c r="B167" s="53" t="s">
        <v>301</v>
      </c>
      <c r="C167" s="45">
        <v>3</v>
      </c>
      <c r="D167" s="53" t="s">
        <v>534</v>
      </c>
      <c r="E167" s="54">
        <v>2</v>
      </c>
      <c r="F167" s="56">
        <v>7</v>
      </c>
      <c r="G167" s="397">
        <f>62487.5958/1000</f>
        <v>62.487595800000001</v>
      </c>
      <c r="H167" s="59">
        <v>0</v>
      </c>
      <c r="I167" s="59">
        <v>62487.595799999996</v>
      </c>
      <c r="J167" s="398">
        <v>214.9450612</v>
      </c>
      <c r="K167" s="414">
        <f t="shared" si="11"/>
        <v>277.43265700000001</v>
      </c>
      <c r="L167" s="397"/>
      <c r="M167" s="397"/>
      <c r="N167" s="397">
        <f t="shared" si="10"/>
        <v>277.43265700000001</v>
      </c>
      <c r="O167" s="399">
        <f t="shared" si="12"/>
        <v>220</v>
      </c>
      <c r="P167" s="369" t="s">
        <v>1012</v>
      </c>
      <c r="Q167" s="46"/>
      <c r="R167" s="218"/>
      <c r="S167" s="257"/>
      <c r="T167" s="196"/>
      <c r="U167" s="46"/>
      <c r="V167" s="46"/>
      <c r="W167" s="257"/>
      <c r="X167" s="46"/>
      <c r="Y167" s="46"/>
      <c r="Z167" s="46"/>
      <c r="AA167" s="257"/>
      <c r="AB167" s="196"/>
      <c r="AC167" s="46"/>
      <c r="AD167" s="167"/>
      <c r="AE167" s="257"/>
      <c r="AF167" s="196"/>
      <c r="AG167" s="46"/>
      <c r="AH167" s="46"/>
      <c r="AI167" s="196"/>
      <c r="AJ167" s="400"/>
      <c r="AK167" s="196"/>
      <c r="AL167" s="46"/>
      <c r="AM167" s="218"/>
      <c r="AN167" s="257"/>
      <c r="AO167" s="196"/>
      <c r="AP167" s="46"/>
      <c r="AQ167" s="257"/>
      <c r="AR167" s="196"/>
      <c r="AS167" s="46"/>
      <c r="AT167" s="257"/>
      <c r="AU167" s="196"/>
      <c r="AV167" s="46"/>
      <c r="AW167" s="257"/>
      <c r="AX167" s="196"/>
      <c r="AY167" s="46"/>
      <c r="AZ167" s="257"/>
      <c r="BA167" s="46"/>
      <c r="BB167" s="46"/>
      <c r="BC167" s="46"/>
      <c r="BD167" s="46"/>
      <c r="BE167" s="46"/>
      <c r="BF167" s="257"/>
      <c r="BG167" s="46"/>
      <c r="BH167" s="46"/>
      <c r="BI167" s="46"/>
      <c r="BJ167" s="196"/>
      <c r="BK167" s="46"/>
      <c r="BL167" s="46"/>
      <c r="BM167" s="46"/>
      <c r="BN167" s="46"/>
      <c r="BO167" s="257"/>
      <c r="BP167" s="196"/>
      <c r="BQ167" s="46"/>
      <c r="BR167" s="257"/>
      <c r="BS167" s="46"/>
      <c r="BT167" s="46"/>
      <c r="BU167" s="257"/>
      <c r="BV167" s="196"/>
      <c r="BW167" s="46"/>
      <c r="BX167" s="46"/>
      <c r="BY167" s="46"/>
      <c r="BZ167" s="46"/>
      <c r="CA167" s="257"/>
      <c r="CB167" s="196"/>
      <c r="CC167" s="46"/>
      <c r="CD167" s="257"/>
      <c r="CE167" s="46"/>
      <c r="CF167" s="46"/>
      <c r="CG167" s="257"/>
      <c r="CH167" s="46"/>
      <c r="CI167" s="46"/>
      <c r="CJ167" s="46"/>
      <c r="CK167" s="46"/>
      <c r="CL167" s="46"/>
      <c r="CM167" s="257"/>
      <c r="CN167" s="46"/>
      <c r="CO167" s="376"/>
      <c r="CP167" s="257"/>
      <c r="CQ167" s="196" t="s">
        <v>254</v>
      </c>
      <c r="CR167" s="191" t="s">
        <v>532</v>
      </c>
      <c r="CS167" s="257">
        <f t="shared" si="14"/>
        <v>220000</v>
      </c>
      <c r="CT167" s="196"/>
      <c r="CU167" s="317"/>
      <c r="CV167" s="391">
        <f t="shared" si="13"/>
        <v>0</v>
      </c>
      <c r="CW167" s="41"/>
      <c r="CX167" s="41"/>
      <c r="CY167" s="256"/>
      <c r="CZ167" s="308"/>
      <c r="DA167" s="308"/>
      <c r="DB167" s="420"/>
      <c r="DC167" s="41">
        <v>4</v>
      </c>
      <c r="DD167" s="41">
        <v>220</v>
      </c>
      <c r="DE167" s="256">
        <v>220000</v>
      </c>
      <c r="DF167" s="41"/>
      <c r="DG167" s="41"/>
      <c r="DH167" s="391"/>
      <c r="DI167" s="41"/>
      <c r="DJ167" s="41"/>
      <c r="DK167" s="203"/>
      <c r="DL167" s="256"/>
      <c r="DM167" s="41"/>
      <c r="DN167" s="41"/>
      <c r="DO167" s="41"/>
      <c r="DP167" s="420"/>
      <c r="DQ167" s="41"/>
      <c r="DR167" s="41"/>
      <c r="DS167" s="203"/>
      <c r="DT167" s="256"/>
      <c r="DU167" s="46"/>
      <c r="DV167" s="46"/>
      <c r="DW167" s="196"/>
      <c r="DX167" s="391"/>
      <c r="DY167" s="41"/>
      <c r="DZ167" s="41"/>
      <c r="EA167" s="41"/>
      <c r="EB167" s="69"/>
      <c r="EC167" s="41"/>
      <c r="ED167" s="41"/>
      <c r="EE167" s="41"/>
      <c r="EF167" s="420"/>
      <c r="EG167" s="41"/>
      <c r="EH167" s="41"/>
      <c r="EI167" s="41"/>
      <c r="EJ167" s="256"/>
      <c r="EK167" s="41"/>
      <c r="EL167" s="41"/>
      <c r="EM167" s="41"/>
      <c r="EN167" s="391"/>
    </row>
    <row r="168" spans="1:144" ht="25.5">
      <c r="A168" s="45">
        <v>161</v>
      </c>
      <c r="B168" s="53" t="s">
        <v>301</v>
      </c>
      <c r="C168" s="45">
        <v>3</v>
      </c>
      <c r="D168" s="53" t="s">
        <v>534</v>
      </c>
      <c r="E168" s="54">
        <v>6</v>
      </c>
      <c r="F168" s="56">
        <v>7</v>
      </c>
      <c r="G168" s="397">
        <f>49644.126/1000</f>
        <v>49.644126</v>
      </c>
      <c r="H168" s="59">
        <v>0</v>
      </c>
      <c r="I168" s="59">
        <v>49644.126000000004</v>
      </c>
      <c r="J168" s="398">
        <v>162.120226</v>
      </c>
      <c r="K168" s="414">
        <f t="shared" si="11"/>
        <v>211.764352</v>
      </c>
      <c r="L168" s="397"/>
      <c r="M168" s="397"/>
      <c r="N168" s="397">
        <f t="shared" si="10"/>
        <v>211.764352</v>
      </c>
      <c r="O168" s="399">
        <f t="shared" si="12"/>
        <v>200</v>
      </c>
      <c r="P168" s="369" t="s">
        <v>1012</v>
      </c>
      <c r="Q168" s="46"/>
      <c r="R168" s="218"/>
      <c r="S168" s="257"/>
      <c r="T168" s="196"/>
      <c r="U168" s="46"/>
      <c r="V168" s="46"/>
      <c r="W168" s="257"/>
      <c r="X168" s="46"/>
      <c r="Y168" s="46"/>
      <c r="Z168" s="46"/>
      <c r="AA168" s="257"/>
      <c r="AB168" s="196"/>
      <c r="AC168" s="46"/>
      <c r="AD168" s="167"/>
      <c r="AE168" s="257"/>
      <c r="AF168" s="196"/>
      <c r="AG168" s="46"/>
      <c r="AH168" s="46"/>
      <c r="AI168" s="196"/>
      <c r="AJ168" s="400"/>
      <c r="AK168" s="196"/>
      <c r="AL168" s="46"/>
      <c r="AM168" s="218"/>
      <c r="AN168" s="257"/>
      <c r="AO168" s="196"/>
      <c r="AP168" s="46"/>
      <c r="AQ168" s="257"/>
      <c r="AR168" s="196"/>
      <c r="AS168" s="46"/>
      <c r="AT168" s="257"/>
      <c r="AU168" s="196"/>
      <c r="AV168" s="46"/>
      <c r="AW168" s="257"/>
      <c r="AX168" s="196"/>
      <c r="AY168" s="46"/>
      <c r="AZ168" s="257"/>
      <c r="BA168" s="46"/>
      <c r="BB168" s="46"/>
      <c r="BC168" s="46"/>
      <c r="BD168" s="46"/>
      <c r="BE168" s="46"/>
      <c r="BF168" s="257"/>
      <c r="BG168" s="46"/>
      <c r="BH168" s="46"/>
      <c r="BI168" s="46"/>
      <c r="BJ168" s="196"/>
      <c r="BK168" s="46"/>
      <c r="BL168" s="46"/>
      <c r="BM168" s="46"/>
      <c r="BN168" s="46"/>
      <c r="BO168" s="257"/>
      <c r="BP168" s="196"/>
      <c r="BQ168" s="46"/>
      <c r="BR168" s="257"/>
      <c r="BS168" s="46"/>
      <c r="BT168" s="46"/>
      <c r="BU168" s="257"/>
      <c r="BV168" s="196"/>
      <c r="BW168" s="46"/>
      <c r="BX168" s="46"/>
      <c r="BY168" s="46"/>
      <c r="BZ168" s="46"/>
      <c r="CA168" s="257"/>
      <c r="CB168" s="196"/>
      <c r="CC168" s="46"/>
      <c r="CD168" s="257"/>
      <c r="CE168" s="46"/>
      <c r="CF168" s="46"/>
      <c r="CG168" s="257"/>
      <c r="CH168" s="46"/>
      <c r="CI168" s="46"/>
      <c r="CJ168" s="46"/>
      <c r="CK168" s="46"/>
      <c r="CL168" s="46"/>
      <c r="CM168" s="257"/>
      <c r="CN168" s="46"/>
      <c r="CO168" s="376"/>
      <c r="CP168" s="257"/>
      <c r="CQ168" s="196" t="s">
        <v>226</v>
      </c>
      <c r="CR168" s="191" t="s">
        <v>532</v>
      </c>
      <c r="CS168" s="257">
        <f t="shared" si="14"/>
        <v>200000</v>
      </c>
      <c r="CT168" s="196"/>
      <c r="CU168" s="317"/>
      <c r="CV168" s="391">
        <f t="shared" si="13"/>
        <v>0</v>
      </c>
      <c r="CW168" s="41"/>
      <c r="CX168" s="41"/>
      <c r="CY168" s="256"/>
      <c r="CZ168" s="308"/>
      <c r="DA168" s="308"/>
      <c r="DB168" s="420"/>
      <c r="DC168" s="41">
        <v>5</v>
      </c>
      <c r="DD168" s="41">
        <v>200</v>
      </c>
      <c r="DE168" s="256">
        <v>200000</v>
      </c>
      <c r="DF168" s="41"/>
      <c r="DG168" s="41"/>
      <c r="DH168" s="391"/>
      <c r="DI168" s="41"/>
      <c r="DJ168" s="41"/>
      <c r="DK168" s="203"/>
      <c r="DL168" s="256"/>
      <c r="DM168" s="41"/>
      <c r="DN168" s="41"/>
      <c r="DO168" s="41"/>
      <c r="DP168" s="420"/>
      <c r="DQ168" s="41"/>
      <c r="DR168" s="41"/>
      <c r="DS168" s="203"/>
      <c r="DT168" s="256"/>
      <c r="DU168" s="46"/>
      <c r="DV168" s="46"/>
      <c r="DW168" s="196"/>
      <c r="DX168" s="391"/>
      <c r="DY168" s="41"/>
      <c r="DZ168" s="41"/>
      <c r="EA168" s="41"/>
      <c r="EB168" s="69"/>
      <c r="EC168" s="41"/>
      <c r="ED168" s="41"/>
      <c r="EE168" s="41"/>
      <c r="EF168" s="420"/>
      <c r="EG168" s="41"/>
      <c r="EH168" s="41"/>
      <c r="EI168" s="41"/>
      <c r="EJ168" s="256"/>
      <c r="EK168" s="41"/>
      <c r="EL168" s="41"/>
      <c r="EM168" s="41"/>
      <c r="EN168" s="391"/>
    </row>
    <row r="169" spans="1:144" ht="25.5">
      <c r="A169" s="45">
        <v>162</v>
      </c>
      <c r="B169" s="53" t="s">
        <v>301</v>
      </c>
      <c r="C169" s="45">
        <v>3</v>
      </c>
      <c r="D169" s="53" t="s">
        <v>534</v>
      </c>
      <c r="E169" s="54">
        <v>12</v>
      </c>
      <c r="F169" s="56">
        <v>7</v>
      </c>
      <c r="G169" s="397">
        <f>18955.125/1000</f>
        <v>18.955124999999999</v>
      </c>
      <c r="H169" s="59">
        <v>0</v>
      </c>
      <c r="I169" s="59">
        <v>18955.125</v>
      </c>
      <c r="J169" s="398">
        <v>180.31067400000001</v>
      </c>
      <c r="K169" s="414">
        <f t="shared" si="11"/>
        <v>199.26579900000002</v>
      </c>
      <c r="L169" s="397"/>
      <c r="M169" s="397"/>
      <c r="N169" s="397">
        <f t="shared" si="10"/>
        <v>199.26579900000002</v>
      </c>
      <c r="O169" s="399">
        <f t="shared" si="12"/>
        <v>200</v>
      </c>
      <c r="P169" s="369" t="s">
        <v>1012</v>
      </c>
      <c r="Q169" s="46"/>
      <c r="R169" s="218"/>
      <c r="S169" s="257"/>
      <c r="T169" s="196"/>
      <c r="U169" s="46"/>
      <c r="V169" s="46"/>
      <c r="W169" s="257"/>
      <c r="X169" s="46"/>
      <c r="Y169" s="46"/>
      <c r="Z169" s="46"/>
      <c r="AA169" s="257"/>
      <c r="AB169" s="196"/>
      <c r="AC169" s="46"/>
      <c r="AD169" s="167"/>
      <c r="AE169" s="257"/>
      <c r="AF169" s="196"/>
      <c r="AG169" s="46"/>
      <c r="AH169" s="46"/>
      <c r="AI169" s="196"/>
      <c r="AJ169" s="400"/>
      <c r="AK169" s="196"/>
      <c r="AL169" s="46"/>
      <c r="AM169" s="218"/>
      <c r="AN169" s="257"/>
      <c r="AO169" s="196"/>
      <c r="AP169" s="46"/>
      <c r="AQ169" s="257"/>
      <c r="AR169" s="196"/>
      <c r="AS169" s="46"/>
      <c r="AT169" s="257"/>
      <c r="AU169" s="196"/>
      <c r="AV169" s="46"/>
      <c r="AW169" s="257"/>
      <c r="AX169" s="196"/>
      <c r="AY169" s="46"/>
      <c r="AZ169" s="257"/>
      <c r="BA169" s="46"/>
      <c r="BB169" s="46"/>
      <c r="BC169" s="46"/>
      <c r="BD169" s="46"/>
      <c r="BE169" s="46"/>
      <c r="BF169" s="257"/>
      <c r="BG169" s="46"/>
      <c r="BH169" s="46"/>
      <c r="BI169" s="46"/>
      <c r="BJ169" s="196"/>
      <c r="BK169" s="46"/>
      <c r="BL169" s="46"/>
      <c r="BM169" s="46"/>
      <c r="BN169" s="46"/>
      <c r="BO169" s="257"/>
      <c r="BP169" s="196"/>
      <c r="BQ169" s="46"/>
      <c r="BR169" s="257"/>
      <c r="BS169" s="46"/>
      <c r="BT169" s="46"/>
      <c r="BU169" s="257"/>
      <c r="BV169" s="196"/>
      <c r="BW169" s="46"/>
      <c r="BX169" s="46"/>
      <c r="BY169" s="46"/>
      <c r="BZ169" s="46"/>
      <c r="CA169" s="257"/>
      <c r="CB169" s="196"/>
      <c r="CC169" s="46"/>
      <c r="CD169" s="257"/>
      <c r="CE169" s="46"/>
      <c r="CF169" s="46"/>
      <c r="CG169" s="257"/>
      <c r="CH169" s="46"/>
      <c r="CI169" s="46"/>
      <c r="CJ169" s="46"/>
      <c r="CK169" s="46"/>
      <c r="CL169" s="46"/>
      <c r="CM169" s="257"/>
      <c r="CN169" s="46"/>
      <c r="CO169" s="376"/>
      <c r="CP169" s="257"/>
      <c r="CQ169" s="218" t="s">
        <v>226</v>
      </c>
      <c r="CR169" s="191" t="s">
        <v>532</v>
      </c>
      <c r="CS169" s="257">
        <f t="shared" si="14"/>
        <v>200000</v>
      </c>
      <c r="CT169" s="196"/>
      <c r="CU169" s="317"/>
      <c r="CV169" s="391">
        <f t="shared" si="13"/>
        <v>0</v>
      </c>
      <c r="CW169" s="41"/>
      <c r="CX169" s="41"/>
      <c r="CY169" s="256"/>
      <c r="CZ169" s="308"/>
      <c r="DA169" s="308"/>
      <c r="DB169" s="420"/>
      <c r="DC169" s="41">
        <v>5</v>
      </c>
      <c r="DD169" s="41">
        <v>200</v>
      </c>
      <c r="DE169" s="256">
        <v>200000</v>
      </c>
      <c r="DF169" s="41"/>
      <c r="DG169" s="41"/>
      <c r="DH169" s="391"/>
      <c r="DI169" s="41"/>
      <c r="DJ169" s="41"/>
      <c r="DK169" s="203"/>
      <c r="DL169" s="256"/>
      <c r="DM169" s="41"/>
      <c r="DN169" s="41"/>
      <c r="DO169" s="41"/>
      <c r="DP169" s="420"/>
      <c r="DQ169" s="41"/>
      <c r="DR169" s="41"/>
      <c r="DS169" s="203"/>
      <c r="DT169" s="256"/>
      <c r="DU169" s="46"/>
      <c r="DV169" s="46"/>
      <c r="DW169" s="196"/>
      <c r="DX169" s="391"/>
      <c r="DY169" s="41"/>
      <c r="DZ169" s="41"/>
      <c r="EA169" s="41"/>
      <c r="EB169" s="69"/>
      <c r="EC169" s="41"/>
      <c r="ED169" s="41"/>
      <c r="EE169" s="41"/>
      <c r="EF169" s="420"/>
      <c r="EG169" s="41"/>
      <c r="EH169" s="41"/>
      <c r="EI169" s="41"/>
      <c r="EJ169" s="256"/>
      <c r="EK169" s="41"/>
      <c r="EL169" s="41"/>
      <c r="EM169" s="41"/>
      <c r="EN169" s="391"/>
    </row>
    <row r="170" spans="1:144" ht="25.5">
      <c r="A170" s="45">
        <v>163</v>
      </c>
      <c r="B170" s="53" t="s">
        <v>301</v>
      </c>
      <c r="C170" s="45">
        <v>3</v>
      </c>
      <c r="D170" s="53" t="s">
        <v>534</v>
      </c>
      <c r="E170" s="54">
        <v>14</v>
      </c>
      <c r="F170" s="56">
        <v>7</v>
      </c>
      <c r="G170" s="397">
        <f>57236.634/1000</f>
        <v>57.236633999999995</v>
      </c>
      <c r="H170" s="59">
        <v>0</v>
      </c>
      <c r="I170" s="59">
        <v>57236.633999999991</v>
      </c>
      <c r="J170" s="398">
        <v>38.972059999999999</v>
      </c>
      <c r="K170" s="414">
        <f t="shared" si="11"/>
        <v>96.208693999999994</v>
      </c>
      <c r="L170" s="397"/>
      <c r="M170" s="397"/>
      <c r="N170" s="397">
        <f t="shared" si="10"/>
        <v>96.208693999999994</v>
      </c>
      <c r="O170" s="399">
        <f t="shared" si="12"/>
        <v>96</v>
      </c>
      <c r="P170" s="369" t="s">
        <v>1012</v>
      </c>
      <c r="Q170" s="46"/>
      <c r="R170" s="218"/>
      <c r="S170" s="257"/>
      <c r="T170" s="196"/>
      <c r="U170" s="46"/>
      <c r="V170" s="46"/>
      <c r="W170" s="257"/>
      <c r="X170" s="46"/>
      <c r="Y170" s="46"/>
      <c r="Z170" s="46"/>
      <c r="AA170" s="257"/>
      <c r="AB170" s="196"/>
      <c r="AC170" s="46"/>
      <c r="AD170" s="167"/>
      <c r="AE170" s="257"/>
      <c r="AF170" s="196"/>
      <c r="AG170" s="46"/>
      <c r="AH170" s="46"/>
      <c r="AI170" s="196"/>
      <c r="AJ170" s="400"/>
      <c r="AK170" s="196"/>
      <c r="AL170" s="46"/>
      <c r="AM170" s="218"/>
      <c r="AN170" s="257"/>
      <c r="AO170" s="196"/>
      <c r="AP170" s="46"/>
      <c r="AQ170" s="257"/>
      <c r="AR170" s="196"/>
      <c r="AS170" s="46"/>
      <c r="AT170" s="257"/>
      <c r="AU170" s="196"/>
      <c r="AV170" s="46"/>
      <c r="AW170" s="257"/>
      <c r="AX170" s="196"/>
      <c r="AY170" s="46"/>
      <c r="AZ170" s="257"/>
      <c r="BA170" s="46"/>
      <c r="BB170" s="46"/>
      <c r="BC170" s="46"/>
      <c r="BD170" s="46"/>
      <c r="BE170" s="46"/>
      <c r="BF170" s="257"/>
      <c r="BG170" s="46"/>
      <c r="BH170" s="46"/>
      <c r="BI170" s="46"/>
      <c r="BJ170" s="196"/>
      <c r="BK170" s="46"/>
      <c r="BL170" s="46"/>
      <c r="BM170" s="46"/>
      <c r="BN170" s="46"/>
      <c r="BO170" s="257"/>
      <c r="BP170" s="196"/>
      <c r="BQ170" s="46"/>
      <c r="BR170" s="257"/>
      <c r="BS170" s="46"/>
      <c r="BT170" s="46"/>
      <c r="BU170" s="257"/>
      <c r="BV170" s="196"/>
      <c r="BW170" s="46"/>
      <c r="BX170" s="46"/>
      <c r="BY170" s="46"/>
      <c r="BZ170" s="46"/>
      <c r="CA170" s="257"/>
      <c r="CB170" s="196"/>
      <c r="CC170" s="46"/>
      <c r="CD170" s="257"/>
      <c r="CE170" s="46"/>
      <c r="CF170" s="46"/>
      <c r="CG170" s="257"/>
      <c r="CH170" s="46"/>
      <c r="CI170" s="46"/>
      <c r="CJ170" s="46"/>
      <c r="CK170" s="46"/>
      <c r="CL170" s="46"/>
      <c r="CM170" s="257"/>
      <c r="CN170" s="46"/>
      <c r="CO170" s="376"/>
      <c r="CP170" s="257"/>
      <c r="CQ170" s="196"/>
      <c r="CR170" s="190" t="s">
        <v>554</v>
      </c>
      <c r="CS170" s="257">
        <f>CY170+DE170+DL170+DT170+EB170+EJ170+96000</f>
        <v>96000</v>
      </c>
      <c r="CT170" s="196"/>
      <c r="CU170" s="317"/>
      <c r="CV170" s="391">
        <f t="shared" si="13"/>
        <v>0</v>
      </c>
      <c r="CW170" s="41"/>
      <c r="CX170" s="41"/>
      <c r="CY170" s="256"/>
      <c r="CZ170" s="308"/>
      <c r="DA170" s="308"/>
      <c r="DB170" s="420"/>
      <c r="DC170" s="41"/>
      <c r="DD170" s="41"/>
      <c r="DE170" s="256"/>
      <c r="DF170" s="41"/>
      <c r="DG170" s="41"/>
      <c r="DH170" s="391"/>
      <c r="DI170" s="41"/>
      <c r="DJ170" s="41"/>
      <c r="DK170" s="203"/>
      <c r="DL170" s="256"/>
      <c r="DM170" s="41"/>
      <c r="DN170" s="41"/>
      <c r="DO170" s="41"/>
      <c r="DP170" s="420"/>
      <c r="DQ170" s="41"/>
      <c r="DR170" s="41"/>
      <c r="DS170" s="203"/>
      <c r="DT170" s="256"/>
      <c r="DU170" s="46"/>
      <c r="DV170" s="46"/>
      <c r="DW170" s="196"/>
      <c r="DX170" s="391"/>
      <c r="DY170" s="41"/>
      <c r="DZ170" s="41"/>
      <c r="EA170" s="41"/>
      <c r="EB170" s="69"/>
      <c r="EC170" s="41"/>
      <c r="ED170" s="41"/>
      <c r="EE170" s="41"/>
      <c r="EF170" s="420"/>
      <c r="EG170" s="41"/>
      <c r="EH170" s="41"/>
      <c r="EI170" s="41"/>
      <c r="EJ170" s="256"/>
      <c r="EK170" s="41"/>
      <c r="EL170" s="41"/>
      <c r="EM170" s="41"/>
      <c r="EN170" s="391"/>
    </row>
    <row r="171" spans="1:144" ht="25.5">
      <c r="A171" s="45">
        <v>164</v>
      </c>
      <c r="B171" s="53" t="s">
        <v>301</v>
      </c>
      <c r="C171" s="45">
        <v>3</v>
      </c>
      <c r="D171" s="53" t="s">
        <v>535</v>
      </c>
      <c r="E171" s="54">
        <v>7</v>
      </c>
      <c r="F171" s="56">
        <v>7</v>
      </c>
      <c r="G171" s="397">
        <f>61775.406/1000</f>
        <v>61.775406000000004</v>
      </c>
      <c r="H171" s="59">
        <v>0</v>
      </c>
      <c r="I171" s="59">
        <v>61775.40600000001</v>
      </c>
      <c r="J171" s="398">
        <v>103.554</v>
      </c>
      <c r="K171" s="414">
        <f t="shared" si="11"/>
        <v>165.32940600000001</v>
      </c>
      <c r="L171" s="397"/>
      <c r="M171" s="397"/>
      <c r="N171" s="397">
        <f t="shared" si="10"/>
        <v>165.32940600000001</v>
      </c>
      <c r="O171" s="399">
        <f t="shared" si="12"/>
        <v>165</v>
      </c>
      <c r="P171" s="369" t="s">
        <v>1012</v>
      </c>
      <c r="Q171" s="46"/>
      <c r="R171" s="218"/>
      <c r="S171" s="257"/>
      <c r="T171" s="196"/>
      <c r="U171" s="46"/>
      <c r="V171" s="46"/>
      <c r="W171" s="257"/>
      <c r="X171" s="46"/>
      <c r="Y171" s="46"/>
      <c r="Z171" s="46"/>
      <c r="AA171" s="257"/>
      <c r="AB171" s="196"/>
      <c r="AC171" s="46"/>
      <c r="AD171" s="167"/>
      <c r="AE171" s="257"/>
      <c r="AF171" s="196"/>
      <c r="AG171" s="46"/>
      <c r="AH171" s="46"/>
      <c r="AI171" s="196"/>
      <c r="AJ171" s="400"/>
      <c r="AK171" s="196"/>
      <c r="AL171" s="46"/>
      <c r="AM171" s="218"/>
      <c r="AN171" s="257"/>
      <c r="AO171" s="196"/>
      <c r="AP171" s="46"/>
      <c r="AQ171" s="257"/>
      <c r="AR171" s="196"/>
      <c r="AS171" s="46"/>
      <c r="AT171" s="257"/>
      <c r="AU171" s="196"/>
      <c r="AV171" s="46"/>
      <c r="AW171" s="257"/>
      <c r="AX171" s="196"/>
      <c r="AY171" s="46"/>
      <c r="AZ171" s="257"/>
      <c r="BA171" s="46"/>
      <c r="BB171" s="46"/>
      <c r="BC171" s="46"/>
      <c r="BD171" s="46"/>
      <c r="BE171" s="46"/>
      <c r="BF171" s="257"/>
      <c r="BG171" s="46"/>
      <c r="BH171" s="46"/>
      <c r="BI171" s="46"/>
      <c r="BJ171" s="196"/>
      <c r="BK171" s="46"/>
      <c r="BL171" s="46"/>
      <c r="BM171" s="46"/>
      <c r="BN171" s="46"/>
      <c r="BO171" s="257"/>
      <c r="BP171" s="196"/>
      <c r="BQ171" s="46"/>
      <c r="BR171" s="257"/>
      <c r="BS171" s="46"/>
      <c r="BT171" s="46"/>
      <c r="BU171" s="257"/>
      <c r="BV171" s="196"/>
      <c r="BW171" s="46"/>
      <c r="BX171" s="46"/>
      <c r="BY171" s="46"/>
      <c r="BZ171" s="46"/>
      <c r="CA171" s="257"/>
      <c r="CB171" s="196"/>
      <c r="CC171" s="46"/>
      <c r="CD171" s="257"/>
      <c r="CE171" s="46"/>
      <c r="CF171" s="46"/>
      <c r="CG171" s="257"/>
      <c r="CH171" s="46"/>
      <c r="CI171" s="46"/>
      <c r="CJ171" s="46"/>
      <c r="CK171" s="46"/>
      <c r="CL171" s="46"/>
      <c r="CM171" s="257"/>
      <c r="CN171" s="46"/>
      <c r="CO171" s="376"/>
      <c r="CP171" s="257"/>
      <c r="CQ171" s="196"/>
      <c r="CR171" s="190" t="s">
        <v>554</v>
      </c>
      <c r="CS171" s="257">
        <f>CY171+DE171+DL171+DT171+EB171+EJ171+165000</f>
        <v>165000</v>
      </c>
      <c r="CT171" s="196"/>
      <c r="CU171" s="317"/>
      <c r="CV171" s="391">
        <f t="shared" si="13"/>
        <v>0</v>
      </c>
      <c r="CW171" s="41"/>
      <c r="CX171" s="41"/>
      <c r="CY171" s="256"/>
      <c r="CZ171" s="308"/>
      <c r="DA171" s="308"/>
      <c r="DB171" s="420"/>
      <c r="DC171" s="41"/>
      <c r="DD171" s="41"/>
      <c r="DE171" s="256"/>
      <c r="DF171" s="41"/>
      <c r="DG171" s="41"/>
      <c r="DH171" s="391"/>
      <c r="DI171" s="41"/>
      <c r="DJ171" s="41"/>
      <c r="DK171" s="203"/>
      <c r="DL171" s="256"/>
      <c r="DM171" s="41"/>
      <c r="DN171" s="41"/>
      <c r="DO171" s="41"/>
      <c r="DP171" s="420"/>
      <c r="DQ171" s="41"/>
      <c r="DR171" s="41"/>
      <c r="DS171" s="203"/>
      <c r="DT171" s="256"/>
      <c r="DU171" s="46"/>
      <c r="DV171" s="46"/>
      <c r="DW171" s="196"/>
      <c r="DX171" s="391"/>
      <c r="DY171" s="41"/>
      <c r="DZ171" s="41"/>
      <c r="EA171" s="41"/>
      <c r="EB171" s="69"/>
      <c r="EC171" s="41"/>
      <c r="ED171" s="41"/>
      <c r="EE171" s="41"/>
      <c r="EF171" s="420"/>
      <c r="EG171" s="41"/>
      <c r="EH171" s="41"/>
      <c r="EI171" s="41"/>
      <c r="EJ171" s="256"/>
      <c r="EK171" s="41"/>
      <c r="EL171" s="41"/>
      <c r="EM171" s="41"/>
      <c r="EN171" s="391"/>
    </row>
    <row r="172" spans="1:144" ht="25.5">
      <c r="A172" s="45">
        <v>165</v>
      </c>
      <c r="B172" s="53" t="s">
        <v>301</v>
      </c>
      <c r="C172" s="45">
        <v>3</v>
      </c>
      <c r="D172" s="53" t="s">
        <v>535</v>
      </c>
      <c r="E172" s="54">
        <v>9</v>
      </c>
      <c r="F172" s="56">
        <v>7</v>
      </c>
      <c r="G172" s="397">
        <f>74420.1738/1000</f>
        <v>74.420173800000001</v>
      </c>
      <c r="H172" s="59">
        <v>0</v>
      </c>
      <c r="I172" s="59">
        <v>74420.173800000004</v>
      </c>
      <c r="J172" s="398">
        <v>61.789240800000002</v>
      </c>
      <c r="K172" s="414">
        <f t="shared" si="11"/>
        <v>136.2094146</v>
      </c>
      <c r="L172" s="397"/>
      <c r="M172" s="397"/>
      <c r="N172" s="397">
        <f t="shared" si="10"/>
        <v>136.2094146</v>
      </c>
      <c r="O172" s="399">
        <f t="shared" si="12"/>
        <v>136</v>
      </c>
      <c r="P172" s="369" t="s">
        <v>1012</v>
      </c>
      <c r="Q172" s="46"/>
      <c r="R172" s="218"/>
      <c r="S172" s="257"/>
      <c r="T172" s="196"/>
      <c r="U172" s="46"/>
      <c r="V172" s="46"/>
      <c r="W172" s="257"/>
      <c r="X172" s="46"/>
      <c r="Y172" s="46"/>
      <c r="Z172" s="46"/>
      <c r="AA172" s="257"/>
      <c r="AB172" s="196"/>
      <c r="AC172" s="46"/>
      <c r="AD172" s="167"/>
      <c r="AE172" s="257"/>
      <c r="AF172" s="196"/>
      <c r="AG172" s="46"/>
      <c r="AH172" s="46"/>
      <c r="AI172" s="196"/>
      <c r="AJ172" s="400"/>
      <c r="AK172" s="196"/>
      <c r="AL172" s="46"/>
      <c r="AM172" s="218"/>
      <c r="AN172" s="257"/>
      <c r="AO172" s="196"/>
      <c r="AP172" s="46"/>
      <c r="AQ172" s="257"/>
      <c r="AR172" s="196"/>
      <c r="AS172" s="46"/>
      <c r="AT172" s="257"/>
      <c r="AU172" s="196"/>
      <c r="AV172" s="46"/>
      <c r="AW172" s="257"/>
      <c r="AX172" s="196"/>
      <c r="AY172" s="46"/>
      <c r="AZ172" s="257"/>
      <c r="BA172" s="46"/>
      <c r="BB172" s="46"/>
      <c r="BC172" s="46"/>
      <c r="BD172" s="46"/>
      <c r="BE172" s="46"/>
      <c r="BF172" s="257"/>
      <c r="BG172" s="46"/>
      <c r="BH172" s="46"/>
      <c r="BI172" s="46"/>
      <c r="BJ172" s="196"/>
      <c r="BK172" s="46"/>
      <c r="BL172" s="46"/>
      <c r="BM172" s="46"/>
      <c r="BN172" s="46"/>
      <c r="BO172" s="257"/>
      <c r="BP172" s="196"/>
      <c r="BQ172" s="46"/>
      <c r="BR172" s="257"/>
      <c r="BS172" s="46"/>
      <c r="BT172" s="46"/>
      <c r="BU172" s="257"/>
      <c r="BV172" s="196"/>
      <c r="BW172" s="46"/>
      <c r="BX172" s="46"/>
      <c r="BY172" s="46"/>
      <c r="BZ172" s="46"/>
      <c r="CA172" s="257"/>
      <c r="CB172" s="196"/>
      <c r="CC172" s="46"/>
      <c r="CD172" s="257"/>
      <c r="CE172" s="46"/>
      <c r="CF172" s="46"/>
      <c r="CG172" s="257"/>
      <c r="CH172" s="46"/>
      <c r="CI172" s="46"/>
      <c r="CJ172" s="46"/>
      <c r="CK172" s="46"/>
      <c r="CL172" s="46"/>
      <c r="CM172" s="257"/>
      <c r="CN172" s="46"/>
      <c r="CO172" s="376"/>
      <c r="CP172" s="257"/>
      <c r="CQ172" s="218"/>
      <c r="CR172" s="190" t="s">
        <v>554</v>
      </c>
      <c r="CS172" s="257">
        <f>CY172+DE172+DL172+DT172+EB172+EJ172+136000</f>
        <v>136000</v>
      </c>
      <c r="CT172" s="196"/>
      <c r="CU172" s="317"/>
      <c r="CV172" s="391">
        <f t="shared" si="13"/>
        <v>0</v>
      </c>
      <c r="CW172" s="41"/>
      <c r="CX172" s="41"/>
      <c r="CY172" s="256"/>
      <c r="CZ172" s="308"/>
      <c r="DA172" s="308"/>
      <c r="DB172" s="420"/>
      <c r="DC172" s="41"/>
      <c r="DD172" s="41"/>
      <c r="DE172" s="256"/>
      <c r="DF172" s="41"/>
      <c r="DG172" s="41"/>
      <c r="DH172" s="391"/>
      <c r="DI172" s="41"/>
      <c r="DJ172" s="41"/>
      <c r="DK172" s="203"/>
      <c r="DL172" s="256"/>
      <c r="DM172" s="41"/>
      <c r="DN172" s="41"/>
      <c r="DO172" s="41"/>
      <c r="DP172" s="420"/>
      <c r="DQ172" s="41"/>
      <c r="DR172" s="41"/>
      <c r="DS172" s="203"/>
      <c r="DT172" s="256"/>
      <c r="DU172" s="46"/>
      <c r="DV172" s="46"/>
      <c r="DW172" s="196"/>
      <c r="DX172" s="391"/>
      <c r="DY172" s="41"/>
      <c r="DZ172" s="41"/>
      <c r="EA172" s="41"/>
      <c r="EB172" s="69"/>
      <c r="EC172" s="41"/>
      <c r="ED172" s="41"/>
      <c r="EE172" s="41"/>
      <c r="EF172" s="420"/>
      <c r="EG172" s="41"/>
      <c r="EH172" s="41"/>
      <c r="EI172" s="41"/>
      <c r="EJ172" s="256"/>
      <c r="EK172" s="41"/>
      <c r="EL172" s="41"/>
      <c r="EM172" s="41"/>
      <c r="EN172" s="391"/>
    </row>
    <row r="173" spans="1:144" ht="108.75">
      <c r="A173" s="45">
        <v>166</v>
      </c>
      <c r="B173" s="53" t="s">
        <v>301</v>
      </c>
      <c r="C173" s="45">
        <v>3</v>
      </c>
      <c r="D173" s="55" t="s">
        <v>269</v>
      </c>
      <c r="E173" s="54">
        <v>1</v>
      </c>
      <c r="F173" s="56">
        <v>3</v>
      </c>
      <c r="G173" s="397">
        <f>410335.584/1000</f>
        <v>410.33558399999998</v>
      </c>
      <c r="H173" s="59">
        <v>410335.58399999997</v>
      </c>
      <c r="I173" s="59">
        <v>0</v>
      </c>
      <c r="J173" s="398">
        <v>881.45864999999992</v>
      </c>
      <c r="K173" s="414">
        <f t="shared" si="11"/>
        <v>1291.794234</v>
      </c>
      <c r="L173" s="397"/>
      <c r="M173" s="397"/>
      <c r="N173" s="397">
        <f t="shared" si="10"/>
        <v>1291.794234</v>
      </c>
      <c r="O173" s="399">
        <f t="shared" si="12"/>
        <v>1018.8</v>
      </c>
      <c r="P173" s="196"/>
      <c r="Q173" s="46"/>
      <c r="R173" s="218"/>
      <c r="S173" s="257"/>
      <c r="T173" s="196"/>
      <c r="U173" s="46"/>
      <c r="V173" s="46"/>
      <c r="W173" s="257"/>
      <c r="X173" s="46"/>
      <c r="Y173" s="46"/>
      <c r="Z173" s="46"/>
      <c r="AA173" s="257"/>
      <c r="AB173" s="196"/>
      <c r="AC173" s="46"/>
      <c r="AD173" s="167"/>
      <c r="AE173" s="257"/>
      <c r="AF173" s="196"/>
      <c r="AG173" s="46"/>
      <c r="AH173" s="46"/>
      <c r="AI173" s="196"/>
      <c r="AJ173" s="400"/>
      <c r="AK173" s="196"/>
      <c r="AL173" s="46"/>
      <c r="AM173" s="218"/>
      <c r="AN173" s="257"/>
      <c r="AO173" s="196"/>
      <c r="AP173" s="46"/>
      <c r="AQ173" s="257"/>
      <c r="AR173" s="196"/>
      <c r="AS173" s="46"/>
      <c r="AT173" s="257"/>
      <c r="AU173" s="196"/>
      <c r="AV173" s="46"/>
      <c r="AW173" s="257"/>
      <c r="AX173" s="196"/>
      <c r="AY173" s="46"/>
      <c r="AZ173" s="257"/>
      <c r="BA173" s="46"/>
      <c r="BB173" s="46"/>
      <c r="BC173" s="46"/>
      <c r="BD173" s="46"/>
      <c r="BE173" s="46"/>
      <c r="BF173" s="257"/>
      <c r="BG173" s="46"/>
      <c r="BH173" s="46"/>
      <c r="BI173" s="46"/>
      <c r="BJ173" s="196"/>
      <c r="BK173" s="46"/>
      <c r="BL173" s="46"/>
      <c r="BM173" s="46"/>
      <c r="BN173" s="46"/>
      <c r="BO173" s="257"/>
      <c r="BP173" s="196" t="s">
        <v>787</v>
      </c>
      <c r="BQ173" s="190" t="s">
        <v>694</v>
      </c>
      <c r="BR173" s="257">
        <f>2*350000+22*1400</f>
        <v>730800</v>
      </c>
      <c r="BS173" s="46"/>
      <c r="BT173" s="46"/>
      <c r="BU173" s="257"/>
      <c r="BV173" s="196"/>
      <c r="BW173" s="46"/>
      <c r="BX173" s="46"/>
      <c r="BY173" s="46"/>
      <c r="BZ173" s="46"/>
      <c r="CA173" s="257"/>
      <c r="CB173" s="196"/>
      <c r="CC173" s="46"/>
      <c r="CD173" s="257"/>
      <c r="CE173" s="46"/>
      <c r="CF173" s="46"/>
      <c r="CG173" s="257"/>
      <c r="CH173" s="46"/>
      <c r="CI173" s="46"/>
      <c r="CJ173" s="46"/>
      <c r="CK173" s="46"/>
      <c r="CL173" s="46"/>
      <c r="CM173" s="257"/>
      <c r="CN173" s="46"/>
      <c r="CO173" s="376"/>
      <c r="CP173" s="257"/>
      <c r="CQ173" s="218" t="s">
        <v>790</v>
      </c>
      <c r="CR173" s="286" t="s">
        <v>693</v>
      </c>
      <c r="CS173" s="257">
        <f>CY173+DE173+DL173+DT173+EB173+EJ173+2*15000+5000+2*10000+2*2500+50*2500</f>
        <v>288000</v>
      </c>
      <c r="CT173" s="196"/>
      <c r="CU173" s="317"/>
      <c r="CV173" s="391">
        <f t="shared" si="13"/>
        <v>0</v>
      </c>
      <c r="CW173" s="41"/>
      <c r="CX173" s="41"/>
      <c r="CY173" s="256"/>
      <c r="CZ173" s="308"/>
      <c r="DA173" s="308"/>
      <c r="DB173" s="420"/>
      <c r="DC173" s="41">
        <v>6</v>
      </c>
      <c r="DD173" s="41">
        <v>98</v>
      </c>
      <c r="DE173" s="256">
        <v>98000</v>
      </c>
      <c r="DF173" s="41"/>
      <c r="DG173" s="41"/>
      <c r="DH173" s="391"/>
      <c r="DI173" s="41"/>
      <c r="DJ173" s="41"/>
      <c r="DK173" s="203"/>
      <c r="DL173" s="256"/>
      <c r="DM173" s="41"/>
      <c r="DN173" s="41"/>
      <c r="DO173" s="41"/>
      <c r="DP173" s="420"/>
      <c r="DQ173" s="41"/>
      <c r="DR173" s="41"/>
      <c r="DS173" s="203"/>
      <c r="DT173" s="256"/>
      <c r="DU173" s="46"/>
      <c r="DV173" s="46"/>
      <c r="DW173" s="196"/>
      <c r="DX173" s="391"/>
      <c r="DY173" s="41"/>
      <c r="DZ173" s="41"/>
      <c r="EA173" s="41"/>
      <c r="EB173" s="69"/>
      <c r="EC173" s="41"/>
      <c r="ED173" s="41"/>
      <c r="EE173" s="41"/>
      <c r="EF173" s="420"/>
      <c r="EG173" s="41">
        <v>9</v>
      </c>
      <c r="EH173" s="41">
        <v>1</v>
      </c>
      <c r="EI173" s="41">
        <v>2</v>
      </c>
      <c r="EJ173" s="256">
        <v>5000</v>
      </c>
      <c r="EK173" s="41"/>
      <c r="EL173" s="41"/>
      <c r="EM173" s="41"/>
      <c r="EN173" s="391"/>
    </row>
    <row r="174" spans="1:144" ht="52.15" customHeight="1">
      <c r="A174" s="45">
        <v>167</v>
      </c>
      <c r="B174" s="53" t="s">
        <v>301</v>
      </c>
      <c r="C174" s="45">
        <v>3</v>
      </c>
      <c r="D174" s="55" t="s">
        <v>269</v>
      </c>
      <c r="E174" s="54">
        <v>10</v>
      </c>
      <c r="F174" s="56">
        <v>5</v>
      </c>
      <c r="G174" s="397">
        <f>486851.904/1000</f>
        <v>486.85190399999999</v>
      </c>
      <c r="H174" s="59">
        <v>486851.90399999998</v>
      </c>
      <c r="I174" s="59">
        <v>0</v>
      </c>
      <c r="J174" s="398">
        <v>-68.467199999999934</v>
      </c>
      <c r="K174" s="414">
        <f t="shared" si="11"/>
        <v>418.38470400000006</v>
      </c>
      <c r="L174" s="397"/>
      <c r="M174" s="397"/>
      <c r="N174" s="397">
        <f t="shared" si="10"/>
        <v>418.38470400000006</v>
      </c>
      <c r="O174" s="399">
        <f t="shared" si="12"/>
        <v>400</v>
      </c>
      <c r="P174" s="196" t="s">
        <v>793</v>
      </c>
      <c r="Q174" s="46">
        <v>5</v>
      </c>
      <c r="R174" s="218" t="s">
        <v>695</v>
      </c>
      <c r="S174" s="257">
        <f>5*80000</f>
        <v>400000</v>
      </c>
      <c r="T174" s="196"/>
      <c r="U174" s="46"/>
      <c r="V174" s="46"/>
      <c r="W174" s="257"/>
      <c r="X174" s="46"/>
      <c r="Y174" s="46"/>
      <c r="Z174" s="46"/>
      <c r="AA174" s="257"/>
      <c r="AB174" s="196"/>
      <c r="AC174" s="46"/>
      <c r="AD174" s="167"/>
      <c r="AE174" s="257"/>
      <c r="AF174" s="196"/>
      <c r="AG174" s="46"/>
      <c r="AH174" s="46"/>
      <c r="AI174" s="196"/>
      <c r="AJ174" s="400"/>
      <c r="AK174" s="196"/>
      <c r="AL174" s="46"/>
      <c r="AM174" s="218"/>
      <c r="AN174" s="257"/>
      <c r="AO174" s="196"/>
      <c r="AP174" s="167"/>
      <c r="AQ174" s="257"/>
      <c r="AR174" s="196"/>
      <c r="AS174" s="167"/>
      <c r="AT174" s="257"/>
      <c r="AU174" s="196"/>
      <c r="AV174" s="167"/>
      <c r="AW174" s="257"/>
      <c r="AX174" s="196"/>
      <c r="AY174" s="46"/>
      <c r="AZ174" s="257"/>
      <c r="BA174" s="46"/>
      <c r="BB174" s="46"/>
      <c r="BC174" s="46"/>
      <c r="BD174" s="46"/>
      <c r="BE174" s="46"/>
      <c r="BF174" s="257"/>
      <c r="BG174" s="46"/>
      <c r="BH174" s="46"/>
      <c r="BI174" s="46"/>
      <c r="BJ174" s="196"/>
      <c r="BK174" s="46"/>
      <c r="BL174" s="46"/>
      <c r="BM174" s="46"/>
      <c r="BN174" s="46"/>
      <c r="BO174" s="257"/>
      <c r="BP174" s="196"/>
      <c r="BQ174" s="46"/>
      <c r="BR174" s="257"/>
      <c r="BS174" s="46"/>
      <c r="BT174" s="46"/>
      <c r="BU174" s="257"/>
      <c r="BV174" s="196"/>
      <c r="BW174" s="46"/>
      <c r="BX174" s="46"/>
      <c r="BY174" s="46"/>
      <c r="BZ174" s="46"/>
      <c r="CA174" s="257"/>
      <c r="CB174" s="196"/>
      <c r="CC174" s="46"/>
      <c r="CD174" s="257"/>
      <c r="CE174" s="46"/>
      <c r="CF174" s="46"/>
      <c r="CG174" s="257"/>
      <c r="CH174" s="46"/>
      <c r="CI174" s="46"/>
      <c r="CJ174" s="46"/>
      <c r="CK174" s="46"/>
      <c r="CL174" s="46"/>
      <c r="CM174" s="257"/>
      <c r="CN174" s="46"/>
      <c r="CO174" s="376"/>
      <c r="CP174" s="257"/>
      <c r="CQ174" s="196"/>
      <c r="CR174" s="286"/>
      <c r="CS174" s="257">
        <f t="shared" si="14"/>
        <v>0</v>
      </c>
      <c r="CT174" s="218"/>
      <c r="CU174" s="317"/>
      <c r="CV174" s="391">
        <f t="shared" si="13"/>
        <v>0</v>
      </c>
      <c r="CW174" s="41"/>
      <c r="CX174" s="41"/>
      <c r="CY174" s="256"/>
      <c r="CZ174" s="308"/>
      <c r="DA174" s="308"/>
      <c r="DB174" s="420"/>
      <c r="DC174" s="41"/>
      <c r="DD174" s="41"/>
      <c r="DE174" s="256"/>
      <c r="DF174" s="41"/>
      <c r="DG174" s="41"/>
      <c r="DH174" s="391"/>
      <c r="DI174" s="41"/>
      <c r="DJ174" s="41"/>
      <c r="DK174" s="203"/>
      <c r="DL174" s="256"/>
      <c r="DM174" s="41"/>
      <c r="DN174" s="41"/>
      <c r="DO174" s="41"/>
      <c r="DP174" s="420"/>
      <c r="DQ174" s="41"/>
      <c r="DR174" s="41"/>
      <c r="DS174" s="203"/>
      <c r="DT174" s="256"/>
      <c r="DU174" s="46"/>
      <c r="DV174" s="46"/>
      <c r="DW174" s="196"/>
      <c r="DX174" s="391"/>
      <c r="DY174" s="41"/>
      <c r="DZ174" s="41"/>
      <c r="EA174" s="41"/>
      <c r="EB174" s="69"/>
      <c r="EC174" s="41"/>
      <c r="ED174" s="41"/>
      <c r="EE174" s="41"/>
      <c r="EF174" s="420"/>
      <c r="EG174" s="41"/>
      <c r="EH174" s="41"/>
      <c r="EI174" s="41"/>
      <c r="EJ174" s="256"/>
      <c r="EK174" s="41"/>
      <c r="EL174" s="41"/>
      <c r="EM174" s="41"/>
      <c r="EN174" s="391"/>
    </row>
    <row r="175" spans="1:144" ht="25.5">
      <c r="A175" s="45">
        <v>168</v>
      </c>
      <c r="B175" s="53" t="s">
        <v>301</v>
      </c>
      <c r="C175" s="45">
        <v>3</v>
      </c>
      <c r="D175" s="55" t="s">
        <v>269</v>
      </c>
      <c r="E175" s="54">
        <v>16</v>
      </c>
      <c r="F175" s="56">
        <v>5</v>
      </c>
      <c r="G175" s="397">
        <f>490535.892/1000</f>
        <v>490.53589199999999</v>
      </c>
      <c r="H175" s="59">
        <v>490535.89199999993</v>
      </c>
      <c r="I175" s="59">
        <v>0</v>
      </c>
      <c r="J175" s="398">
        <v>580.27903000000015</v>
      </c>
      <c r="K175" s="414">
        <f t="shared" si="11"/>
        <v>1070.814922</v>
      </c>
      <c r="L175" s="397"/>
      <c r="M175" s="397"/>
      <c r="N175" s="397">
        <f t="shared" si="10"/>
        <v>1070.814922</v>
      </c>
      <c r="O175" s="399">
        <f t="shared" si="12"/>
        <v>987.2</v>
      </c>
      <c r="P175" s="196" t="s">
        <v>226</v>
      </c>
      <c r="Q175" s="46">
        <v>1</v>
      </c>
      <c r="R175" s="218" t="s">
        <v>247</v>
      </c>
      <c r="S175" s="257">
        <v>180000</v>
      </c>
      <c r="T175" s="196"/>
      <c r="U175" s="46"/>
      <c r="V175" s="46"/>
      <c r="W175" s="257"/>
      <c r="X175" s="46"/>
      <c r="Y175" s="46"/>
      <c r="Z175" s="46"/>
      <c r="AA175" s="257"/>
      <c r="AB175" s="196"/>
      <c r="AC175" s="46"/>
      <c r="AD175" s="167"/>
      <c r="AE175" s="257"/>
      <c r="AF175" s="196"/>
      <c r="AG175" s="46"/>
      <c r="AH175" s="46"/>
      <c r="AI175" s="196"/>
      <c r="AJ175" s="400"/>
      <c r="AK175" s="196"/>
      <c r="AL175" s="46"/>
      <c r="AM175" s="218"/>
      <c r="AN175" s="257"/>
      <c r="AO175" s="196"/>
      <c r="AP175" s="46"/>
      <c r="AQ175" s="257"/>
      <c r="AR175" s="196"/>
      <c r="AS175" s="46"/>
      <c r="AT175" s="257"/>
      <c r="AU175" s="196" t="s">
        <v>226</v>
      </c>
      <c r="AV175" s="46">
        <v>250</v>
      </c>
      <c r="AW175" s="257">
        <f>AV175*3000</f>
        <v>750000</v>
      </c>
      <c r="AX175" s="196" t="s">
        <v>225</v>
      </c>
      <c r="AY175" s="46">
        <v>44</v>
      </c>
      <c r="AZ175" s="257">
        <f>AY175*1300</f>
        <v>57200</v>
      </c>
      <c r="BA175" s="46"/>
      <c r="BB175" s="46"/>
      <c r="BC175" s="46"/>
      <c r="BD175" s="46"/>
      <c r="BE175" s="46"/>
      <c r="BF175" s="257"/>
      <c r="BG175" s="46"/>
      <c r="BH175" s="46"/>
      <c r="BI175" s="46"/>
      <c r="BJ175" s="196"/>
      <c r="BK175" s="46"/>
      <c r="BL175" s="46"/>
      <c r="BM175" s="46"/>
      <c r="BN175" s="46"/>
      <c r="BO175" s="257"/>
      <c r="BP175" s="196"/>
      <c r="BQ175" s="191"/>
      <c r="BR175" s="257"/>
      <c r="BS175" s="46"/>
      <c r="BT175" s="46"/>
      <c r="BU175" s="257"/>
      <c r="BV175" s="196"/>
      <c r="BW175" s="46"/>
      <c r="BX175" s="46"/>
      <c r="BY175" s="46"/>
      <c r="BZ175" s="46"/>
      <c r="CA175" s="257"/>
      <c r="CB175" s="196"/>
      <c r="CC175" s="46"/>
      <c r="CD175" s="257"/>
      <c r="CE175" s="46"/>
      <c r="CF175" s="46"/>
      <c r="CG175" s="257"/>
      <c r="CH175" s="46"/>
      <c r="CI175" s="46"/>
      <c r="CJ175" s="46"/>
      <c r="CK175" s="46"/>
      <c r="CL175" s="46"/>
      <c r="CM175" s="257"/>
      <c r="CN175" s="46"/>
      <c r="CO175" s="376"/>
      <c r="CP175" s="257"/>
      <c r="CQ175" s="196"/>
      <c r="CR175" s="286"/>
      <c r="CS175" s="257">
        <f t="shared" si="14"/>
        <v>0</v>
      </c>
      <c r="CT175" s="218"/>
      <c r="CU175" s="317"/>
      <c r="CV175" s="391">
        <f t="shared" si="13"/>
        <v>0</v>
      </c>
      <c r="CW175" s="41"/>
      <c r="CX175" s="41"/>
      <c r="CY175" s="256"/>
      <c r="CZ175" s="308"/>
      <c r="DA175" s="308"/>
      <c r="DB175" s="420"/>
      <c r="DC175" s="41"/>
      <c r="DD175" s="41"/>
      <c r="DE175" s="256"/>
      <c r="DF175" s="41"/>
      <c r="DG175" s="41"/>
      <c r="DH175" s="391"/>
      <c r="DI175" s="41"/>
      <c r="DJ175" s="41"/>
      <c r="DK175" s="203"/>
      <c r="DL175" s="256"/>
      <c r="DM175" s="41"/>
      <c r="DN175" s="41"/>
      <c r="DO175" s="41"/>
      <c r="DP175" s="420"/>
      <c r="DQ175" s="41"/>
      <c r="DR175" s="41"/>
      <c r="DS175" s="203"/>
      <c r="DT175" s="256"/>
      <c r="DU175" s="46"/>
      <c r="DV175" s="46"/>
      <c r="DW175" s="196"/>
      <c r="DX175" s="391"/>
      <c r="DY175" s="41"/>
      <c r="DZ175" s="41"/>
      <c r="EA175" s="41"/>
      <c r="EB175" s="69"/>
      <c r="EC175" s="41"/>
      <c r="ED175" s="41"/>
      <c r="EE175" s="41"/>
      <c r="EF175" s="420"/>
      <c r="EG175" s="41"/>
      <c r="EH175" s="41"/>
      <c r="EI175" s="41"/>
      <c r="EJ175" s="256"/>
      <c r="EK175" s="41"/>
      <c r="EL175" s="41"/>
      <c r="EM175" s="41"/>
      <c r="EN175" s="391"/>
    </row>
    <row r="176" spans="1:144" ht="25.5">
      <c r="A176" s="45">
        <v>169</v>
      </c>
      <c r="B176" s="53" t="s">
        <v>301</v>
      </c>
      <c r="C176" s="45">
        <v>3</v>
      </c>
      <c r="D176" s="55" t="s">
        <v>270</v>
      </c>
      <c r="E176" s="54">
        <v>11</v>
      </c>
      <c r="F176" s="56">
        <v>3</v>
      </c>
      <c r="G176" s="397">
        <f>531545.184/1000</f>
        <v>531.54518400000006</v>
      </c>
      <c r="H176" s="59">
        <v>531545.18400000001</v>
      </c>
      <c r="I176" s="59">
        <v>0</v>
      </c>
      <c r="J176" s="398">
        <v>20.904390000000149</v>
      </c>
      <c r="K176" s="414">
        <f t="shared" si="11"/>
        <v>552.44957400000021</v>
      </c>
      <c r="L176" s="397"/>
      <c r="M176" s="397"/>
      <c r="N176" s="397">
        <f t="shared" si="10"/>
        <v>552.44957400000021</v>
      </c>
      <c r="O176" s="399">
        <f t="shared" si="12"/>
        <v>540</v>
      </c>
      <c r="P176" s="196"/>
      <c r="Q176" s="46"/>
      <c r="R176" s="218"/>
      <c r="S176" s="257"/>
      <c r="T176" s="196"/>
      <c r="U176" s="46"/>
      <c r="V176" s="46"/>
      <c r="W176" s="257"/>
      <c r="X176" s="46"/>
      <c r="Y176" s="46"/>
      <c r="Z176" s="167"/>
      <c r="AA176" s="257"/>
      <c r="AB176" s="196"/>
      <c r="AC176" s="46"/>
      <c r="AD176" s="167"/>
      <c r="AE176" s="257"/>
      <c r="AF176" s="196" t="s">
        <v>248</v>
      </c>
      <c r="AG176" s="46" t="s">
        <v>310</v>
      </c>
      <c r="AH176" s="46">
        <v>300</v>
      </c>
      <c r="AI176" s="218" t="s">
        <v>696</v>
      </c>
      <c r="AJ176" s="400">
        <f>AH176*1800</f>
        <v>540000</v>
      </c>
      <c r="AK176" s="196"/>
      <c r="AL176" s="46"/>
      <c r="AM176" s="218"/>
      <c r="AN176" s="257"/>
      <c r="AO176" s="196"/>
      <c r="AP176" s="46"/>
      <c r="AQ176" s="257"/>
      <c r="AR176" s="196"/>
      <c r="AS176" s="46"/>
      <c r="AT176" s="257"/>
      <c r="AU176" s="196"/>
      <c r="AV176" s="46"/>
      <c r="AW176" s="257"/>
      <c r="AX176" s="196"/>
      <c r="AY176" s="167"/>
      <c r="AZ176" s="257"/>
      <c r="BA176" s="46"/>
      <c r="BB176" s="46"/>
      <c r="BC176" s="46"/>
      <c r="BD176" s="46"/>
      <c r="BE176" s="46"/>
      <c r="BF176" s="257"/>
      <c r="BG176" s="46"/>
      <c r="BH176" s="46"/>
      <c r="BI176" s="46"/>
      <c r="BJ176" s="196"/>
      <c r="BK176" s="46"/>
      <c r="BL176" s="46"/>
      <c r="BM176" s="46"/>
      <c r="BN176" s="46"/>
      <c r="BO176" s="257"/>
      <c r="BP176" s="196"/>
      <c r="BQ176" s="167"/>
      <c r="BR176" s="257"/>
      <c r="BS176" s="46"/>
      <c r="BT176" s="46"/>
      <c r="BU176" s="257"/>
      <c r="BV176" s="196"/>
      <c r="BW176" s="46"/>
      <c r="BX176" s="257"/>
      <c r="BY176" s="46"/>
      <c r="BZ176" s="46"/>
      <c r="CA176" s="257"/>
      <c r="CB176" s="196"/>
      <c r="CC176" s="46"/>
      <c r="CD176" s="257"/>
      <c r="CE176" s="46"/>
      <c r="CF176" s="46"/>
      <c r="CG176" s="257"/>
      <c r="CH176" s="46"/>
      <c r="CI176" s="46"/>
      <c r="CJ176" s="46"/>
      <c r="CK176" s="46"/>
      <c r="CL176" s="46"/>
      <c r="CM176" s="257"/>
      <c r="CN176" s="46"/>
      <c r="CO176" s="376"/>
      <c r="CP176" s="257"/>
      <c r="CQ176" s="196"/>
      <c r="CR176" s="286"/>
      <c r="CS176" s="257">
        <f t="shared" si="14"/>
        <v>0</v>
      </c>
      <c r="CT176" s="218"/>
      <c r="CU176" s="317"/>
      <c r="CV176" s="391">
        <f t="shared" si="13"/>
        <v>0</v>
      </c>
      <c r="CW176" s="41"/>
      <c r="CX176" s="41"/>
      <c r="CY176" s="256"/>
      <c r="CZ176" s="308"/>
      <c r="DA176" s="308"/>
      <c r="DB176" s="420"/>
      <c r="DC176" s="41"/>
      <c r="DD176" s="41"/>
      <c r="DE176" s="256"/>
      <c r="DF176" s="41"/>
      <c r="DG176" s="41"/>
      <c r="DH176" s="391"/>
      <c r="DI176" s="41"/>
      <c r="DJ176" s="41"/>
      <c r="DK176" s="203"/>
      <c r="DL176" s="256"/>
      <c r="DM176" s="41"/>
      <c r="DN176" s="41"/>
      <c r="DO176" s="41"/>
      <c r="DP176" s="420"/>
      <c r="DQ176" s="41"/>
      <c r="DR176" s="41"/>
      <c r="DS176" s="203"/>
      <c r="DT176" s="256"/>
      <c r="DU176" s="46"/>
      <c r="DV176" s="46"/>
      <c r="DW176" s="196"/>
      <c r="DX176" s="391"/>
      <c r="DY176" s="41"/>
      <c r="DZ176" s="41"/>
      <c r="EA176" s="41"/>
      <c r="EB176" s="69"/>
      <c r="EC176" s="41"/>
      <c r="ED176" s="41"/>
      <c r="EE176" s="41"/>
      <c r="EF176" s="420"/>
      <c r="EG176" s="41"/>
      <c r="EH176" s="41"/>
      <c r="EI176" s="41"/>
      <c r="EJ176" s="256"/>
      <c r="EK176" s="41"/>
      <c r="EL176" s="41"/>
      <c r="EM176" s="41"/>
      <c r="EN176" s="391"/>
    </row>
    <row r="177" spans="1:144" ht="60">
      <c r="A177" s="45">
        <v>170</v>
      </c>
      <c r="B177" s="53" t="s">
        <v>301</v>
      </c>
      <c r="C177" s="45">
        <v>3</v>
      </c>
      <c r="D177" s="55" t="s">
        <v>270</v>
      </c>
      <c r="E177" s="54">
        <v>13</v>
      </c>
      <c r="F177" s="56">
        <v>3</v>
      </c>
      <c r="G177" s="397">
        <f>573023.52/1000</f>
        <v>573.02351999999996</v>
      </c>
      <c r="H177" s="59">
        <v>573023.52</v>
      </c>
      <c r="I177" s="59">
        <v>0</v>
      </c>
      <c r="J177" s="398">
        <v>359.79008999999985</v>
      </c>
      <c r="K177" s="414">
        <f t="shared" si="11"/>
        <v>932.81360999999981</v>
      </c>
      <c r="L177" s="397"/>
      <c r="M177" s="397"/>
      <c r="N177" s="397">
        <f t="shared" si="10"/>
        <v>932.81360999999981</v>
      </c>
      <c r="O177" s="399">
        <f t="shared" si="12"/>
        <v>777</v>
      </c>
      <c r="P177" s="196" t="s">
        <v>254</v>
      </c>
      <c r="Q177" s="46">
        <v>2</v>
      </c>
      <c r="R177" s="218" t="s">
        <v>697</v>
      </c>
      <c r="S177" s="257">
        <v>260000</v>
      </c>
      <c r="T177" s="196"/>
      <c r="U177" s="46"/>
      <c r="V177" s="46"/>
      <c r="W177" s="257"/>
      <c r="X177" s="46"/>
      <c r="Y177" s="46"/>
      <c r="Z177" s="46"/>
      <c r="AA177" s="257"/>
      <c r="AB177" s="196"/>
      <c r="AC177" s="46"/>
      <c r="AD177" s="167"/>
      <c r="AE177" s="257"/>
      <c r="AF177" s="196"/>
      <c r="AG177" s="46"/>
      <c r="AH177" s="46"/>
      <c r="AI177" s="196"/>
      <c r="AJ177" s="400"/>
      <c r="AK177" s="196"/>
      <c r="AL177" s="46"/>
      <c r="AM177" s="218"/>
      <c r="AN177" s="257"/>
      <c r="AO177" s="196" t="s">
        <v>254</v>
      </c>
      <c r="AP177" s="46">
        <v>22</v>
      </c>
      <c r="AQ177" s="257">
        <f>AP177*2000</f>
        <v>44000</v>
      </c>
      <c r="AR177" s="196"/>
      <c r="AS177" s="46"/>
      <c r="AT177" s="257"/>
      <c r="AU177" s="196" t="s">
        <v>227</v>
      </c>
      <c r="AV177" s="167" t="s">
        <v>698</v>
      </c>
      <c r="AW177" s="257">
        <f>40000+216*500+25000+40*3500</f>
        <v>313000</v>
      </c>
      <c r="AX177" s="196"/>
      <c r="AY177" s="46"/>
      <c r="AZ177" s="257"/>
      <c r="BA177" s="46"/>
      <c r="BB177" s="46"/>
      <c r="BC177" s="46"/>
      <c r="BD177" s="46"/>
      <c r="BE177" s="46"/>
      <c r="BF177" s="257"/>
      <c r="BG177" s="46"/>
      <c r="BH177" s="46"/>
      <c r="BI177" s="46"/>
      <c r="BJ177" s="196"/>
      <c r="BK177" s="46"/>
      <c r="BL177" s="46"/>
      <c r="BM177" s="46"/>
      <c r="BN177" s="46"/>
      <c r="BO177" s="257"/>
      <c r="BP177" s="196" t="s">
        <v>248</v>
      </c>
      <c r="BQ177" s="190" t="s">
        <v>699</v>
      </c>
      <c r="BR177" s="257">
        <f>200*800</f>
        <v>160000</v>
      </c>
      <c r="BS177" s="46"/>
      <c r="BT177" s="46"/>
      <c r="BU177" s="257"/>
      <c r="BV177" s="196"/>
      <c r="BW177" s="46"/>
      <c r="BX177" s="46"/>
      <c r="BY177" s="46"/>
      <c r="BZ177" s="46"/>
      <c r="CA177" s="257"/>
      <c r="CB177" s="196"/>
      <c r="CC177" s="46"/>
      <c r="CD177" s="257"/>
      <c r="CE177" s="46"/>
      <c r="CF177" s="46"/>
      <c r="CG177" s="257"/>
      <c r="CH177" s="46"/>
      <c r="CI177" s="46"/>
      <c r="CJ177" s="46"/>
      <c r="CK177" s="46"/>
      <c r="CL177" s="46"/>
      <c r="CM177" s="257"/>
      <c r="CN177" s="46"/>
      <c r="CO177" s="376"/>
      <c r="CP177" s="257"/>
      <c r="CQ177" s="196"/>
      <c r="CR177" s="286"/>
      <c r="CS177" s="257">
        <f t="shared" si="14"/>
        <v>0</v>
      </c>
      <c r="CT177" s="218"/>
      <c r="CU177" s="317"/>
      <c r="CV177" s="391">
        <f t="shared" si="13"/>
        <v>0</v>
      </c>
      <c r="CW177" s="41"/>
      <c r="CX177" s="41"/>
      <c r="CY177" s="256"/>
      <c r="CZ177" s="308"/>
      <c r="DA177" s="308"/>
      <c r="DB177" s="420"/>
      <c r="DC177" s="41"/>
      <c r="DD177" s="41"/>
      <c r="DE177" s="256"/>
      <c r="DF177" s="41"/>
      <c r="DG177" s="41"/>
      <c r="DH177" s="391"/>
      <c r="DI177" s="41"/>
      <c r="DJ177" s="41"/>
      <c r="DK177" s="203"/>
      <c r="DL177" s="256"/>
      <c r="DM177" s="41"/>
      <c r="DN177" s="41"/>
      <c r="DO177" s="41"/>
      <c r="DP177" s="420"/>
      <c r="DQ177" s="41"/>
      <c r="DR177" s="41"/>
      <c r="DS177" s="203"/>
      <c r="DT177" s="256"/>
      <c r="DU177" s="46"/>
      <c r="DV177" s="46"/>
      <c r="DW177" s="196"/>
      <c r="DX177" s="391"/>
      <c r="DY177" s="41"/>
      <c r="DZ177" s="41"/>
      <c r="EA177" s="41"/>
      <c r="EB177" s="69"/>
      <c r="EC177" s="41"/>
      <c r="ED177" s="41"/>
      <c r="EE177" s="41"/>
      <c r="EF177" s="420"/>
      <c r="EG177" s="41"/>
      <c r="EH177" s="41"/>
      <c r="EI177" s="41"/>
      <c r="EJ177" s="256"/>
      <c r="EK177" s="41"/>
      <c r="EL177" s="41"/>
      <c r="EM177" s="41"/>
      <c r="EN177" s="391"/>
    </row>
    <row r="178" spans="1:144" ht="25.5">
      <c r="A178" s="45">
        <v>171</v>
      </c>
      <c r="B178" s="53" t="s">
        <v>301</v>
      </c>
      <c r="C178" s="45">
        <v>3</v>
      </c>
      <c r="D178" s="53" t="s">
        <v>271</v>
      </c>
      <c r="E178" s="54" t="s">
        <v>272</v>
      </c>
      <c r="F178" s="56">
        <v>5</v>
      </c>
      <c r="G178" s="397">
        <f>293571.432/1000</f>
        <v>293.57143199999996</v>
      </c>
      <c r="H178" s="59">
        <v>293571.43200000003</v>
      </c>
      <c r="I178" s="59">
        <v>0</v>
      </c>
      <c r="J178" s="398">
        <v>829.25363000000016</v>
      </c>
      <c r="K178" s="414">
        <f t="shared" si="11"/>
        <v>1122.8250620000001</v>
      </c>
      <c r="L178" s="397"/>
      <c r="M178" s="397"/>
      <c r="N178" s="397">
        <f t="shared" si="10"/>
        <v>1122.8250620000001</v>
      </c>
      <c r="O178" s="399">
        <f t="shared" si="12"/>
        <v>0</v>
      </c>
      <c r="P178" s="196"/>
      <c r="Q178" s="46"/>
      <c r="R178" s="218"/>
      <c r="S178" s="257"/>
      <c r="T178" s="196"/>
      <c r="U178" s="46"/>
      <c r="V178" s="46"/>
      <c r="W178" s="257"/>
      <c r="X178" s="46"/>
      <c r="Y178" s="46"/>
      <c r="Z178" s="46"/>
      <c r="AA178" s="257"/>
      <c r="AB178" s="196"/>
      <c r="AC178" s="46"/>
      <c r="AD178" s="167"/>
      <c r="AE178" s="257"/>
      <c r="AF178" s="196"/>
      <c r="AG178" s="46"/>
      <c r="AH178" s="46"/>
      <c r="AI178" s="196"/>
      <c r="AJ178" s="400"/>
      <c r="AK178" s="196"/>
      <c r="AL178" s="46"/>
      <c r="AM178" s="218"/>
      <c r="AN178" s="257"/>
      <c r="AO178" s="196"/>
      <c r="AP178" s="46"/>
      <c r="AQ178" s="257"/>
      <c r="AR178" s="196"/>
      <c r="AS178" s="46"/>
      <c r="AT178" s="257"/>
      <c r="AU178" s="196"/>
      <c r="AV178" s="46"/>
      <c r="AW178" s="257"/>
      <c r="AX178" s="196"/>
      <c r="AY178" s="46"/>
      <c r="AZ178" s="257"/>
      <c r="BA178" s="46"/>
      <c r="BB178" s="46"/>
      <c r="BC178" s="46"/>
      <c r="BD178" s="46"/>
      <c r="BE178" s="46"/>
      <c r="BF178" s="257"/>
      <c r="BG178" s="46"/>
      <c r="BH178" s="46"/>
      <c r="BI178" s="46"/>
      <c r="BJ178" s="196"/>
      <c r="BK178" s="46"/>
      <c r="BL178" s="46"/>
      <c r="BM178" s="46"/>
      <c r="BN178" s="46"/>
      <c r="BO178" s="257"/>
      <c r="BP178" s="196"/>
      <c r="BQ178" s="190"/>
      <c r="BR178" s="257"/>
      <c r="BS178" s="46"/>
      <c r="BT178" s="46"/>
      <c r="BU178" s="257"/>
      <c r="BV178" s="196"/>
      <c r="BW178" s="46"/>
      <c r="BX178" s="46"/>
      <c r="BY178" s="46"/>
      <c r="BZ178" s="46"/>
      <c r="CA178" s="257"/>
      <c r="CB178" s="196"/>
      <c r="CC178" s="46"/>
      <c r="CD178" s="257"/>
      <c r="CE178" s="46"/>
      <c r="CF178" s="46"/>
      <c r="CG178" s="257"/>
      <c r="CH178" s="46"/>
      <c r="CI178" s="46"/>
      <c r="CJ178" s="46"/>
      <c r="CK178" s="46"/>
      <c r="CL178" s="46"/>
      <c r="CM178" s="257"/>
      <c r="CN178" s="46"/>
      <c r="CO178" s="376"/>
      <c r="CP178" s="257"/>
      <c r="CQ178" s="196"/>
      <c r="CR178" s="286"/>
      <c r="CS178" s="257">
        <f t="shared" si="14"/>
        <v>0</v>
      </c>
      <c r="CT178" s="218"/>
      <c r="CU178" s="317"/>
      <c r="CV178" s="391">
        <f t="shared" si="13"/>
        <v>0</v>
      </c>
      <c r="CW178" s="41"/>
      <c r="CX178" s="41"/>
      <c r="CY178" s="256"/>
      <c r="CZ178" s="308"/>
      <c r="DA178" s="308"/>
      <c r="DB178" s="420"/>
      <c r="DC178" s="41"/>
      <c r="DD178" s="41"/>
      <c r="DE178" s="256"/>
      <c r="DF178" s="41"/>
      <c r="DG178" s="41"/>
      <c r="DH178" s="391"/>
      <c r="DI178" s="41"/>
      <c r="DJ178" s="41"/>
      <c r="DK178" s="203"/>
      <c r="DL178" s="256"/>
      <c r="DM178" s="41"/>
      <c r="DN178" s="41"/>
      <c r="DO178" s="41"/>
      <c r="DP178" s="420"/>
      <c r="DQ178" s="41"/>
      <c r="DR178" s="41"/>
      <c r="DS178" s="203"/>
      <c r="DT178" s="256"/>
      <c r="DU178" s="46"/>
      <c r="DV178" s="46"/>
      <c r="DW178" s="196"/>
      <c r="DX178" s="391"/>
      <c r="DY178" s="41"/>
      <c r="DZ178" s="41"/>
      <c r="EA178" s="41"/>
      <c r="EB178" s="69"/>
      <c r="EC178" s="41"/>
      <c r="ED178" s="41"/>
      <c r="EE178" s="41"/>
      <c r="EF178" s="420"/>
      <c r="EG178" s="41"/>
      <c r="EH178" s="41"/>
      <c r="EI178" s="41"/>
      <c r="EJ178" s="256"/>
      <c r="EK178" s="41"/>
      <c r="EL178" s="41"/>
      <c r="EM178" s="41"/>
      <c r="EN178" s="391"/>
    </row>
    <row r="179" spans="1:144" ht="25.5">
      <c r="A179" s="45">
        <v>172</v>
      </c>
      <c r="B179" s="53" t="s">
        <v>301</v>
      </c>
      <c r="C179" s="45">
        <v>3</v>
      </c>
      <c r="D179" s="53" t="s">
        <v>271</v>
      </c>
      <c r="E179" s="54">
        <v>15</v>
      </c>
      <c r="F179" s="56">
        <v>5</v>
      </c>
      <c r="G179" s="397">
        <f>291725.28/1000</f>
        <v>291.72528000000005</v>
      </c>
      <c r="H179" s="59">
        <v>291725.27999999997</v>
      </c>
      <c r="I179" s="59">
        <v>0</v>
      </c>
      <c r="J179" s="398">
        <v>549.12154999999996</v>
      </c>
      <c r="K179" s="414">
        <f t="shared" si="11"/>
        <v>840.84682999999995</v>
      </c>
      <c r="L179" s="397"/>
      <c r="M179" s="397"/>
      <c r="N179" s="397">
        <f t="shared" si="10"/>
        <v>840.84682999999995</v>
      </c>
      <c r="O179" s="399">
        <f t="shared" si="12"/>
        <v>684</v>
      </c>
      <c r="P179" s="196" t="s">
        <v>247</v>
      </c>
      <c r="Q179" s="46">
        <v>1</v>
      </c>
      <c r="R179" s="218" t="s">
        <v>523</v>
      </c>
      <c r="S179" s="257">
        <v>180000</v>
      </c>
      <c r="T179" s="196"/>
      <c r="U179" s="46"/>
      <c r="V179" s="46"/>
      <c r="W179" s="257"/>
      <c r="X179" s="46"/>
      <c r="Y179" s="46"/>
      <c r="Z179" s="46"/>
      <c r="AA179" s="257"/>
      <c r="AB179" s="196"/>
      <c r="AC179" s="46"/>
      <c r="AD179" s="167"/>
      <c r="AE179" s="257"/>
      <c r="AF179" s="237"/>
      <c r="AG179" s="46"/>
      <c r="AH179" s="46"/>
      <c r="AI179" s="196"/>
      <c r="AJ179" s="400"/>
      <c r="AK179" s="196"/>
      <c r="AL179" s="46"/>
      <c r="AM179" s="218"/>
      <c r="AN179" s="257"/>
      <c r="AO179" s="196"/>
      <c r="AP179" s="46"/>
      <c r="AQ179" s="257"/>
      <c r="AR179" s="196"/>
      <c r="AS179" s="46"/>
      <c r="AT179" s="257"/>
      <c r="AU179" s="196" t="s">
        <v>247</v>
      </c>
      <c r="AV179" s="46">
        <v>168</v>
      </c>
      <c r="AW179" s="257">
        <f>AV179*3000</f>
        <v>504000</v>
      </c>
      <c r="AX179" s="196"/>
      <c r="AY179" s="46"/>
      <c r="AZ179" s="257"/>
      <c r="BA179" s="46"/>
      <c r="BB179" s="46"/>
      <c r="BC179" s="46"/>
      <c r="BD179" s="46"/>
      <c r="BE179" s="46"/>
      <c r="BF179" s="257"/>
      <c r="BG179" s="46"/>
      <c r="BH179" s="46"/>
      <c r="BI179" s="46"/>
      <c r="BJ179" s="196"/>
      <c r="BK179" s="46"/>
      <c r="BL179" s="46"/>
      <c r="BM179" s="46"/>
      <c r="BN179" s="46"/>
      <c r="BO179" s="257"/>
      <c r="BP179" s="196"/>
      <c r="BQ179" s="167"/>
      <c r="BR179" s="257"/>
      <c r="BS179" s="46"/>
      <c r="BT179" s="46"/>
      <c r="BU179" s="257"/>
      <c r="BV179" s="196"/>
      <c r="BW179" s="46"/>
      <c r="BX179" s="257"/>
      <c r="BY179" s="46"/>
      <c r="BZ179" s="46"/>
      <c r="CA179" s="257"/>
      <c r="CB179" s="196"/>
      <c r="CC179" s="46"/>
      <c r="CD179" s="257"/>
      <c r="CE179" s="46"/>
      <c r="CF179" s="46"/>
      <c r="CG179" s="257"/>
      <c r="CH179" s="46"/>
      <c r="CI179" s="46"/>
      <c r="CJ179" s="46"/>
      <c r="CK179" s="46"/>
      <c r="CL179" s="46"/>
      <c r="CM179" s="257"/>
      <c r="CN179" s="46"/>
      <c r="CO179" s="376"/>
      <c r="CP179" s="257"/>
      <c r="CQ179" s="196"/>
      <c r="CR179" s="286"/>
      <c r="CS179" s="257">
        <f t="shared" si="14"/>
        <v>0</v>
      </c>
      <c r="CT179" s="196"/>
      <c r="CU179" s="317"/>
      <c r="CV179" s="391">
        <f t="shared" si="13"/>
        <v>0</v>
      </c>
      <c r="CW179" s="41"/>
      <c r="CX179" s="41"/>
      <c r="CY179" s="256"/>
      <c r="CZ179" s="308"/>
      <c r="DA179" s="308"/>
      <c r="DB179" s="420"/>
      <c r="DC179" s="41"/>
      <c r="DD179" s="41"/>
      <c r="DE179" s="256"/>
      <c r="DF179" s="41"/>
      <c r="DG179" s="41"/>
      <c r="DH179" s="391"/>
      <c r="DI179" s="41"/>
      <c r="DJ179" s="41"/>
      <c r="DK179" s="203"/>
      <c r="DL179" s="256"/>
      <c r="DM179" s="41"/>
      <c r="DN179" s="41"/>
      <c r="DO179" s="41"/>
      <c r="DP179" s="420"/>
      <c r="DQ179" s="41"/>
      <c r="DR179" s="41"/>
      <c r="DS179" s="203"/>
      <c r="DT179" s="256"/>
      <c r="DU179" s="46"/>
      <c r="DV179" s="46"/>
      <c r="DW179" s="196"/>
      <c r="DX179" s="391"/>
      <c r="DY179" s="41"/>
      <c r="DZ179" s="41"/>
      <c r="EA179" s="41"/>
      <c r="EB179" s="69"/>
      <c r="EC179" s="41"/>
      <c r="ED179" s="41"/>
      <c r="EE179" s="41"/>
      <c r="EF179" s="420"/>
      <c r="EG179" s="41"/>
      <c r="EH179" s="41"/>
      <c r="EI179" s="41"/>
      <c r="EJ179" s="256"/>
      <c r="EK179" s="41"/>
      <c r="EL179" s="41"/>
      <c r="EM179" s="41"/>
      <c r="EN179" s="391"/>
    </row>
    <row r="180" spans="1:144" ht="25.5">
      <c r="A180" s="45">
        <v>173</v>
      </c>
      <c r="B180" s="53" t="s">
        <v>301</v>
      </c>
      <c r="C180" s="45">
        <v>3</v>
      </c>
      <c r="D180" s="53" t="s">
        <v>271</v>
      </c>
      <c r="E180" s="54">
        <v>17</v>
      </c>
      <c r="F180" s="56">
        <v>5</v>
      </c>
      <c r="G180" s="397">
        <f>294220.08/1000</f>
        <v>294.22008</v>
      </c>
      <c r="H180" s="59">
        <v>294220.07999999996</v>
      </c>
      <c r="I180" s="59">
        <v>0</v>
      </c>
      <c r="J180" s="398">
        <v>671.27702999999997</v>
      </c>
      <c r="K180" s="414">
        <f t="shared" si="11"/>
        <v>965.49711000000002</v>
      </c>
      <c r="L180" s="397"/>
      <c r="M180" s="397"/>
      <c r="N180" s="397">
        <f t="shared" si="10"/>
        <v>965.49711000000002</v>
      </c>
      <c r="O180" s="399">
        <f t="shared" si="12"/>
        <v>26</v>
      </c>
      <c r="P180" s="196"/>
      <c r="Q180" s="46"/>
      <c r="R180" s="218"/>
      <c r="S180" s="257"/>
      <c r="T180" s="196"/>
      <c r="U180" s="46"/>
      <c r="V180" s="46"/>
      <c r="W180" s="257"/>
      <c r="X180" s="46"/>
      <c r="Y180" s="46"/>
      <c r="Z180" s="46"/>
      <c r="AA180" s="257"/>
      <c r="AB180" s="196"/>
      <c r="AC180" s="46"/>
      <c r="AD180" s="167"/>
      <c r="AE180" s="257"/>
      <c r="AF180" s="196" t="s">
        <v>254</v>
      </c>
      <c r="AG180" s="46" t="s">
        <v>324</v>
      </c>
      <c r="AH180" s="46">
        <v>20</v>
      </c>
      <c r="AI180" s="196" t="s">
        <v>855</v>
      </c>
      <c r="AJ180" s="400">
        <f>AH180*1300</f>
        <v>26000</v>
      </c>
      <c r="AK180" s="196"/>
      <c r="AL180" s="46"/>
      <c r="AM180" s="218"/>
      <c r="AN180" s="257"/>
      <c r="AO180" s="196"/>
      <c r="AP180" s="46"/>
      <c r="AQ180" s="257"/>
      <c r="AR180" s="196"/>
      <c r="AS180" s="46"/>
      <c r="AT180" s="257"/>
      <c r="AU180" s="196"/>
      <c r="AV180" s="46"/>
      <c r="AW180" s="257"/>
      <c r="AX180" s="196"/>
      <c r="AY180" s="46"/>
      <c r="AZ180" s="257"/>
      <c r="BA180" s="46"/>
      <c r="BB180" s="46"/>
      <c r="BC180" s="46"/>
      <c r="BD180" s="46"/>
      <c r="BE180" s="46"/>
      <c r="BF180" s="257"/>
      <c r="BG180" s="46"/>
      <c r="BH180" s="46"/>
      <c r="BI180" s="46"/>
      <c r="BJ180" s="196"/>
      <c r="BK180" s="46"/>
      <c r="BL180" s="46"/>
      <c r="BM180" s="46"/>
      <c r="BN180" s="46"/>
      <c r="BO180" s="257"/>
      <c r="BP180" s="196"/>
      <c r="BQ180" s="191"/>
      <c r="BR180" s="257"/>
      <c r="BS180" s="46"/>
      <c r="BT180" s="46"/>
      <c r="BU180" s="257"/>
      <c r="BV180" s="196"/>
      <c r="BW180" s="46"/>
      <c r="BX180" s="46"/>
      <c r="BY180" s="46"/>
      <c r="BZ180" s="46"/>
      <c r="CA180" s="257"/>
      <c r="CB180" s="196"/>
      <c r="CC180" s="46"/>
      <c r="CD180" s="257"/>
      <c r="CE180" s="46"/>
      <c r="CF180" s="46"/>
      <c r="CG180" s="257"/>
      <c r="CH180" s="46"/>
      <c r="CI180" s="46"/>
      <c r="CJ180" s="46"/>
      <c r="CK180" s="46"/>
      <c r="CL180" s="46"/>
      <c r="CM180" s="257"/>
      <c r="CN180" s="46"/>
      <c r="CO180" s="376"/>
      <c r="CP180" s="257"/>
      <c r="CQ180" s="196"/>
      <c r="CR180" s="286"/>
      <c r="CS180" s="257">
        <f t="shared" si="14"/>
        <v>0</v>
      </c>
      <c r="CT180" s="218"/>
      <c r="CU180" s="317"/>
      <c r="CV180" s="391">
        <f t="shared" si="13"/>
        <v>0</v>
      </c>
      <c r="CW180" s="41"/>
      <c r="CX180" s="41"/>
      <c r="CY180" s="256"/>
      <c r="CZ180" s="308"/>
      <c r="DA180" s="308"/>
      <c r="DB180" s="420"/>
      <c r="DC180" s="41"/>
      <c r="DD180" s="41"/>
      <c r="DE180" s="256"/>
      <c r="DF180" s="41"/>
      <c r="DG180" s="41"/>
      <c r="DH180" s="391"/>
      <c r="DI180" s="41"/>
      <c r="DJ180" s="41"/>
      <c r="DK180" s="203"/>
      <c r="DL180" s="256"/>
      <c r="DM180" s="41"/>
      <c r="DN180" s="41"/>
      <c r="DO180" s="41"/>
      <c r="DP180" s="420"/>
      <c r="DQ180" s="41"/>
      <c r="DR180" s="41"/>
      <c r="DS180" s="203"/>
      <c r="DT180" s="256"/>
      <c r="DU180" s="46"/>
      <c r="DV180" s="46"/>
      <c r="DW180" s="196"/>
      <c r="DX180" s="391"/>
      <c r="DY180" s="41"/>
      <c r="DZ180" s="41"/>
      <c r="EA180" s="41"/>
      <c r="EB180" s="69"/>
      <c r="EC180" s="41"/>
      <c r="ED180" s="41"/>
      <c r="EE180" s="41"/>
      <c r="EF180" s="420"/>
      <c r="EG180" s="41"/>
      <c r="EH180" s="41"/>
      <c r="EI180" s="41"/>
      <c r="EJ180" s="256"/>
      <c r="EK180" s="41"/>
      <c r="EL180" s="41"/>
      <c r="EM180" s="41"/>
      <c r="EN180" s="391"/>
    </row>
    <row r="181" spans="1:144" ht="25.5">
      <c r="A181" s="45">
        <v>174</v>
      </c>
      <c r="B181" s="53" t="s">
        <v>301</v>
      </c>
      <c r="C181" s="45">
        <v>3</v>
      </c>
      <c r="D181" s="53" t="s">
        <v>271</v>
      </c>
      <c r="E181" s="54">
        <v>35</v>
      </c>
      <c r="F181" s="56">
        <v>5</v>
      </c>
      <c r="G181" s="397">
        <f>293188.896/1000</f>
        <v>293.188896</v>
      </c>
      <c r="H181" s="59">
        <v>293188.89600000001</v>
      </c>
      <c r="I181" s="59">
        <v>0</v>
      </c>
      <c r="J181" s="398">
        <v>233.42458999999997</v>
      </c>
      <c r="K181" s="414">
        <f t="shared" si="11"/>
        <v>526.61348599999997</v>
      </c>
      <c r="L181" s="397"/>
      <c r="M181" s="397"/>
      <c r="N181" s="397">
        <f t="shared" si="10"/>
        <v>526.61348599999997</v>
      </c>
      <c r="O181" s="399">
        <f t="shared" si="12"/>
        <v>425</v>
      </c>
      <c r="P181" s="196" t="s">
        <v>247</v>
      </c>
      <c r="Q181" s="46">
        <v>1</v>
      </c>
      <c r="R181" s="218" t="s">
        <v>225</v>
      </c>
      <c r="S181" s="257">
        <v>180000</v>
      </c>
      <c r="T181" s="196"/>
      <c r="U181" s="46"/>
      <c r="V181" s="46"/>
      <c r="W181" s="257"/>
      <c r="X181" s="46"/>
      <c r="Y181" s="46"/>
      <c r="Z181" s="46"/>
      <c r="AA181" s="257"/>
      <c r="AB181" s="196"/>
      <c r="AC181" s="46"/>
      <c r="AD181" s="167"/>
      <c r="AE181" s="257"/>
      <c r="AF181" s="196"/>
      <c r="AG181" s="46"/>
      <c r="AH181" s="46"/>
      <c r="AI181" s="218"/>
      <c r="AJ181" s="400"/>
      <c r="AK181" s="196"/>
      <c r="AL181" s="46"/>
      <c r="AM181" s="218"/>
      <c r="AN181" s="257"/>
      <c r="AO181" s="196" t="s">
        <v>254</v>
      </c>
      <c r="AP181" s="46">
        <v>88</v>
      </c>
      <c r="AQ181" s="257">
        <f>AP181*2500</f>
        <v>220000</v>
      </c>
      <c r="AR181" s="196"/>
      <c r="AS181" s="46"/>
      <c r="AT181" s="257"/>
      <c r="AU181" s="196"/>
      <c r="AV181" s="46"/>
      <c r="AW181" s="257"/>
      <c r="AX181" s="196"/>
      <c r="AY181" s="46"/>
      <c r="AZ181" s="257"/>
      <c r="BA181" s="46"/>
      <c r="BB181" s="46"/>
      <c r="BC181" s="46"/>
      <c r="BD181" s="46"/>
      <c r="BE181" s="46"/>
      <c r="BF181" s="257"/>
      <c r="BG181" s="46"/>
      <c r="BH181" s="46"/>
      <c r="BI181" s="46"/>
      <c r="BJ181" s="196"/>
      <c r="BK181" s="46"/>
      <c r="BL181" s="46"/>
      <c r="BM181" s="46"/>
      <c r="BN181" s="46"/>
      <c r="BO181" s="257"/>
      <c r="BP181" s="196"/>
      <c r="BQ181" s="46"/>
      <c r="BR181" s="257"/>
      <c r="BS181" s="46"/>
      <c r="BT181" s="46"/>
      <c r="BU181" s="257"/>
      <c r="BV181" s="196"/>
      <c r="BW181" s="46"/>
      <c r="BX181" s="46"/>
      <c r="BY181" s="46"/>
      <c r="BZ181" s="46"/>
      <c r="CA181" s="257"/>
      <c r="CB181" s="196"/>
      <c r="CC181" s="46"/>
      <c r="CD181" s="257"/>
      <c r="CE181" s="46"/>
      <c r="CF181" s="46"/>
      <c r="CG181" s="257"/>
      <c r="CH181" s="46"/>
      <c r="CI181" s="46"/>
      <c r="CJ181" s="46"/>
      <c r="CK181" s="46"/>
      <c r="CL181" s="46"/>
      <c r="CM181" s="257"/>
      <c r="CN181" s="46"/>
      <c r="CO181" s="376"/>
      <c r="CP181" s="257"/>
      <c r="CQ181" s="218" t="s">
        <v>229</v>
      </c>
      <c r="CR181" s="286" t="s">
        <v>700</v>
      </c>
      <c r="CS181" s="257">
        <f>CY181+DE181+DL181+DT181+EB181+EJ181+25000</f>
        <v>25000</v>
      </c>
      <c r="CT181" s="218"/>
      <c r="CU181" s="317"/>
      <c r="CV181" s="391">
        <f t="shared" si="13"/>
        <v>0</v>
      </c>
      <c r="CW181" s="41"/>
      <c r="CX181" s="41"/>
      <c r="CY181" s="256"/>
      <c r="CZ181" s="308"/>
      <c r="DA181" s="308"/>
      <c r="DB181" s="420"/>
      <c r="DC181" s="41"/>
      <c r="DD181" s="41"/>
      <c r="DE181" s="256"/>
      <c r="DF181" s="41"/>
      <c r="DG181" s="41"/>
      <c r="DH181" s="391"/>
      <c r="DI181" s="41"/>
      <c r="DJ181" s="41"/>
      <c r="DK181" s="203"/>
      <c r="DL181" s="256"/>
      <c r="DM181" s="41"/>
      <c r="DN181" s="41"/>
      <c r="DO181" s="41"/>
      <c r="DP181" s="420"/>
      <c r="DQ181" s="41"/>
      <c r="DR181" s="41"/>
      <c r="DS181" s="203"/>
      <c r="DT181" s="256"/>
      <c r="DU181" s="46"/>
      <c r="DV181" s="46"/>
      <c r="DW181" s="196"/>
      <c r="DX181" s="391"/>
      <c r="DY181" s="41"/>
      <c r="DZ181" s="41"/>
      <c r="EA181" s="41"/>
      <c r="EB181" s="69"/>
      <c r="EC181" s="41"/>
      <c r="ED181" s="41"/>
      <c r="EE181" s="41"/>
      <c r="EF181" s="420"/>
      <c r="EG181" s="41"/>
      <c r="EH181" s="41"/>
      <c r="EI181" s="41"/>
      <c r="EJ181" s="256"/>
      <c r="EK181" s="41"/>
      <c r="EL181" s="41"/>
      <c r="EM181" s="41"/>
      <c r="EN181" s="391"/>
    </row>
    <row r="182" spans="1:144" ht="25.5">
      <c r="A182" s="45">
        <v>175</v>
      </c>
      <c r="B182" s="53" t="s">
        <v>301</v>
      </c>
      <c r="C182" s="45">
        <v>3</v>
      </c>
      <c r="D182" s="55" t="s">
        <v>273</v>
      </c>
      <c r="E182" s="54">
        <v>3</v>
      </c>
      <c r="F182" s="56">
        <v>5</v>
      </c>
      <c r="G182" s="397">
        <f>165421.872/1000</f>
        <v>165.42187200000001</v>
      </c>
      <c r="H182" s="59">
        <v>165421.87199999997</v>
      </c>
      <c r="I182" s="59">
        <v>0</v>
      </c>
      <c r="J182" s="398">
        <v>309.9409</v>
      </c>
      <c r="K182" s="414">
        <f t="shared" si="11"/>
        <v>475.36277200000001</v>
      </c>
      <c r="L182" s="397"/>
      <c r="M182" s="397"/>
      <c r="N182" s="397">
        <f t="shared" si="10"/>
        <v>475.36277200000001</v>
      </c>
      <c r="O182" s="399">
        <f t="shared" si="12"/>
        <v>480</v>
      </c>
      <c r="P182" s="196" t="s">
        <v>529</v>
      </c>
      <c r="Q182" s="46">
        <v>3</v>
      </c>
      <c r="R182" s="218" t="s">
        <v>529</v>
      </c>
      <c r="S182" s="257">
        <f>160000*3</f>
        <v>480000</v>
      </c>
      <c r="T182" s="196"/>
      <c r="U182" s="46"/>
      <c r="V182" s="46"/>
      <c r="W182" s="257"/>
      <c r="X182" s="46"/>
      <c r="Y182" s="46"/>
      <c r="Z182" s="46"/>
      <c r="AA182" s="257"/>
      <c r="AB182" s="196"/>
      <c r="AC182" s="46"/>
      <c r="AD182" s="167"/>
      <c r="AE182" s="257"/>
      <c r="AF182" s="196"/>
      <c r="AG182" s="46"/>
      <c r="AH182" s="46"/>
      <c r="AI182" s="196"/>
      <c r="AJ182" s="400"/>
      <c r="AK182" s="196"/>
      <c r="AL182" s="46"/>
      <c r="AM182" s="218"/>
      <c r="AN182" s="257"/>
      <c r="AO182" s="248"/>
      <c r="AP182" s="46"/>
      <c r="AQ182" s="257"/>
      <c r="AR182" s="248"/>
      <c r="AS182" s="46"/>
      <c r="AT182" s="257"/>
      <c r="AU182" s="196"/>
      <c r="AV182" s="46"/>
      <c r="AW182" s="257"/>
      <c r="AX182" s="196"/>
      <c r="AY182" s="46"/>
      <c r="AZ182" s="257"/>
      <c r="BA182" s="46"/>
      <c r="BB182" s="46"/>
      <c r="BC182" s="46"/>
      <c r="BD182" s="46"/>
      <c r="BE182" s="46"/>
      <c r="BF182" s="257"/>
      <c r="BG182" s="46"/>
      <c r="BH182" s="46"/>
      <c r="BI182" s="46"/>
      <c r="BJ182" s="196"/>
      <c r="BK182" s="46"/>
      <c r="BL182" s="46"/>
      <c r="BM182" s="46"/>
      <c r="BN182" s="46"/>
      <c r="BO182" s="257"/>
      <c r="BP182" s="248"/>
      <c r="BQ182" s="191"/>
      <c r="BR182" s="257"/>
      <c r="BS182" s="46"/>
      <c r="BT182" s="46"/>
      <c r="BU182" s="257"/>
      <c r="BV182" s="196"/>
      <c r="BW182" s="46"/>
      <c r="BX182" s="46"/>
      <c r="BY182" s="46"/>
      <c r="BZ182" s="46"/>
      <c r="CA182" s="257"/>
      <c r="CB182" s="196"/>
      <c r="CC182" s="46"/>
      <c r="CD182" s="257"/>
      <c r="CE182" s="46"/>
      <c r="CF182" s="46"/>
      <c r="CG182" s="257"/>
      <c r="CH182" s="46"/>
      <c r="CI182" s="46"/>
      <c r="CJ182" s="46"/>
      <c r="CK182" s="46"/>
      <c r="CL182" s="46"/>
      <c r="CM182" s="257"/>
      <c r="CN182" s="46"/>
      <c r="CO182" s="376"/>
      <c r="CP182" s="257"/>
      <c r="CQ182" s="196"/>
      <c r="CR182" s="286"/>
      <c r="CS182" s="257">
        <f t="shared" si="14"/>
        <v>0</v>
      </c>
      <c r="CT182" s="196"/>
      <c r="CU182" s="317"/>
      <c r="CV182" s="391">
        <f t="shared" si="13"/>
        <v>0</v>
      </c>
      <c r="CW182" s="41"/>
      <c r="CX182" s="41"/>
      <c r="CY182" s="256"/>
      <c r="CZ182" s="308"/>
      <c r="DA182" s="308"/>
      <c r="DB182" s="420"/>
      <c r="DC182" s="41"/>
      <c r="DD182" s="41"/>
      <c r="DE182" s="256"/>
      <c r="DF182" s="41"/>
      <c r="DG182" s="41"/>
      <c r="DH182" s="391"/>
      <c r="DI182" s="41"/>
      <c r="DJ182" s="41"/>
      <c r="DK182" s="203"/>
      <c r="DL182" s="256"/>
      <c r="DM182" s="41"/>
      <c r="DN182" s="41"/>
      <c r="DO182" s="41"/>
      <c r="DP182" s="420"/>
      <c r="DQ182" s="41"/>
      <c r="DR182" s="41"/>
      <c r="DS182" s="203"/>
      <c r="DT182" s="256"/>
      <c r="DU182" s="46"/>
      <c r="DV182" s="46"/>
      <c r="DW182" s="196"/>
      <c r="DX182" s="391"/>
      <c r="DY182" s="41"/>
      <c r="DZ182" s="41"/>
      <c r="EA182" s="41"/>
      <c r="EB182" s="69"/>
      <c r="EC182" s="41"/>
      <c r="ED182" s="41"/>
      <c r="EE182" s="41"/>
      <c r="EF182" s="420"/>
      <c r="EG182" s="41"/>
      <c r="EH182" s="41"/>
      <c r="EI182" s="41"/>
      <c r="EJ182" s="256"/>
      <c r="EK182" s="41"/>
      <c r="EL182" s="41"/>
      <c r="EM182" s="41"/>
      <c r="EN182" s="391"/>
    </row>
    <row r="183" spans="1:144" ht="25.5">
      <c r="A183" s="45">
        <v>176</v>
      </c>
      <c r="B183" s="53" t="s">
        <v>301</v>
      </c>
      <c r="C183" s="45">
        <v>3</v>
      </c>
      <c r="D183" s="55" t="s">
        <v>273</v>
      </c>
      <c r="E183" s="54">
        <v>4</v>
      </c>
      <c r="F183" s="56">
        <v>5</v>
      </c>
      <c r="G183" s="397">
        <f>267949.836/1000</f>
        <v>267.949836</v>
      </c>
      <c r="H183" s="59">
        <v>267949.83600000001</v>
      </c>
      <c r="I183" s="59">
        <v>0</v>
      </c>
      <c r="J183" s="398">
        <v>486.8983300000001</v>
      </c>
      <c r="K183" s="414">
        <f t="shared" si="11"/>
        <v>754.84816600000011</v>
      </c>
      <c r="L183" s="397"/>
      <c r="M183" s="397"/>
      <c r="N183" s="397">
        <f t="shared" si="10"/>
        <v>754.84816600000011</v>
      </c>
      <c r="O183" s="399">
        <f t="shared" si="12"/>
        <v>474.4</v>
      </c>
      <c r="P183" s="196" t="s">
        <v>794</v>
      </c>
      <c r="Q183" s="46">
        <v>2</v>
      </c>
      <c r="R183" s="218" t="s">
        <v>701</v>
      </c>
      <c r="S183" s="257">
        <f>180000*2</f>
        <v>360000</v>
      </c>
      <c r="T183" s="196"/>
      <c r="U183" s="46"/>
      <c r="V183" s="46"/>
      <c r="W183" s="257"/>
      <c r="X183" s="46"/>
      <c r="Y183" s="46"/>
      <c r="Z183" s="46"/>
      <c r="AA183" s="257"/>
      <c r="AB183" s="196"/>
      <c r="AC183" s="46"/>
      <c r="AD183" s="167"/>
      <c r="AE183" s="257"/>
      <c r="AF183" s="196"/>
      <c r="AG183" s="46"/>
      <c r="AH183" s="46"/>
      <c r="AI183" s="196"/>
      <c r="AJ183" s="400"/>
      <c r="AK183" s="196"/>
      <c r="AL183" s="46"/>
      <c r="AM183" s="218"/>
      <c r="AN183" s="257"/>
      <c r="AO183" s="196"/>
      <c r="AP183" s="46"/>
      <c r="AQ183" s="257"/>
      <c r="AR183" s="196"/>
      <c r="AS183" s="46"/>
      <c r="AT183" s="257"/>
      <c r="AU183" s="196"/>
      <c r="AV183" s="46"/>
      <c r="AW183" s="257"/>
      <c r="AX183" s="196" t="s">
        <v>249</v>
      </c>
      <c r="AY183" s="46">
        <v>88</v>
      </c>
      <c r="AZ183" s="257">
        <f>AY183*1300</f>
        <v>114400</v>
      </c>
      <c r="BA183" s="46"/>
      <c r="BB183" s="46"/>
      <c r="BC183" s="46"/>
      <c r="BD183" s="46"/>
      <c r="BE183" s="46"/>
      <c r="BF183" s="257"/>
      <c r="BG183" s="46"/>
      <c r="BH183" s="46"/>
      <c r="BI183" s="46"/>
      <c r="BJ183" s="196"/>
      <c r="BK183" s="46"/>
      <c r="BL183" s="46"/>
      <c r="BM183" s="46"/>
      <c r="BN183" s="46"/>
      <c r="BO183" s="257"/>
      <c r="BP183" s="196"/>
      <c r="BQ183" s="191"/>
      <c r="BR183" s="257"/>
      <c r="BS183" s="46"/>
      <c r="BT183" s="46"/>
      <c r="BU183" s="257"/>
      <c r="BV183" s="196"/>
      <c r="BW183" s="46"/>
      <c r="BX183" s="46"/>
      <c r="BY183" s="46"/>
      <c r="BZ183" s="46"/>
      <c r="CA183" s="257"/>
      <c r="CB183" s="196"/>
      <c r="CC183" s="46"/>
      <c r="CD183" s="257"/>
      <c r="CE183" s="46"/>
      <c r="CF183" s="46"/>
      <c r="CG183" s="257"/>
      <c r="CH183" s="46"/>
      <c r="CI183" s="46"/>
      <c r="CJ183" s="46"/>
      <c r="CK183" s="46"/>
      <c r="CL183" s="46"/>
      <c r="CM183" s="257"/>
      <c r="CN183" s="46"/>
      <c r="CO183" s="376"/>
      <c r="CP183" s="257"/>
      <c r="CQ183" s="196"/>
      <c r="CR183" s="286"/>
      <c r="CS183" s="257">
        <f t="shared" si="14"/>
        <v>0</v>
      </c>
      <c r="CT183" s="196"/>
      <c r="CU183" s="317"/>
      <c r="CV183" s="391">
        <f t="shared" si="13"/>
        <v>0</v>
      </c>
      <c r="CW183" s="41"/>
      <c r="CX183" s="41"/>
      <c r="CY183" s="256"/>
      <c r="CZ183" s="308"/>
      <c r="DA183" s="308"/>
      <c r="DB183" s="420"/>
      <c r="DC183" s="41"/>
      <c r="DD183" s="41"/>
      <c r="DE183" s="256"/>
      <c r="DF183" s="41"/>
      <c r="DG183" s="41"/>
      <c r="DH183" s="391"/>
      <c r="DI183" s="41"/>
      <c r="DJ183" s="41"/>
      <c r="DK183" s="203"/>
      <c r="DL183" s="256"/>
      <c r="DM183" s="41"/>
      <c r="DN183" s="41"/>
      <c r="DO183" s="41"/>
      <c r="DP183" s="420"/>
      <c r="DQ183" s="41"/>
      <c r="DR183" s="41"/>
      <c r="DS183" s="203"/>
      <c r="DT183" s="256"/>
      <c r="DU183" s="46"/>
      <c r="DV183" s="46"/>
      <c r="DW183" s="196"/>
      <c r="DX183" s="391"/>
      <c r="DY183" s="41"/>
      <c r="DZ183" s="41"/>
      <c r="EA183" s="41"/>
      <c r="EB183" s="69"/>
      <c r="EC183" s="41"/>
      <c r="ED183" s="41"/>
      <c r="EE183" s="41"/>
      <c r="EF183" s="420"/>
      <c r="EG183" s="41"/>
      <c r="EH183" s="41"/>
      <c r="EI183" s="41"/>
      <c r="EJ183" s="256"/>
      <c r="EK183" s="41"/>
      <c r="EL183" s="41"/>
      <c r="EM183" s="41"/>
      <c r="EN183" s="391"/>
    </row>
    <row r="184" spans="1:144" s="28" customFormat="1" ht="45">
      <c r="A184" s="45">
        <v>177</v>
      </c>
      <c r="B184" s="53" t="s">
        <v>301</v>
      </c>
      <c r="C184" s="45">
        <v>3</v>
      </c>
      <c r="D184" s="55" t="s">
        <v>273</v>
      </c>
      <c r="E184" s="54">
        <v>7</v>
      </c>
      <c r="F184" s="56">
        <v>5</v>
      </c>
      <c r="G184" s="397">
        <f>275093.28/1000</f>
        <v>275.09328000000005</v>
      </c>
      <c r="H184" s="59">
        <v>275093.27999999997</v>
      </c>
      <c r="I184" s="59">
        <v>0</v>
      </c>
      <c r="J184" s="398">
        <v>1007.95886</v>
      </c>
      <c r="K184" s="414">
        <f t="shared" si="11"/>
        <v>1283.05214</v>
      </c>
      <c r="L184" s="397"/>
      <c r="M184" s="397"/>
      <c r="N184" s="397">
        <f t="shared" si="10"/>
        <v>1283.05214</v>
      </c>
      <c r="O184" s="399">
        <f t="shared" si="12"/>
        <v>1156</v>
      </c>
      <c r="P184" s="196" t="s">
        <v>787</v>
      </c>
      <c r="Q184" s="46">
        <v>2</v>
      </c>
      <c r="R184" s="218" t="s">
        <v>702</v>
      </c>
      <c r="S184" s="257">
        <f>2*80000+2*180000</f>
        <v>520000</v>
      </c>
      <c r="T184" s="196"/>
      <c r="U184" s="46"/>
      <c r="V184" s="46"/>
      <c r="W184" s="257"/>
      <c r="X184" s="46"/>
      <c r="Y184" s="46"/>
      <c r="Z184" s="46"/>
      <c r="AA184" s="257"/>
      <c r="AB184" s="196"/>
      <c r="AC184" s="46"/>
      <c r="AD184" s="167"/>
      <c r="AE184" s="257"/>
      <c r="AF184" s="196" t="s">
        <v>226</v>
      </c>
      <c r="AG184" s="46" t="s">
        <v>335</v>
      </c>
      <c r="AH184" s="46">
        <v>120</v>
      </c>
      <c r="AI184" s="196" t="s">
        <v>552</v>
      </c>
      <c r="AJ184" s="400">
        <f>AH184*1300</f>
        <v>156000</v>
      </c>
      <c r="AK184" s="196"/>
      <c r="AL184" s="46"/>
      <c r="AM184" s="218"/>
      <c r="AN184" s="257"/>
      <c r="AO184" s="196"/>
      <c r="AP184" s="46"/>
      <c r="AQ184" s="257"/>
      <c r="AR184" s="196"/>
      <c r="AS184" s="46"/>
      <c r="AT184" s="257"/>
      <c r="AU184" s="196" t="s">
        <v>248</v>
      </c>
      <c r="AV184" s="46">
        <v>40</v>
      </c>
      <c r="AW184" s="257">
        <f>AV184*3000</f>
        <v>120000</v>
      </c>
      <c r="AX184" s="196"/>
      <c r="AY184" s="46"/>
      <c r="AZ184" s="257"/>
      <c r="BA184" s="46"/>
      <c r="BB184" s="46"/>
      <c r="BC184" s="46"/>
      <c r="BD184" s="46"/>
      <c r="BE184" s="46"/>
      <c r="BF184" s="257"/>
      <c r="BG184" s="46"/>
      <c r="BH184" s="46"/>
      <c r="BI184" s="46"/>
      <c r="BJ184" s="196"/>
      <c r="BK184" s="46"/>
      <c r="BL184" s="46"/>
      <c r="BM184" s="46"/>
      <c r="BN184" s="46"/>
      <c r="BO184" s="257"/>
      <c r="BP184" s="196"/>
      <c r="BQ184" s="191"/>
      <c r="BR184" s="257"/>
      <c r="BS184" s="46"/>
      <c r="BT184" s="46"/>
      <c r="BU184" s="257"/>
      <c r="BV184" s="196"/>
      <c r="BW184" s="46"/>
      <c r="BX184" s="46"/>
      <c r="BY184" s="46"/>
      <c r="BZ184" s="46"/>
      <c r="CA184" s="257"/>
      <c r="CB184" s="196" t="s">
        <v>248</v>
      </c>
      <c r="CC184" s="46">
        <v>200</v>
      </c>
      <c r="CD184" s="257">
        <f>CC184*1800</f>
        <v>360000</v>
      </c>
      <c r="CE184" s="46"/>
      <c r="CF184" s="46"/>
      <c r="CG184" s="257"/>
      <c r="CH184" s="46"/>
      <c r="CI184" s="46"/>
      <c r="CJ184" s="46"/>
      <c r="CK184" s="46"/>
      <c r="CL184" s="46"/>
      <c r="CM184" s="257"/>
      <c r="CN184" s="46"/>
      <c r="CO184" s="376"/>
      <c r="CP184" s="257"/>
      <c r="CQ184" s="196"/>
      <c r="CR184" s="286"/>
      <c r="CS184" s="257">
        <f t="shared" si="14"/>
        <v>0</v>
      </c>
      <c r="CT184" s="196"/>
      <c r="CU184" s="167"/>
      <c r="CV184" s="391">
        <f t="shared" si="13"/>
        <v>0</v>
      </c>
      <c r="CW184" s="46"/>
      <c r="CX184" s="46"/>
      <c r="CY184" s="257"/>
      <c r="CZ184" s="46"/>
      <c r="DA184" s="46"/>
      <c r="DB184" s="420"/>
      <c r="DC184" s="46"/>
      <c r="DD184" s="46"/>
      <c r="DE184" s="257"/>
      <c r="DF184" s="46"/>
      <c r="DG184" s="46"/>
      <c r="DH184" s="391"/>
      <c r="DI184" s="46"/>
      <c r="DJ184" s="46"/>
      <c r="DK184" s="196"/>
      <c r="DL184" s="257"/>
      <c r="DM184" s="46"/>
      <c r="DN184" s="46"/>
      <c r="DO184" s="46"/>
      <c r="DP184" s="420"/>
      <c r="DQ184" s="46"/>
      <c r="DR184" s="46"/>
      <c r="DS184" s="196"/>
      <c r="DT184" s="257"/>
      <c r="DU184" s="46"/>
      <c r="DV184" s="46"/>
      <c r="DW184" s="196"/>
      <c r="DX184" s="391"/>
      <c r="DY184" s="46"/>
      <c r="DZ184" s="46"/>
      <c r="EA184" s="46"/>
      <c r="EB184" s="46"/>
      <c r="EC184" s="46"/>
      <c r="ED184" s="46"/>
      <c r="EE184" s="46"/>
      <c r="EF184" s="420"/>
      <c r="EG184" s="46"/>
      <c r="EH184" s="46"/>
      <c r="EI184" s="46"/>
      <c r="EJ184" s="257"/>
      <c r="EK184" s="46"/>
      <c r="EL184" s="46"/>
      <c r="EM184" s="46"/>
      <c r="EN184" s="391"/>
    </row>
    <row r="185" spans="1:144" ht="48" customHeight="1">
      <c r="A185" s="45">
        <v>178</v>
      </c>
      <c r="B185" s="53" t="s">
        <v>301</v>
      </c>
      <c r="C185" s="45">
        <v>3</v>
      </c>
      <c r="D185" s="55" t="s">
        <v>273</v>
      </c>
      <c r="E185" s="54">
        <v>13</v>
      </c>
      <c r="F185" s="56">
        <v>5</v>
      </c>
      <c r="G185" s="397">
        <f>292956.048/1000</f>
        <v>292.95604800000001</v>
      </c>
      <c r="H185" s="59">
        <v>292956.04800000001</v>
      </c>
      <c r="I185" s="59">
        <v>0</v>
      </c>
      <c r="J185" s="398">
        <v>703.14033999999981</v>
      </c>
      <c r="K185" s="414">
        <f t="shared" si="11"/>
        <v>996.09638799999982</v>
      </c>
      <c r="L185" s="397"/>
      <c r="M185" s="397"/>
      <c r="N185" s="397">
        <f t="shared" si="10"/>
        <v>996.09638799999982</v>
      </c>
      <c r="O185" s="399">
        <f t="shared" si="12"/>
        <v>486</v>
      </c>
      <c r="P185" s="196" t="s">
        <v>600</v>
      </c>
      <c r="Q185" s="46">
        <v>2</v>
      </c>
      <c r="R185" s="218" t="s">
        <v>581</v>
      </c>
      <c r="S185" s="257">
        <f>2*180000</f>
        <v>360000</v>
      </c>
      <c r="T185" s="196"/>
      <c r="U185" s="46"/>
      <c r="V185" s="46"/>
      <c r="W185" s="257"/>
      <c r="X185" s="46"/>
      <c r="Y185" s="46"/>
      <c r="Z185" s="46"/>
      <c r="AA185" s="257"/>
      <c r="AB185" s="196"/>
      <c r="AC185" s="46"/>
      <c r="AD185" s="167"/>
      <c r="AE185" s="257"/>
      <c r="AF185" s="196"/>
      <c r="AG185" s="46"/>
      <c r="AH185" s="46"/>
      <c r="AI185" s="196"/>
      <c r="AJ185" s="400"/>
      <c r="AK185" s="196"/>
      <c r="AL185" s="46"/>
      <c r="AM185" s="218"/>
      <c r="AN185" s="257"/>
      <c r="AO185" s="196"/>
      <c r="AP185" s="46"/>
      <c r="AQ185" s="257"/>
      <c r="AR185" s="196"/>
      <c r="AS185" s="46"/>
      <c r="AT185" s="257"/>
      <c r="AU185" s="196"/>
      <c r="AV185" s="46"/>
      <c r="AW185" s="257"/>
      <c r="AX185" s="196"/>
      <c r="AY185" s="46"/>
      <c r="AZ185" s="257"/>
      <c r="BA185" s="46"/>
      <c r="BB185" s="46"/>
      <c r="BC185" s="46"/>
      <c r="BD185" s="46"/>
      <c r="BE185" s="46"/>
      <c r="BF185" s="257"/>
      <c r="BG185" s="46"/>
      <c r="BH185" s="46"/>
      <c r="BI185" s="46"/>
      <c r="BJ185" s="196"/>
      <c r="BK185" s="46"/>
      <c r="BL185" s="46"/>
      <c r="BM185" s="46"/>
      <c r="BN185" s="46"/>
      <c r="BO185" s="257"/>
      <c r="BP185" s="196"/>
      <c r="BQ185" s="191"/>
      <c r="BR185" s="257"/>
      <c r="BS185" s="46"/>
      <c r="BT185" s="46"/>
      <c r="BU185" s="257"/>
      <c r="BV185" s="196"/>
      <c r="BW185" s="46"/>
      <c r="BX185" s="46"/>
      <c r="BY185" s="46"/>
      <c r="BZ185" s="46"/>
      <c r="CA185" s="257"/>
      <c r="CB185" s="196" t="s">
        <v>248</v>
      </c>
      <c r="CC185" s="46">
        <v>70</v>
      </c>
      <c r="CD185" s="257">
        <f>CC185*1800</f>
        <v>126000</v>
      </c>
      <c r="CE185" s="46"/>
      <c r="CF185" s="46"/>
      <c r="CG185" s="257"/>
      <c r="CH185" s="46"/>
      <c r="CI185" s="46"/>
      <c r="CJ185" s="46"/>
      <c r="CK185" s="46"/>
      <c r="CL185" s="46"/>
      <c r="CM185" s="257"/>
      <c r="CN185" s="46"/>
      <c r="CO185" s="376"/>
      <c r="CP185" s="257"/>
      <c r="CQ185" s="196"/>
      <c r="CR185" s="286"/>
      <c r="CS185" s="257">
        <f t="shared" si="14"/>
        <v>0</v>
      </c>
      <c r="CT185" s="218"/>
      <c r="CU185" s="317"/>
      <c r="CV185" s="391">
        <f t="shared" si="13"/>
        <v>0</v>
      </c>
      <c r="CW185" s="41"/>
      <c r="CX185" s="41"/>
      <c r="CY185" s="256"/>
      <c r="CZ185" s="308"/>
      <c r="DA185" s="308"/>
      <c r="DB185" s="420"/>
      <c r="DC185" s="41"/>
      <c r="DD185" s="41"/>
      <c r="DE185" s="256"/>
      <c r="DF185" s="41"/>
      <c r="DG185" s="41"/>
      <c r="DH185" s="391"/>
      <c r="DI185" s="41"/>
      <c r="DJ185" s="41"/>
      <c r="DK185" s="203"/>
      <c r="DL185" s="256"/>
      <c r="DM185" s="41"/>
      <c r="DN185" s="41"/>
      <c r="DO185" s="41"/>
      <c r="DP185" s="420"/>
      <c r="DQ185" s="41"/>
      <c r="DR185" s="41"/>
      <c r="DS185" s="203"/>
      <c r="DT185" s="256"/>
      <c r="DU185" s="46"/>
      <c r="DV185" s="46"/>
      <c r="DW185" s="196"/>
      <c r="DX185" s="391"/>
      <c r="DY185" s="41"/>
      <c r="DZ185" s="41"/>
      <c r="EA185" s="41"/>
      <c r="EB185" s="69"/>
      <c r="EC185" s="41"/>
      <c r="ED185" s="41"/>
      <c r="EE185" s="41"/>
      <c r="EF185" s="420"/>
      <c r="EG185" s="41"/>
      <c r="EH185" s="41"/>
      <c r="EI185" s="41"/>
      <c r="EJ185" s="256"/>
      <c r="EK185" s="41"/>
      <c r="EL185" s="41"/>
      <c r="EM185" s="41"/>
      <c r="EN185" s="391"/>
    </row>
    <row r="186" spans="1:144" ht="25.5">
      <c r="A186" s="45">
        <v>179</v>
      </c>
      <c r="B186" s="53" t="s">
        <v>301</v>
      </c>
      <c r="C186" s="45">
        <v>3</v>
      </c>
      <c r="D186" s="53" t="s">
        <v>536</v>
      </c>
      <c r="E186" s="57" t="s">
        <v>275</v>
      </c>
      <c r="F186" s="56">
        <v>6</v>
      </c>
      <c r="G186" s="397">
        <f>89400.168/1000</f>
        <v>89.400168000000008</v>
      </c>
      <c r="H186" s="59">
        <v>25284.402000000006</v>
      </c>
      <c r="I186" s="59">
        <v>64115.766000000003</v>
      </c>
      <c r="J186" s="398">
        <v>84.303625999999994</v>
      </c>
      <c r="K186" s="414">
        <f t="shared" si="11"/>
        <v>173.70379400000002</v>
      </c>
      <c r="L186" s="397"/>
      <c r="M186" s="397"/>
      <c r="N186" s="397">
        <f t="shared" si="10"/>
        <v>173.70379400000002</v>
      </c>
      <c r="O186" s="399">
        <f t="shared" si="12"/>
        <v>176</v>
      </c>
      <c r="P186" s="369" t="s">
        <v>1012</v>
      </c>
      <c r="Q186" s="46"/>
      <c r="R186" s="218"/>
      <c r="S186" s="257"/>
      <c r="T186" s="196"/>
      <c r="U186" s="46"/>
      <c r="V186" s="46"/>
      <c r="W186" s="257"/>
      <c r="X186" s="46"/>
      <c r="Y186" s="46"/>
      <c r="Z186" s="46"/>
      <c r="AA186" s="257"/>
      <c r="AB186" s="196"/>
      <c r="AC186" s="46"/>
      <c r="AD186" s="167"/>
      <c r="AE186" s="257"/>
      <c r="AF186" s="196" t="s">
        <v>247</v>
      </c>
      <c r="AG186" s="46" t="s">
        <v>335</v>
      </c>
      <c r="AH186" s="46">
        <v>60</v>
      </c>
      <c r="AI186" s="196" t="s">
        <v>552</v>
      </c>
      <c r="AJ186" s="400">
        <f>AH186*1300</f>
        <v>78000</v>
      </c>
      <c r="AK186" s="196"/>
      <c r="AL186" s="46"/>
      <c r="AM186" s="218"/>
      <c r="AN186" s="257"/>
      <c r="AO186" s="196"/>
      <c r="AP186" s="46"/>
      <c r="AQ186" s="257"/>
      <c r="AR186" s="196"/>
      <c r="AS186" s="46"/>
      <c r="AT186" s="257"/>
      <c r="AU186" s="196"/>
      <c r="AV186" s="46"/>
      <c r="AW186" s="257"/>
      <c r="AX186" s="196"/>
      <c r="AY186" s="46"/>
      <c r="AZ186" s="257"/>
      <c r="BA186" s="46"/>
      <c r="BB186" s="46"/>
      <c r="BC186" s="46"/>
      <c r="BD186" s="46"/>
      <c r="BE186" s="46"/>
      <c r="BF186" s="257"/>
      <c r="BG186" s="46"/>
      <c r="BH186" s="46"/>
      <c r="BI186" s="46"/>
      <c r="BJ186" s="196"/>
      <c r="BK186" s="46"/>
      <c r="BL186" s="46"/>
      <c r="BM186" s="46"/>
      <c r="BN186" s="46"/>
      <c r="BO186" s="257"/>
      <c r="BP186" s="196"/>
      <c r="BQ186" s="46"/>
      <c r="BR186" s="257"/>
      <c r="BS186" s="46"/>
      <c r="BT186" s="46"/>
      <c r="BU186" s="257"/>
      <c r="BV186" s="196"/>
      <c r="BW186" s="46"/>
      <c r="BX186" s="46"/>
      <c r="BY186" s="46"/>
      <c r="BZ186" s="46"/>
      <c r="CA186" s="257"/>
      <c r="CB186" s="196"/>
      <c r="CC186" s="46"/>
      <c r="CD186" s="257"/>
      <c r="CE186" s="46"/>
      <c r="CF186" s="46"/>
      <c r="CG186" s="257"/>
      <c r="CH186" s="46"/>
      <c r="CI186" s="46"/>
      <c r="CJ186" s="46"/>
      <c r="CK186" s="46"/>
      <c r="CL186" s="46"/>
      <c r="CM186" s="257"/>
      <c r="CN186" s="46"/>
      <c r="CO186" s="376"/>
      <c r="CP186" s="257"/>
      <c r="CQ186" s="218" t="s">
        <v>247</v>
      </c>
      <c r="CR186" s="190" t="s">
        <v>703</v>
      </c>
      <c r="CS186" s="257">
        <f t="shared" si="14"/>
        <v>98000</v>
      </c>
      <c r="CT186" s="218"/>
      <c r="CU186" s="317"/>
      <c r="CV186" s="391">
        <f t="shared" si="13"/>
        <v>0</v>
      </c>
      <c r="CW186" s="41"/>
      <c r="CX186" s="41"/>
      <c r="CY186" s="256"/>
      <c r="CZ186" s="308"/>
      <c r="DA186" s="308"/>
      <c r="DB186" s="420"/>
      <c r="DC186" s="41">
        <v>6</v>
      </c>
      <c r="DD186" s="41">
        <v>98</v>
      </c>
      <c r="DE186" s="256">
        <v>98000</v>
      </c>
      <c r="DF186" s="41"/>
      <c r="DG186" s="41"/>
      <c r="DH186" s="391"/>
      <c r="DI186" s="41"/>
      <c r="DJ186" s="41"/>
      <c r="DK186" s="203"/>
      <c r="DL186" s="256"/>
      <c r="DM186" s="41"/>
      <c r="DN186" s="41"/>
      <c r="DO186" s="41"/>
      <c r="DP186" s="420"/>
      <c r="DQ186" s="41"/>
      <c r="DR186" s="41"/>
      <c r="DS186" s="203"/>
      <c r="DT186" s="256"/>
      <c r="DU186" s="46"/>
      <c r="DV186" s="46"/>
      <c r="DW186" s="196"/>
      <c r="DX186" s="391"/>
      <c r="DY186" s="41"/>
      <c r="DZ186" s="41"/>
      <c r="EA186" s="41"/>
      <c r="EB186" s="69"/>
      <c r="EC186" s="41"/>
      <c r="ED186" s="41"/>
      <c r="EE186" s="41"/>
      <c r="EF186" s="420"/>
      <c r="EG186" s="41"/>
      <c r="EH186" s="41"/>
      <c r="EI186" s="41"/>
      <c r="EJ186" s="256"/>
      <c r="EK186" s="41"/>
      <c r="EL186" s="41"/>
      <c r="EM186" s="41"/>
      <c r="EN186" s="391"/>
    </row>
    <row r="187" spans="1:144" ht="25.5">
      <c r="A187" s="45">
        <v>180</v>
      </c>
      <c r="B187" s="53" t="s">
        <v>301</v>
      </c>
      <c r="C187" s="45">
        <v>3</v>
      </c>
      <c r="D187" s="53" t="s">
        <v>536</v>
      </c>
      <c r="E187" s="54">
        <v>3</v>
      </c>
      <c r="F187" s="56">
        <v>7</v>
      </c>
      <c r="G187" s="397">
        <f>56671.902/1000</f>
        <v>56.671902000000003</v>
      </c>
      <c r="H187" s="59">
        <v>0</v>
      </c>
      <c r="I187" s="59">
        <v>56671.901999999995</v>
      </c>
      <c r="J187" s="398">
        <v>-97.005677999999989</v>
      </c>
      <c r="K187" s="414">
        <f t="shared" si="11"/>
        <v>-40.333775999999986</v>
      </c>
      <c r="L187" s="397"/>
      <c r="M187" s="397"/>
      <c r="N187" s="397">
        <f t="shared" si="10"/>
        <v>-40.333775999999986</v>
      </c>
      <c r="O187" s="399">
        <f t="shared" si="12"/>
        <v>0</v>
      </c>
      <c r="P187" s="369" t="s">
        <v>1012</v>
      </c>
      <c r="Q187" s="46"/>
      <c r="R187" s="218"/>
      <c r="S187" s="257"/>
      <c r="T187" s="196"/>
      <c r="U187" s="46"/>
      <c r="V187" s="46"/>
      <c r="W187" s="257"/>
      <c r="X187" s="46"/>
      <c r="Y187" s="46"/>
      <c r="Z187" s="46"/>
      <c r="AA187" s="257"/>
      <c r="AB187" s="196"/>
      <c r="AC187" s="46"/>
      <c r="AD187" s="167"/>
      <c r="AE187" s="257"/>
      <c r="AF187" s="196"/>
      <c r="AG187" s="46"/>
      <c r="AH187" s="46"/>
      <c r="AI187" s="196"/>
      <c r="AJ187" s="400"/>
      <c r="AK187" s="196"/>
      <c r="AL187" s="46"/>
      <c r="AM187" s="218"/>
      <c r="AN187" s="257"/>
      <c r="AO187" s="196"/>
      <c r="AP187" s="46"/>
      <c r="AQ187" s="257"/>
      <c r="AR187" s="196"/>
      <c r="AS187" s="46"/>
      <c r="AT187" s="257"/>
      <c r="AU187" s="196"/>
      <c r="AV187" s="46"/>
      <c r="AW187" s="257"/>
      <c r="AX187" s="196"/>
      <c r="AY187" s="46"/>
      <c r="AZ187" s="257"/>
      <c r="BA187" s="46"/>
      <c r="BB187" s="46"/>
      <c r="BC187" s="46"/>
      <c r="BD187" s="46"/>
      <c r="BE187" s="46"/>
      <c r="BF187" s="257"/>
      <c r="BG187" s="46"/>
      <c r="BH187" s="46"/>
      <c r="BI187" s="46"/>
      <c r="BJ187" s="196"/>
      <c r="BK187" s="46"/>
      <c r="BL187" s="46"/>
      <c r="BM187" s="46"/>
      <c r="BN187" s="46"/>
      <c r="BO187" s="257"/>
      <c r="BP187" s="196"/>
      <c r="BQ187" s="46"/>
      <c r="BR187" s="257"/>
      <c r="BS187" s="46"/>
      <c r="BT187" s="46"/>
      <c r="BU187" s="257"/>
      <c r="BV187" s="196"/>
      <c r="BW187" s="46"/>
      <c r="BX187" s="46"/>
      <c r="BY187" s="46"/>
      <c r="BZ187" s="46"/>
      <c r="CA187" s="257"/>
      <c r="CB187" s="196"/>
      <c r="CC187" s="46"/>
      <c r="CD187" s="257"/>
      <c r="CE187" s="46"/>
      <c r="CF187" s="46"/>
      <c r="CG187" s="257"/>
      <c r="CH187" s="46"/>
      <c r="CI187" s="46"/>
      <c r="CJ187" s="46"/>
      <c r="CK187" s="46"/>
      <c r="CL187" s="46"/>
      <c r="CM187" s="257"/>
      <c r="CN187" s="46"/>
      <c r="CO187" s="376"/>
      <c r="CP187" s="257"/>
      <c r="CQ187" s="218"/>
      <c r="CR187" s="190"/>
      <c r="CS187" s="257">
        <f t="shared" si="14"/>
        <v>0</v>
      </c>
      <c r="CT187" s="196"/>
      <c r="CU187" s="317"/>
      <c r="CV187" s="391">
        <f t="shared" si="13"/>
        <v>0</v>
      </c>
      <c r="CW187" s="41"/>
      <c r="CX187" s="41"/>
      <c r="CY187" s="256"/>
      <c r="CZ187" s="308"/>
      <c r="DA187" s="308"/>
      <c r="DB187" s="420"/>
      <c r="DC187" s="41"/>
      <c r="DD187" s="41"/>
      <c r="DE187" s="256"/>
      <c r="DF187" s="41"/>
      <c r="DG187" s="41"/>
      <c r="DH187" s="391"/>
      <c r="DI187" s="41"/>
      <c r="DJ187" s="41"/>
      <c r="DK187" s="203"/>
      <c r="DL187" s="256"/>
      <c r="DM187" s="41"/>
      <c r="DN187" s="41"/>
      <c r="DO187" s="41"/>
      <c r="DP187" s="420"/>
      <c r="DQ187" s="41"/>
      <c r="DR187" s="41"/>
      <c r="DS187" s="203"/>
      <c r="DT187" s="256"/>
      <c r="DU187" s="46"/>
      <c r="DV187" s="46"/>
      <c r="DW187" s="196"/>
      <c r="DX187" s="391"/>
      <c r="DY187" s="41"/>
      <c r="DZ187" s="41"/>
      <c r="EA187" s="41"/>
      <c r="EB187" s="69"/>
      <c r="EC187" s="41"/>
      <c r="ED187" s="41"/>
      <c r="EE187" s="41"/>
      <c r="EF187" s="420"/>
      <c r="EG187" s="41"/>
      <c r="EH187" s="41"/>
      <c r="EI187" s="41"/>
      <c r="EJ187" s="256"/>
      <c r="EK187" s="41"/>
      <c r="EL187" s="41"/>
      <c r="EM187" s="41"/>
      <c r="EN187" s="391"/>
    </row>
    <row r="188" spans="1:144" s="28" customFormat="1" ht="25.5">
      <c r="A188" s="45">
        <v>181</v>
      </c>
      <c r="B188" s="53" t="s">
        <v>301</v>
      </c>
      <c r="C188" s="45">
        <v>3</v>
      </c>
      <c r="D188" s="53" t="s">
        <v>536</v>
      </c>
      <c r="E188" s="54">
        <v>5</v>
      </c>
      <c r="F188" s="56">
        <v>7</v>
      </c>
      <c r="G188" s="397">
        <f>57905.946/1000</f>
        <v>57.905946</v>
      </c>
      <c r="H188" s="59">
        <v>0</v>
      </c>
      <c r="I188" s="59">
        <v>57905.946000000011</v>
      </c>
      <c r="J188" s="398">
        <v>-96.489599999999996</v>
      </c>
      <c r="K188" s="414">
        <f t="shared" si="11"/>
        <v>-38.583653999999996</v>
      </c>
      <c r="L188" s="397"/>
      <c r="M188" s="397"/>
      <c r="N188" s="397">
        <f t="shared" si="10"/>
        <v>-38.583653999999996</v>
      </c>
      <c r="O188" s="399">
        <f t="shared" si="12"/>
        <v>0</v>
      </c>
      <c r="P188" s="369" t="s">
        <v>1012</v>
      </c>
      <c r="Q188" s="46"/>
      <c r="R188" s="218"/>
      <c r="S188" s="257"/>
      <c r="T188" s="196"/>
      <c r="U188" s="46"/>
      <c r="V188" s="46"/>
      <c r="W188" s="257"/>
      <c r="X188" s="46"/>
      <c r="Y188" s="46"/>
      <c r="Z188" s="46"/>
      <c r="AA188" s="257"/>
      <c r="AB188" s="196"/>
      <c r="AC188" s="46"/>
      <c r="AD188" s="167"/>
      <c r="AE188" s="257"/>
      <c r="AF188" s="196"/>
      <c r="AG188" s="46"/>
      <c r="AH188" s="46"/>
      <c r="AI188" s="196"/>
      <c r="AJ188" s="400"/>
      <c r="AK188" s="196"/>
      <c r="AL188" s="46"/>
      <c r="AM188" s="218"/>
      <c r="AN188" s="257"/>
      <c r="AO188" s="196"/>
      <c r="AP188" s="46"/>
      <c r="AQ188" s="257"/>
      <c r="AR188" s="196"/>
      <c r="AS188" s="46"/>
      <c r="AT188" s="257"/>
      <c r="AU188" s="196"/>
      <c r="AV188" s="46"/>
      <c r="AW188" s="257"/>
      <c r="AX188" s="196"/>
      <c r="AY188" s="46"/>
      <c r="AZ188" s="257"/>
      <c r="BA188" s="46"/>
      <c r="BB188" s="46"/>
      <c r="BC188" s="46"/>
      <c r="BD188" s="46"/>
      <c r="BE188" s="46"/>
      <c r="BF188" s="257"/>
      <c r="BG188" s="46"/>
      <c r="BH188" s="46"/>
      <c r="BI188" s="46"/>
      <c r="BJ188" s="196"/>
      <c r="BK188" s="46"/>
      <c r="BL188" s="46"/>
      <c r="BM188" s="46"/>
      <c r="BN188" s="46"/>
      <c r="BO188" s="257"/>
      <c r="BP188" s="196"/>
      <c r="BQ188" s="46"/>
      <c r="BR188" s="257"/>
      <c r="BS188" s="46"/>
      <c r="BT188" s="46"/>
      <c r="BU188" s="257"/>
      <c r="BV188" s="196"/>
      <c r="BW188" s="46"/>
      <c r="BX188" s="46"/>
      <c r="BY188" s="46"/>
      <c r="BZ188" s="46"/>
      <c r="CA188" s="257"/>
      <c r="CB188" s="196"/>
      <c r="CC188" s="46"/>
      <c r="CD188" s="257"/>
      <c r="CE188" s="46"/>
      <c r="CF188" s="46"/>
      <c r="CG188" s="257"/>
      <c r="CH188" s="46"/>
      <c r="CI188" s="46"/>
      <c r="CJ188" s="46"/>
      <c r="CK188" s="46"/>
      <c r="CL188" s="46"/>
      <c r="CM188" s="257"/>
      <c r="CN188" s="46"/>
      <c r="CO188" s="376"/>
      <c r="CP188" s="257"/>
      <c r="CQ188" s="196"/>
      <c r="CR188" s="208"/>
      <c r="CS188" s="257">
        <f t="shared" si="14"/>
        <v>0</v>
      </c>
      <c r="CT188" s="196"/>
      <c r="CU188" s="317"/>
      <c r="CV188" s="391">
        <f t="shared" si="13"/>
        <v>0</v>
      </c>
      <c r="CW188" s="46"/>
      <c r="CX188" s="46"/>
      <c r="CY188" s="257"/>
      <c r="CZ188" s="308"/>
      <c r="DA188" s="308"/>
      <c r="DB188" s="420"/>
      <c r="DC188" s="46"/>
      <c r="DD188" s="46"/>
      <c r="DE188" s="256"/>
      <c r="DF188" s="46"/>
      <c r="DG188" s="46"/>
      <c r="DH188" s="391"/>
      <c r="DI188" s="46"/>
      <c r="DJ188" s="46"/>
      <c r="DK188" s="196"/>
      <c r="DL188" s="257"/>
      <c r="DM188" s="46"/>
      <c r="DN188" s="46"/>
      <c r="DO188" s="46"/>
      <c r="DP188" s="420"/>
      <c r="DQ188" s="46"/>
      <c r="DR188" s="46"/>
      <c r="DS188" s="196"/>
      <c r="DT188" s="257"/>
      <c r="DU188" s="46"/>
      <c r="DV188" s="46"/>
      <c r="DW188" s="196"/>
      <c r="DX188" s="391"/>
      <c r="DY188" s="46"/>
      <c r="DZ188" s="46"/>
      <c r="EA188" s="46"/>
      <c r="EB188" s="46"/>
      <c r="EC188" s="46"/>
      <c r="ED188" s="46"/>
      <c r="EE188" s="46"/>
      <c r="EF188" s="420"/>
      <c r="EG188" s="46"/>
      <c r="EH188" s="46"/>
      <c r="EI188" s="46"/>
      <c r="EJ188" s="257"/>
      <c r="EK188" s="46"/>
      <c r="EL188" s="46"/>
      <c r="EM188" s="46"/>
      <c r="EN188" s="391"/>
    </row>
    <row r="189" spans="1:144" ht="25.5">
      <c r="A189" s="45">
        <v>182</v>
      </c>
      <c r="B189" s="53" t="s">
        <v>301</v>
      </c>
      <c r="C189" s="45">
        <v>3</v>
      </c>
      <c r="D189" s="53" t="s">
        <v>536</v>
      </c>
      <c r="E189" s="54" t="s">
        <v>276</v>
      </c>
      <c r="F189" s="56">
        <v>7</v>
      </c>
      <c r="G189" s="397">
        <f>71417.682/1000</f>
        <v>71.417681999999999</v>
      </c>
      <c r="H189" s="59">
        <v>0</v>
      </c>
      <c r="I189" s="59">
        <v>71417.682000000001</v>
      </c>
      <c r="J189" s="398">
        <v>56.715345999999954</v>
      </c>
      <c r="K189" s="414">
        <f t="shared" si="11"/>
        <v>128.13302799999997</v>
      </c>
      <c r="L189" s="397"/>
      <c r="M189" s="397"/>
      <c r="N189" s="397">
        <f t="shared" si="10"/>
        <v>128.13302799999997</v>
      </c>
      <c r="O189" s="399">
        <f t="shared" si="12"/>
        <v>123</v>
      </c>
      <c r="P189" s="369" t="s">
        <v>1012</v>
      </c>
      <c r="Q189" s="46"/>
      <c r="R189" s="218"/>
      <c r="S189" s="257"/>
      <c r="T189" s="196"/>
      <c r="U189" s="46"/>
      <c r="V189" s="46"/>
      <c r="W189" s="257"/>
      <c r="X189" s="46"/>
      <c r="Y189" s="46"/>
      <c r="Z189" s="46"/>
      <c r="AA189" s="257"/>
      <c r="AB189" s="196"/>
      <c r="AC189" s="46"/>
      <c r="AD189" s="167"/>
      <c r="AE189" s="257"/>
      <c r="AF189" s="196" t="s">
        <v>247</v>
      </c>
      <c r="AG189" s="46" t="s">
        <v>335</v>
      </c>
      <c r="AH189" s="46">
        <v>60</v>
      </c>
      <c r="AI189" s="196" t="s">
        <v>552</v>
      </c>
      <c r="AJ189" s="400">
        <f>AH189*1300</f>
        <v>78000</v>
      </c>
      <c r="AK189" s="196"/>
      <c r="AL189" s="46"/>
      <c r="AM189" s="218"/>
      <c r="AN189" s="257"/>
      <c r="AO189" s="196"/>
      <c r="AP189" s="46"/>
      <c r="AQ189" s="257"/>
      <c r="AR189" s="196"/>
      <c r="AS189" s="46"/>
      <c r="AT189" s="257"/>
      <c r="AU189" s="196"/>
      <c r="AV189" s="46"/>
      <c r="AW189" s="257"/>
      <c r="AX189" s="196"/>
      <c r="AY189" s="46"/>
      <c r="AZ189" s="257"/>
      <c r="BA189" s="46"/>
      <c r="BB189" s="46"/>
      <c r="BC189" s="46"/>
      <c r="BD189" s="46"/>
      <c r="BE189" s="46"/>
      <c r="BF189" s="257"/>
      <c r="BG189" s="46"/>
      <c r="BH189" s="46"/>
      <c r="BI189" s="46"/>
      <c r="BJ189" s="196"/>
      <c r="BK189" s="46"/>
      <c r="BL189" s="46"/>
      <c r="BM189" s="46"/>
      <c r="BN189" s="46"/>
      <c r="BO189" s="257"/>
      <c r="BP189" s="196"/>
      <c r="BQ189" s="46"/>
      <c r="BR189" s="257"/>
      <c r="BS189" s="46"/>
      <c r="BT189" s="46"/>
      <c r="BU189" s="257"/>
      <c r="BV189" s="196"/>
      <c r="BW189" s="46"/>
      <c r="BX189" s="46"/>
      <c r="BY189" s="46"/>
      <c r="BZ189" s="46"/>
      <c r="CA189" s="257"/>
      <c r="CB189" s="196"/>
      <c r="CC189" s="46"/>
      <c r="CD189" s="257"/>
      <c r="CE189" s="46"/>
      <c r="CF189" s="46"/>
      <c r="CG189" s="257"/>
      <c r="CH189" s="46"/>
      <c r="CI189" s="46"/>
      <c r="CJ189" s="46"/>
      <c r="CK189" s="46"/>
      <c r="CL189" s="46"/>
      <c r="CM189" s="257"/>
      <c r="CN189" s="46"/>
      <c r="CO189" s="376"/>
      <c r="CP189" s="257"/>
      <c r="CQ189" s="196" t="s">
        <v>224</v>
      </c>
      <c r="CR189" s="190" t="s">
        <v>704</v>
      </c>
      <c r="CS189" s="257">
        <f t="shared" si="14"/>
        <v>45000</v>
      </c>
      <c r="CT189" s="196"/>
      <c r="CU189" s="317"/>
      <c r="CV189" s="391">
        <f t="shared" si="13"/>
        <v>0</v>
      </c>
      <c r="CW189" s="41">
        <v>2</v>
      </c>
      <c r="CX189" s="41">
        <v>1</v>
      </c>
      <c r="CY189" s="256">
        <v>45000</v>
      </c>
      <c r="CZ189" s="308"/>
      <c r="DA189" s="308"/>
      <c r="DB189" s="420"/>
      <c r="DC189" s="41"/>
      <c r="DD189" s="41"/>
      <c r="DE189" s="256"/>
      <c r="DF189" s="41"/>
      <c r="DG189" s="41"/>
      <c r="DH189" s="391"/>
      <c r="DI189" s="41"/>
      <c r="DJ189" s="41"/>
      <c r="DK189" s="203"/>
      <c r="DL189" s="256"/>
      <c r="DM189" s="41"/>
      <c r="DN189" s="41"/>
      <c r="DO189" s="41"/>
      <c r="DP189" s="420"/>
      <c r="DQ189" s="41"/>
      <c r="DR189" s="41"/>
      <c r="DS189" s="203"/>
      <c r="DT189" s="256"/>
      <c r="DU189" s="46"/>
      <c r="DV189" s="46"/>
      <c r="DW189" s="196"/>
      <c r="DX189" s="391"/>
      <c r="DY189" s="41"/>
      <c r="DZ189" s="41"/>
      <c r="EA189" s="41"/>
      <c r="EB189" s="69"/>
      <c r="EC189" s="41"/>
      <c r="ED189" s="41"/>
      <c r="EE189" s="41"/>
      <c r="EF189" s="420"/>
      <c r="EG189" s="41"/>
      <c r="EH189" s="41"/>
      <c r="EI189" s="41"/>
      <c r="EJ189" s="256"/>
      <c r="EK189" s="41"/>
      <c r="EL189" s="41"/>
      <c r="EM189" s="41"/>
      <c r="EN189" s="391"/>
    </row>
    <row r="190" spans="1:144" ht="25.5">
      <c r="A190" s="45">
        <v>183</v>
      </c>
      <c r="B190" s="53" t="s">
        <v>301</v>
      </c>
      <c r="C190" s="45">
        <v>3</v>
      </c>
      <c r="D190" s="53" t="s">
        <v>536</v>
      </c>
      <c r="E190" s="54">
        <v>10</v>
      </c>
      <c r="F190" s="56">
        <v>7</v>
      </c>
      <c r="G190" s="397">
        <f>18500.202/1000</f>
        <v>18.500202000000002</v>
      </c>
      <c r="H190" s="59">
        <v>0</v>
      </c>
      <c r="I190" s="59">
        <v>18500.202000000001</v>
      </c>
      <c r="J190" s="398">
        <v>94.688374199999984</v>
      </c>
      <c r="K190" s="414">
        <f t="shared" si="11"/>
        <v>113.18857619999999</v>
      </c>
      <c r="L190" s="397"/>
      <c r="M190" s="397"/>
      <c r="N190" s="397">
        <f t="shared" si="10"/>
        <v>113.18857619999999</v>
      </c>
      <c r="O190" s="399">
        <f t="shared" si="12"/>
        <v>89</v>
      </c>
      <c r="P190" s="369" t="s">
        <v>1012</v>
      </c>
      <c r="Q190" s="46"/>
      <c r="R190" s="218"/>
      <c r="S190" s="257"/>
      <c r="T190" s="196"/>
      <c r="U190" s="46"/>
      <c r="V190" s="46"/>
      <c r="W190" s="257"/>
      <c r="X190" s="46"/>
      <c r="Y190" s="46"/>
      <c r="Z190" s="46"/>
      <c r="AA190" s="257"/>
      <c r="AB190" s="196"/>
      <c r="AC190" s="46"/>
      <c r="AD190" s="167"/>
      <c r="AE190" s="257"/>
      <c r="AF190" s="196" t="s">
        <v>247</v>
      </c>
      <c r="AG190" s="46" t="s">
        <v>335</v>
      </c>
      <c r="AH190" s="46">
        <v>30</v>
      </c>
      <c r="AI190" s="196" t="s">
        <v>552</v>
      </c>
      <c r="AJ190" s="400">
        <f>AH190*1300</f>
        <v>39000</v>
      </c>
      <c r="AK190" s="196"/>
      <c r="AL190" s="46"/>
      <c r="AM190" s="218"/>
      <c r="AN190" s="257"/>
      <c r="AO190" s="196"/>
      <c r="AP190" s="46"/>
      <c r="AQ190" s="257"/>
      <c r="AR190" s="196"/>
      <c r="AS190" s="46"/>
      <c r="AT190" s="257"/>
      <c r="AU190" s="196"/>
      <c r="AV190" s="46"/>
      <c r="AW190" s="257"/>
      <c r="AX190" s="196"/>
      <c r="AY190" s="46"/>
      <c r="AZ190" s="257"/>
      <c r="BA190" s="46"/>
      <c r="BB190" s="46"/>
      <c r="BC190" s="46"/>
      <c r="BD190" s="46"/>
      <c r="BE190" s="46"/>
      <c r="BF190" s="257"/>
      <c r="BG190" s="46"/>
      <c r="BH190" s="46"/>
      <c r="BI190" s="46"/>
      <c r="BJ190" s="196"/>
      <c r="BK190" s="46"/>
      <c r="BL190" s="46"/>
      <c r="BM190" s="46"/>
      <c r="BN190" s="46"/>
      <c r="BO190" s="257"/>
      <c r="BP190" s="196"/>
      <c r="BQ190" s="46"/>
      <c r="BR190" s="257"/>
      <c r="BS190" s="46"/>
      <c r="BT190" s="46"/>
      <c r="BU190" s="257"/>
      <c r="BV190" s="196"/>
      <c r="BW190" s="46"/>
      <c r="BX190" s="46"/>
      <c r="BY190" s="46"/>
      <c r="BZ190" s="46"/>
      <c r="CA190" s="257"/>
      <c r="CB190" s="196"/>
      <c r="CC190" s="46"/>
      <c r="CD190" s="257"/>
      <c r="CE190" s="46"/>
      <c r="CF190" s="46"/>
      <c r="CG190" s="257"/>
      <c r="CH190" s="46"/>
      <c r="CI190" s="46"/>
      <c r="CJ190" s="46"/>
      <c r="CK190" s="46"/>
      <c r="CL190" s="46"/>
      <c r="CM190" s="257"/>
      <c r="CN190" s="46"/>
      <c r="CO190" s="376"/>
      <c r="CP190" s="257"/>
      <c r="CQ190" s="196" t="s">
        <v>226</v>
      </c>
      <c r="CR190" s="190" t="s">
        <v>705</v>
      </c>
      <c r="CS190" s="257">
        <f t="shared" si="14"/>
        <v>50000</v>
      </c>
      <c r="CT190" s="196"/>
      <c r="CU190" s="317"/>
      <c r="CV190" s="391">
        <f t="shared" si="13"/>
        <v>0</v>
      </c>
      <c r="CW190" s="41"/>
      <c r="CX190" s="41"/>
      <c r="CY190" s="256"/>
      <c r="CZ190" s="308"/>
      <c r="DA190" s="308"/>
      <c r="DB190" s="420"/>
      <c r="DC190" s="41">
        <v>5</v>
      </c>
      <c r="DD190" s="41">
        <v>50</v>
      </c>
      <c r="DE190" s="256">
        <v>50000</v>
      </c>
      <c r="DF190" s="41"/>
      <c r="DG190" s="41"/>
      <c r="DH190" s="391"/>
      <c r="DI190" s="41"/>
      <c r="DJ190" s="41"/>
      <c r="DK190" s="203"/>
      <c r="DL190" s="256"/>
      <c r="DM190" s="41"/>
      <c r="DN190" s="41"/>
      <c r="DO190" s="41"/>
      <c r="DP190" s="420"/>
      <c r="DQ190" s="41"/>
      <c r="DR190" s="41"/>
      <c r="DS190" s="203"/>
      <c r="DT190" s="256"/>
      <c r="DU190" s="46"/>
      <c r="DV190" s="46"/>
      <c r="DW190" s="196"/>
      <c r="DX190" s="391"/>
      <c r="DY190" s="41"/>
      <c r="DZ190" s="41"/>
      <c r="EA190" s="41"/>
      <c r="EB190" s="69"/>
      <c r="EC190" s="41"/>
      <c r="ED190" s="41"/>
      <c r="EE190" s="41"/>
      <c r="EF190" s="420"/>
      <c r="EG190" s="41"/>
      <c r="EH190" s="41"/>
      <c r="EI190" s="41"/>
      <c r="EJ190" s="256"/>
      <c r="EK190" s="41"/>
      <c r="EL190" s="41"/>
      <c r="EM190" s="41"/>
      <c r="EN190" s="391"/>
    </row>
    <row r="191" spans="1:144" ht="25.5">
      <c r="A191" s="45">
        <v>184</v>
      </c>
      <c r="B191" s="53" t="s">
        <v>301</v>
      </c>
      <c r="C191" s="45">
        <v>3</v>
      </c>
      <c r="D191" s="53" t="s">
        <v>536</v>
      </c>
      <c r="E191" s="54">
        <v>12</v>
      </c>
      <c r="F191" s="56">
        <v>6</v>
      </c>
      <c r="G191" s="397">
        <f>23770.9464/1000</f>
        <v>23.7709464</v>
      </c>
      <c r="H191" s="59">
        <v>6722.9645999999993</v>
      </c>
      <c r="I191" s="59">
        <v>17047.981799999998</v>
      </c>
      <c r="J191" s="398">
        <v>154.28607299999999</v>
      </c>
      <c r="K191" s="414">
        <f t="shared" si="11"/>
        <v>178.0570194</v>
      </c>
      <c r="L191" s="397"/>
      <c r="M191" s="397"/>
      <c r="N191" s="397">
        <f t="shared" si="10"/>
        <v>178.0570194</v>
      </c>
      <c r="O191" s="399">
        <f t="shared" si="12"/>
        <v>176</v>
      </c>
      <c r="P191" s="369" t="s">
        <v>1012</v>
      </c>
      <c r="Q191" s="46"/>
      <c r="R191" s="218"/>
      <c r="S191" s="257"/>
      <c r="T191" s="196"/>
      <c r="U191" s="46"/>
      <c r="V191" s="46"/>
      <c r="W191" s="257"/>
      <c r="X191" s="46"/>
      <c r="Y191" s="46"/>
      <c r="Z191" s="46"/>
      <c r="AA191" s="257"/>
      <c r="AB191" s="196"/>
      <c r="AC191" s="46"/>
      <c r="AD191" s="167"/>
      <c r="AE191" s="257"/>
      <c r="AF191" s="196" t="s">
        <v>247</v>
      </c>
      <c r="AG191" s="46" t="s">
        <v>335</v>
      </c>
      <c r="AH191" s="46">
        <v>60</v>
      </c>
      <c r="AI191" s="196" t="s">
        <v>552</v>
      </c>
      <c r="AJ191" s="400">
        <f>AH191*1300</f>
        <v>78000</v>
      </c>
      <c r="AK191" s="196"/>
      <c r="AL191" s="46"/>
      <c r="AM191" s="218"/>
      <c r="AN191" s="257"/>
      <c r="AO191" s="196"/>
      <c r="AP191" s="46"/>
      <c r="AQ191" s="257"/>
      <c r="AR191" s="196"/>
      <c r="AS191" s="46"/>
      <c r="AT191" s="257"/>
      <c r="AU191" s="196"/>
      <c r="AV191" s="46"/>
      <c r="AW191" s="257"/>
      <c r="AX191" s="196"/>
      <c r="AY191" s="46"/>
      <c r="AZ191" s="257"/>
      <c r="BA191" s="46"/>
      <c r="BB191" s="46"/>
      <c r="BC191" s="46"/>
      <c r="BD191" s="46"/>
      <c r="BE191" s="46"/>
      <c r="BF191" s="257"/>
      <c r="BG191" s="46"/>
      <c r="BH191" s="46"/>
      <c r="BI191" s="46"/>
      <c r="BJ191" s="196"/>
      <c r="BK191" s="46"/>
      <c r="BL191" s="46"/>
      <c r="BM191" s="46"/>
      <c r="BN191" s="46"/>
      <c r="BO191" s="257"/>
      <c r="BP191" s="196"/>
      <c r="BQ191" s="46"/>
      <c r="BR191" s="257"/>
      <c r="BS191" s="46"/>
      <c r="BT191" s="46"/>
      <c r="BU191" s="257"/>
      <c r="BV191" s="196"/>
      <c r="BW191" s="46"/>
      <c r="BX191" s="46"/>
      <c r="BY191" s="46"/>
      <c r="BZ191" s="46"/>
      <c r="CA191" s="257"/>
      <c r="CB191" s="196"/>
      <c r="CC191" s="46"/>
      <c r="CD191" s="257"/>
      <c r="CE191" s="46"/>
      <c r="CF191" s="46"/>
      <c r="CG191" s="257"/>
      <c r="CH191" s="46"/>
      <c r="CI191" s="46"/>
      <c r="CJ191" s="46"/>
      <c r="CK191" s="46"/>
      <c r="CL191" s="46"/>
      <c r="CM191" s="257"/>
      <c r="CN191" s="46"/>
      <c r="CO191" s="376"/>
      <c r="CP191" s="257"/>
      <c r="CQ191" s="196" t="s">
        <v>247</v>
      </c>
      <c r="CR191" s="190" t="s">
        <v>703</v>
      </c>
      <c r="CS191" s="257">
        <f t="shared" si="14"/>
        <v>98000</v>
      </c>
      <c r="CT191" s="196"/>
      <c r="CU191" s="317"/>
      <c r="CV191" s="391">
        <f t="shared" si="13"/>
        <v>0</v>
      </c>
      <c r="CW191" s="41"/>
      <c r="CX191" s="41"/>
      <c r="CY191" s="256"/>
      <c r="CZ191" s="308"/>
      <c r="DA191" s="308"/>
      <c r="DB191" s="420"/>
      <c r="DC191" s="41">
        <v>6</v>
      </c>
      <c r="DD191" s="41">
        <v>98</v>
      </c>
      <c r="DE191" s="256">
        <v>98000</v>
      </c>
      <c r="DF191" s="41"/>
      <c r="DG191" s="41"/>
      <c r="DH191" s="391"/>
      <c r="DI191" s="41"/>
      <c r="DJ191" s="41"/>
      <c r="DK191" s="203"/>
      <c r="DL191" s="256"/>
      <c r="DM191" s="41"/>
      <c r="DN191" s="41"/>
      <c r="DO191" s="41"/>
      <c r="DP191" s="420"/>
      <c r="DQ191" s="41"/>
      <c r="DR191" s="41"/>
      <c r="DS191" s="203"/>
      <c r="DT191" s="256"/>
      <c r="DU191" s="46"/>
      <c r="DV191" s="46"/>
      <c r="DW191" s="196"/>
      <c r="DX191" s="391"/>
      <c r="DY191" s="41"/>
      <c r="DZ191" s="41"/>
      <c r="EA191" s="41"/>
      <c r="EB191" s="69"/>
      <c r="EC191" s="41"/>
      <c r="ED191" s="41"/>
      <c r="EE191" s="41"/>
      <c r="EF191" s="420"/>
      <c r="EG191" s="41"/>
      <c r="EH191" s="41"/>
      <c r="EI191" s="41"/>
      <c r="EJ191" s="256"/>
      <c r="EK191" s="41"/>
      <c r="EL191" s="41"/>
      <c r="EM191" s="41"/>
      <c r="EN191" s="391"/>
    </row>
    <row r="192" spans="1:144" ht="25.5">
      <c r="A192" s="45">
        <v>185</v>
      </c>
      <c r="B192" s="53" t="s">
        <v>301</v>
      </c>
      <c r="C192" s="45">
        <v>3</v>
      </c>
      <c r="D192" s="53" t="s">
        <v>536</v>
      </c>
      <c r="E192" s="54">
        <v>14</v>
      </c>
      <c r="F192" s="56">
        <v>7</v>
      </c>
      <c r="G192" s="397">
        <f>6239.2428/1000</f>
        <v>6.2392428000000004</v>
      </c>
      <c r="H192" s="59">
        <v>0</v>
      </c>
      <c r="I192" s="59">
        <v>6239.2427999999991</v>
      </c>
      <c r="J192" s="398">
        <v>28.67470680000001</v>
      </c>
      <c r="K192" s="414">
        <f t="shared" si="11"/>
        <v>34.913949600000009</v>
      </c>
      <c r="L192" s="397"/>
      <c r="M192" s="397"/>
      <c r="N192" s="397">
        <f t="shared" si="10"/>
        <v>34.913949600000009</v>
      </c>
      <c r="O192" s="399">
        <f t="shared" si="12"/>
        <v>33.799999999999997</v>
      </c>
      <c r="P192" s="369" t="s">
        <v>1012</v>
      </c>
      <c r="Q192" s="46"/>
      <c r="R192" s="218"/>
      <c r="S192" s="257"/>
      <c r="T192" s="196"/>
      <c r="U192" s="46"/>
      <c r="V192" s="46"/>
      <c r="W192" s="257"/>
      <c r="X192" s="46"/>
      <c r="Y192" s="46"/>
      <c r="Z192" s="46"/>
      <c r="AA192" s="257"/>
      <c r="AB192" s="196"/>
      <c r="AC192" s="46"/>
      <c r="AD192" s="167"/>
      <c r="AE192" s="257"/>
      <c r="AF192" s="196" t="s">
        <v>227</v>
      </c>
      <c r="AG192" s="46" t="s">
        <v>335</v>
      </c>
      <c r="AH192" s="46">
        <v>26</v>
      </c>
      <c r="AI192" s="196" t="s">
        <v>552</v>
      </c>
      <c r="AJ192" s="400">
        <f>AH192*1300</f>
        <v>33800</v>
      </c>
      <c r="AK192" s="196"/>
      <c r="AL192" s="46"/>
      <c r="AM192" s="218"/>
      <c r="AN192" s="257"/>
      <c r="AO192" s="196"/>
      <c r="AP192" s="46"/>
      <c r="AQ192" s="257"/>
      <c r="AR192" s="196"/>
      <c r="AS192" s="46"/>
      <c r="AT192" s="257"/>
      <c r="AU192" s="196"/>
      <c r="AV192" s="46"/>
      <c r="AW192" s="257"/>
      <c r="AX192" s="196"/>
      <c r="AY192" s="46"/>
      <c r="AZ192" s="257"/>
      <c r="BA192" s="46"/>
      <c r="BB192" s="46"/>
      <c r="BC192" s="46"/>
      <c r="BD192" s="46"/>
      <c r="BE192" s="46"/>
      <c r="BF192" s="257"/>
      <c r="BG192" s="46"/>
      <c r="BH192" s="46"/>
      <c r="BI192" s="46"/>
      <c r="BJ192" s="196"/>
      <c r="BK192" s="46"/>
      <c r="BL192" s="46"/>
      <c r="BM192" s="46"/>
      <c r="BN192" s="46"/>
      <c r="BO192" s="257"/>
      <c r="BP192" s="196"/>
      <c r="BQ192" s="46"/>
      <c r="BR192" s="257"/>
      <c r="BS192" s="46"/>
      <c r="BT192" s="46"/>
      <c r="BU192" s="257"/>
      <c r="BV192" s="196"/>
      <c r="BW192" s="46"/>
      <c r="BX192" s="46"/>
      <c r="BY192" s="46"/>
      <c r="BZ192" s="46"/>
      <c r="CA192" s="257"/>
      <c r="CB192" s="196"/>
      <c r="CC192" s="46"/>
      <c r="CD192" s="257"/>
      <c r="CE192" s="46"/>
      <c r="CF192" s="46"/>
      <c r="CG192" s="257"/>
      <c r="CH192" s="46"/>
      <c r="CI192" s="46"/>
      <c r="CJ192" s="46"/>
      <c r="CK192" s="46"/>
      <c r="CL192" s="46"/>
      <c r="CM192" s="257"/>
      <c r="CN192" s="46"/>
      <c r="CO192" s="376"/>
      <c r="CP192" s="257"/>
      <c r="CQ192" s="196"/>
      <c r="CR192" s="190"/>
      <c r="CS192" s="257">
        <f t="shared" si="14"/>
        <v>0</v>
      </c>
      <c r="CT192" s="196"/>
      <c r="CU192" s="317"/>
      <c r="CV192" s="391">
        <f t="shared" si="13"/>
        <v>0</v>
      </c>
      <c r="CW192" s="41"/>
      <c r="CX192" s="41"/>
      <c r="CY192" s="256"/>
      <c r="CZ192" s="308"/>
      <c r="DA192" s="308"/>
      <c r="DB192" s="420"/>
      <c r="DC192" s="41"/>
      <c r="DD192" s="41"/>
      <c r="DE192" s="256"/>
      <c r="DF192" s="41"/>
      <c r="DG192" s="41"/>
      <c r="DH192" s="391"/>
      <c r="DI192" s="41"/>
      <c r="DJ192" s="41"/>
      <c r="DK192" s="203"/>
      <c r="DL192" s="256"/>
      <c r="DM192" s="41"/>
      <c r="DN192" s="41"/>
      <c r="DO192" s="41"/>
      <c r="DP192" s="420"/>
      <c r="DQ192" s="41"/>
      <c r="DR192" s="41"/>
      <c r="DS192" s="203"/>
      <c r="DT192" s="256"/>
      <c r="DU192" s="46"/>
      <c r="DV192" s="46"/>
      <c r="DW192" s="196"/>
      <c r="DX192" s="391"/>
      <c r="DY192" s="41"/>
      <c r="DZ192" s="41"/>
      <c r="EA192" s="41"/>
      <c r="EB192" s="69"/>
      <c r="EC192" s="41"/>
      <c r="ED192" s="41"/>
      <c r="EE192" s="41"/>
      <c r="EF192" s="420"/>
      <c r="EG192" s="41"/>
      <c r="EH192" s="41"/>
      <c r="EI192" s="41"/>
      <c r="EJ192" s="256"/>
      <c r="EK192" s="41"/>
      <c r="EL192" s="41"/>
      <c r="EM192" s="41"/>
      <c r="EN192" s="391"/>
    </row>
    <row r="193" spans="1:144" ht="34.5">
      <c r="A193" s="45">
        <v>186</v>
      </c>
      <c r="B193" s="53" t="s">
        <v>301</v>
      </c>
      <c r="C193" s="45">
        <v>3</v>
      </c>
      <c r="D193" s="53" t="s">
        <v>274</v>
      </c>
      <c r="E193" s="54">
        <v>19</v>
      </c>
      <c r="F193" s="56">
        <v>5</v>
      </c>
      <c r="G193" s="397">
        <f>372615.012/1000</f>
        <v>372.61501199999998</v>
      </c>
      <c r="H193" s="59">
        <v>372615.01199999999</v>
      </c>
      <c r="I193" s="59">
        <v>0</v>
      </c>
      <c r="J193" s="398">
        <v>513.61987999999997</v>
      </c>
      <c r="K193" s="414">
        <f t="shared" si="11"/>
        <v>886.23489199999995</v>
      </c>
      <c r="L193" s="397"/>
      <c r="M193" s="397"/>
      <c r="N193" s="397">
        <f t="shared" si="10"/>
        <v>886.23489199999995</v>
      </c>
      <c r="O193" s="399">
        <f t="shared" si="12"/>
        <v>853</v>
      </c>
      <c r="P193" s="369" t="s">
        <v>795</v>
      </c>
      <c r="Q193" s="46">
        <v>2</v>
      </c>
      <c r="R193" s="218" t="s">
        <v>706</v>
      </c>
      <c r="S193" s="257">
        <f>2*180000</f>
        <v>360000</v>
      </c>
      <c r="T193" s="196"/>
      <c r="U193" s="46"/>
      <c r="V193" s="46"/>
      <c r="W193" s="257"/>
      <c r="X193" s="46"/>
      <c r="Y193" s="46"/>
      <c r="Z193" s="46"/>
      <c r="AA193" s="257"/>
      <c r="AB193" s="196"/>
      <c r="AC193" s="46"/>
      <c r="AD193" s="167"/>
      <c r="AE193" s="257"/>
      <c r="AF193" s="196"/>
      <c r="AG193" s="46"/>
      <c r="AH193" s="46"/>
      <c r="AI193" s="196"/>
      <c r="AJ193" s="400"/>
      <c r="AK193" s="196"/>
      <c r="AL193" s="46"/>
      <c r="AM193" s="218"/>
      <c r="AN193" s="257"/>
      <c r="AO193" s="196"/>
      <c r="AP193" s="46"/>
      <c r="AQ193" s="257"/>
      <c r="AR193" s="196"/>
      <c r="AS193" s="46"/>
      <c r="AT193" s="257"/>
      <c r="AU193" s="196" t="s">
        <v>248</v>
      </c>
      <c r="AV193" s="190" t="s">
        <v>709</v>
      </c>
      <c r="AW193" s="257">
        <f>336*500+50000</f>
        <v>218000</v>
      </c>
      <c r="AX193" s="196"/>
      <c r="AY193" s="46"/>
      <c r="AZ193" s="257"/>
      <c r="BA193" s="46"/>
      <c r="BB193" s="46"/>
      <c r="BC193" s="46"/>
      <c r="BD193" s="46"/>
      <c r="BE193" s="46"/>
      <c r="BF193" s="257"/>
      <c r="BG193" s="46"/>
      <c r="BH193" s="46"/>
      <c r="BI193" s="46"/>
      <c r="BJ193" s="196"/>
      <c r="BK193" s="46"/>
      <c r="BL193" s="46"/>
      <c r="BM193" s="46"/>
      <c r="BN193" s="46"/>
      <c r="BO193" s="257"/>
      <c r="BP193" s="196" t="s">
        <v>248</v>
      </c>
      <c r="BQ193" s="190" t="s">
        <v>707</v>
      </c>
      <c r="BR193" s="257">
        <v>200000</v>
      </c>
      <c r="BS193" s="46"/>
      <c r="BT193" s="46"/>
      <c r="BU193" s="257"/>
      <c r="BV193" s="196"/>
      <c r="BW193" s="46"/>
      <c r="BX193" s="46"/>
      <c r="BY193" s="46"/>
      <c r="BZ193" s="46"/>
      <c r="CA193" s="257"/>
      <c r="CB193" s="196"/>
      <c r="CC193" s="46"/>
      <c r="CD193" s="257"/>
      <c r="CE193" s="46"/>
      <c r="CF193" s="46"/>
      <c r="CG193" s="257"/>
      <c r="CH193" s="46"/>
      <c r="CI193" s="46"/>
      <c r="CJ193" s="46"/>
      <c r="CK193" s="46"/>
      <c r="CL193" s="46"/>
      <c r="CM193" s="257"/>
      <c r="CN193" s="46">
        <v>6</v>
      </c>
      <c r="CO193" s="377" t="s">
        <v>708</v>
      </c>
      <c r="CP193" s="257">
        <f>15000+60000</f>
        <v>75000</v>
      </c>
      <c r="CQ193" s="196"/>
      <c r="CR193" s="286"/>
      <c r="CS193" s="257">
        <f t="shared" si="14"/>
        <v>0</v>
      </c>
      <c r="CT193" s="196"/>
      <c r="CU193" s="317"/>
      <c r="CV193" s="391">
        <f t="shared" si="13"/>
        <v>0</v>
      </c>
      <c r="CW193" s="41"/>
      <c r="CX193" s="41"/>
      <c r="CY193" s="256"/>
      <c r="CZ193" s="308"/>
      <c r="DA193" s="308"/>
      <c r="DB193" s="420"/>
      <c r="DC193" s="41"/>
      <c r="DD193" s="41"/>
      <c r="DE193" s="256"/>
      <c r="DF193" s="41"/>
      <c r="DG193" s="41"/>
      <c r="DH193" s="391"/>
      <c r="DI193" s="41"/>
      <c r="DJ193" s="41"/>
      <c r="DK193" s="203"/>
      <c r="DL193" s="256"/>
      <c r="DM193" s="41"/>
      <c r="DN193" s="41"/>
      <c r="DO193" s="41"/>
      <c r="DP193" s="420"/>
      <c r="DQ193" s="41"/>
      <c r="DR193" s="41"/>
      <c r="DS193" s="203"/>
      <c r="DT193" s="256"/>
      <c r="DU193" s="46"/>
      <c r="DV193" s="46"/>
      <c r="DW193" s="196"/>
      <c r="DX193" s="391"/>
      <c r="DY193" s="41"/>
      <c r="DZ193" s="41"/>
      <c r="EA193" s="41"/>
      <c r="EB193" s="69"/>
      <c r="EC193" s="41"/>
      <c r="ED193" s="41"/>
      <c r="EE193" s="41"/>
      <c r="EF193" s="420"/>
      <c r="EG193" s="41"/>
      <c r="EH193" s="41"/>
      <c r="EI193" s="41"/>
      <c r="EJ193" s="256"/>
      <c r="EK193" s="41"/>
      <c r="EL193" s="41"/>
      <c r="EM193" s="41"/>
      <c r="EN193" s="391"/>
    </row>
    <row r="194" spans="1:144" s="28" customFormat="1" ht="25.5">
      <c r="A194" s="45">
        <v>187</v>
      </c>
      <c r="B194" s="53" t="s">
        <v>301</v>
      </c>
      <c r="C194" s="45">
        <v>3</v>
      </c>
      <c r="D194" s="53" t="s">
        <v>536</v>
      </c>
      <c r="E194" s="54">
        <v>20</v>
      </c>
      <c r="F194" s="56">
        <v>7</v>
      </c>
      <c r="G194" s="397">
        <f>61866.3906/1000</f>
        <v>61.866390599999995</v>
      </c>
      <c r="H194" s="59">
        <v>0</v>
      </c>
      <c r="I194" s="59">
        <v>61866.390599999999</v>
      </c>
      <c r="J194" s="398">
        <v>-181.96709519999999</v>
      </c>
      <c r="K194" s="414">
        <f t="shared" si="11"/>
        <v>-120.1007046</v>
      </c>
      <c r="L194" s="397"/>
      <c r="M194" s="397"/>
      <c r="N194" s="397">
        <f t="shared" ref="N194:N245" si="15">K194-L194</f>
        <v>-120.1007046</v>
      </c>
      <c r="O194" s="399">
        <f t="shared" si="12"/>
        <v>0</v>
      </c>
      <c r="P194" s="369" t="s">
        <v>1012</v>
      </c>
      <c r="Q194" s="46"/>
      <c r="R194" s="218"/>
      <c r="S194" s="257"/>
      <c r="T194" s="196"/>
      <c r="U194" s="46"/>
      <c r="V194" s="46"/>
      <c r="W194" s="257"/>
      <c r="X194" s="46"/>
      <c r="Y194" s="46"/>
      <c r="Z194" s="46"/>
      <c r="AA194" s="257"/>
      <c r="AB194" s="196"/>
      <c r="AC194" s="46"/>
      <c r="AD194" s="167"/>
      <c r="AE194" s="257"/>
      <c r="AF194" s="196"/>
      <c r="AG194" s="46"/>
      <c r="AH194" s="46"/>
      <c r="AI194" s="196"/>
      <c r="AJ194" s="400"/>
      <c r="AK194" s="196"/>
      <c r="AL194" s="46"/>
      <c r="AM194" s="218"/>
      <c r="AN194" s="257"/>
      <c r="AO194" s="196"/>
      <c r="AP194" s="46"/>
      <c r="AQ194" s="257"/>
      <c r="AR194" s="196"/>
      <c r="AS194" s="46"/>
      <c r="AT194" s="257"/>
      <c r="AU194" s="196"/>
      <c r="AV194" s="46"/>
      <c r="AW194" s="257"/>
      <c r="AX194" s="196"/>
      <c r="AY194" s="46"/>
      <c r="AZ194" s="257"/>
      <c r="BA194" s="46"/>
      <c r="BB194" s="46"/>
      <c r="BC194" s="46"/>
      <c r="BD194" s="46"/>
      <c r="BE194" s="46"/>
      <c r="BF194" s="257"/>
      <c r="BG194" s="46"/>
      <c r="BH194" s="46"/>
      <c r="BI194" s="46"/>
      <c r="BJ194" s="196"/>
      <c r="BK194" s="46"/>
      <c r="BL194" s="46"/>
      <c r="BM194" s="46"/>
      <c r="BN194" s="46"/>
      <c r="BO194" s="257"/>
      <c r="BP194" s="196"/>
      <c r="BQ194" s="46"/>
      <c r="BR194" s="257"/>
      <c r="BS194" s="46"/>
      <c r="BT194" s="46"/>
      <c r="BU194" s="257"/>
      <c r="BV194" s="196"/>
      <c r="BW194" s="46"/>
      <c r="BX194" s="46"/>
      <c r="BY194" s="46"/>
      <c r="BZ194" s="46"/>
      <c r="CA194" s="257"/>
      <c r="CB194" s="196"/>
      <c r="CC194" s="46"/>
      <c r="CD194" s="257"/>
      <c r="CE194" s="46"/>
      <c r="CF194" s="46"/>
      <c r="CG194" s="257"/>
      <c r="CH194" s="46"/>
      <c r="CI194" s="46"/>
      <c r="CJ194" s="46"/>
      <c r="CK194" s="46"/>
      <c r="CL194" s="46"/>
      <c r="CM194" s="257"/>
      <c r="CN194" s="46"/>
      <c r="CO194" s="376"/>
      <c r="CP194" s="257"/>
      <c r="CQ194" s="196"/>
      <c r="CR194" s="190"/>
      <c r="CS194" s="257">
        <f t="shared" si="14"/>
        <v>0</v>
      </c>
      <c r="CT194" s="196"/>
      <c r="CU194" s="317"/>
      <c r="CV194" s="391">
        <f t="shared" si="13"/>
        <v>0</v>
      </c>
      <c r="CW194" s="46"/>
      <c r="CX194" s="46"/>
      <c r="CY194" s="257"/>
      <c r="CZ194" s="308"/>
      <c r="DA194" s="308"/>
      <c r="DB194" s="420"/>
      <c r="DC194" s="46"/>
      <c r="DD194" s="46"/>
      <c r="DE194" s="257"/>
      <c r="DF194" s="46"/>
      <c r="DG194" s="46"/>
      <c r="DH194" s="391"/>
      <c r="DI194" s="46"/>
      <c r="DJ194" s="46"/>
      <c r="DK194" s="196"/>
      <c r="DL194" s="257"/>
      <c r="DM194" s="46"/>
      <c r="DN194" s="46"/>
      <c r="DO194" s="46"/>
      <c r="DP194" s="420"/>
      <c r="DQ194" s="46"/>
      <c r="DR194" s="46"/>
      <c r="DS194" s="196"/>
      <c r="DT194" s="257"/>
      <c r="DU194" s="46"/>
      <c r="DV194" s="46"/>
      <c r="DW194" s="196"/>
      <c r="DX194" s="391"/>
      <c r="DY194" s="46"/>
      <c r="DZ194" s="46"/>
      <c r="EA194" s="46"/>
      <c r="EB194" s="46"/>
      <c r="EC194" s="46"/>
      <c r="ED194" s="46"/>
      <c r="EE194" s="46"/>
      <c r="EF194" s="420"/>
      <c r="EG194" s="46"/>
      <c r="EH194" s="46"/>
      <c r="EI194" s="46"/>
      <c r="EJ194" s="257"/>
      <c r="EK194" s="46"/>
      <c r="EL194" s="46"/>
      <c r="EM194" s="46"/>
      <c r="EN194" s="391"/>
    </row>
    <row r="195" spans="1:144" ht="30">
      <c r="A195" s="45">
        <v>188</v>
      </c>
      <c r="B195" s="53" t="s">
        <v>301</v>
      </c>
      <c r="C195" s="45">
        <v>3</v>
      </c>
      <c r="D195" s="53" t="s">
        <v>536</v>
      </c>
      <c r="E195" s="54" t="s">
        <v>278</v>
      </c>
      <c r="F195" s="56">
        <v>7</v>
      </c>
      <c r="G195" s="397">
        <f>84532.014/1000</f>
        <v>84.53201399999999</v>
      </c>
      <c r="H195" s="59">
        <v>0</v>
      </c>
      <c r="I195" s="59">
        <v>84532.013999999996</v>
      </c>
      <c r="J195" s="398">
        <v>346.43291999999997</v>
      </c>
      <c r="K195" s="414">
        <f t="shared" si="11"/>
        <v>430.96493399999997</v>
      </c>
      <c r="L195" s="397"/>
      <c r="M195" s="397"/>
      <c r="N195" s="397">
        <f t="shared" si="15"/>
        <v>430.96493399999997</v>
      </c>
      <c r="O195" s="399">
        <f t="shared" si="12"/>
        <v>440</v>
      </c>
      <c r="P195" s="369" t="s">
        <v>1012</v>
      </c>
      <c r="Q195" s="46"/>
      <c r="R195" s="218"/>
      <c r="S195" s="257"/>
      <c r="T195" s="196"/>
      <c r="U195" s="46"/>
      <c r="V195" s="46"/>
      <c r="W195" s="257"/>
      <c r="X195" s="46"/>
      <c r="Y195" s="46"/>
      <c r="Z195" s="46"/>
      <c r="AA195" s="257"/>
      <c r="AB195" s="196"/>
      <c r="AC195" s="46"/>
      <c r="AD195" s="167"/>
      <c r="AE195" s="257"/>
      <c r="AF195" s="196"/>
      <c r="AG195" s="46"/>
      <c r="AH195" s="46"/>
      <c r="AI195" s="196"/>
      <c r="AJ195" s="400"/>
      <c r="AK195" s="196"/>
      <c r="AL195" s="46"/>
      <c r="AM195" s="218"/>
      <c r="AN195" s="257"/>
      <c r="AO195" s="196"/>
      <c r="AP195" s="46"/>
      <c r="AQ195" s="257"/>
      <c r="AR195" s="196"/>
      <c r="AS195" s="46"/>
      <c r="AT195" s="257"/>
      <c r="AU195" s="196"/>
      <c r="AV195" s="46"/>
      <c r="AW195" s="257"/>
      <c r="AX195" s="196"/>
      <c r="AY195" s="46"/>
      <c r="AZ195" s="257"/>
      <c r="BA195" s="46"/>
      <c r="BB195" s="46"/>
      <c r="BC195" s="46"/>
      <c r="BD195" s="46"/>
      <c r="BE195" s="46"/>
      <c r="BF195" s="257"/>
      <c r="BG195" s="46"/>
      <c r="BH195" s="46"/>
      <c r="BI195" s="46"/>
      <c r="BJ195" s="196"/>
      <c r="BK195" s="46"/>
      <c r="BL195" s="46"/>
      <c r="BM195" s="46"/>
      <c r="BN195" s="46"/>
      <c r="BO195" s="257"/>
      <c r="BP195" s="196"/>
      <c r="BQ195" s="46"/>
      <c r="BR195" s="257"/>
      <c r="BS195" s="46"/>
      <c r="BT195" s="46"/>
      <c r="BU195" s="257"/>
      <c r="BV195" s="196"/>
      <c r="BW195" s="46"/>
      <c r="BX195" s="46"/>
      <c r="BY195" s="46"/>
      <c r="BZ195" s="46"/>
      <c r="CA195" s="257"/>
      <c r="CB195" s="196"/>
      <c r="CC195" s="46"/>
      <c r="CD195" s="257"/>
      <c r="CE195" s="46"/>
      <c r="CF195" s="46"/>
      <c r="CG195" s="257"/>
      <c r="CH195" s="46"/>
      <c r="CI195" s="46"/>
      <c r="CJ195" s="46"/>
      <c r="CK195" s="46"/>
      <c r="CL195" s="46"/>
      <c r="CM195" s="257"/>
      <c r="CN195" s="46"/>
      <c r="CO195" s="376"/>
      <c r="CP195" s="257"/>
      <c r="CQ195" s="218" t="s">
        <v>789</v>
      </c>
      <c r="CR195" s="190" t="s">
        <v>710</v>
      </c>
      <c r="CS195" s="257">
        <f t="shared" si="14"/>
        <v>440000</v>
      </c>
      <c r="CT195" s="196"/>
      <c r="CU195" s="317"/>
      <c r="CV195" s="391">
        <f t="shared" si="13"/>
        <v>0</v>
      </c>
      <c r="CW195" s="41">
        <v>5</v>
      </c>
      <c r="CX195" s="41">
        <v>8</v>
      </c>
      <c r="CY195" s="256">
        <f>CX195*30000</f>
        <v>240000</v>
      </c>
      <c r="CZ195" s="308"/>
      <c r="DA195" s="308"/>
      <c r="DB195" s="420"/>
      <c r="DC195" s="41">
        <v>6</v>
      </c>
      <c r="DD195" s="41">
        <v>200</v>
      </c>
      <c r="DE195" s="256">
        <v>200000</v>
      </c>
      <c r="DF195" s="41"/>
      <c r="DG195" s="41"/>
      <c r="DH195" s="391"/>
      <c r="DI195" s="41"/>
      <c r="DJ195" s="41"/>
      <c r="DK195" s="203"/>
      <c r="DL195" s="256"/>
      <c r="DM195" s="41"/>
      <c r="DN195" s="41"/>
      <c r="DO195" s="41"/>
      <c r="DP195" s="420"/>
      <c r="DQ195" s="41"/>
      <c r="DR195" s="41"/>
      <c r="DS195" s="203"/>
      <c r="DT195" s="256"/>
      <c r="DU195" s="46"/>
      <c r="DV195" s="46"/>
      <c r="DW195" s="196"/>
      <c r="DX195" s="391"/>
      <c r="DY195" s="41"/>
      <c r="DZ195" s="41"/>
      <c r="EA195" s="41"/>
      <c r="EB195" s="69"/>
      <c r="EC195" s="41"/>
      <c r="ED195" s="41"/>
      <c r="EE195" s="41"/>
      <c r="EF195" s="420"/>
      <c r="EG195" s="41"/>
      <c r="EH195" s="41"/>
      <c r="EI195" s="41"/>
      <c r="EJ195" s="256"/>
      <c r="EK195" s="41"/>
      <c r="EL195" s="41"/>
      <c r="EM195" s="41"/>
      <c r="EN195" s="391"/>
    </row>
    <row r="196" spans="1:144" ht="25.5">
      <c r="A196" s="45">
        <v>189</v>
      </c>
      <c r="B196" s="53" t="s">
        <v>301</v>
      </c>
      <c r="C196" s="45">
        <v>3</v>
      </c>
      <c r="D196" s="55" t="s">
        <v>274</v>
      </c>
      <c r="E196" s="54">
        <v>25</v>
      </c>
      <c r="F196" s="56">
        <v>5</v>
      </c>
      <c r="G196" s="397">
        <f>293546.484/1000</f>
        <v>293.54648400000002</v>
      </c>
      <c r="H196" s="59">
        <v>293546.484</v>
      </c>
      <c r="I196" s="59">
        <v>0</v>
      </c>
      <c r="J196" s="398">
        <v>159.32432999999983</v>
      </c>
      <c r="K196" s="414">
        <f t="shared" si="11"/>
        <v>452.87081399999988</v>
      </c>
      <c r="L196" s="397"/>
      <c r="M196" s="397"/>
      <c r="N196" s="397">
        <f t="shared" si="15"/>
        <v>452.87081399999988</v>
      </c>
      <c r="O196" s="399">
        <f t="shared" si="12"/>
        <v>410</v>
      </c>
      <c r="P196" s="196" t="s">
        <v>228</v>
      </c>
      <c r="Q196" s="46">
        <v>1</v>
      </c>
      <c r="R196" s="218" t="s">
        <v>711</v>
      </c>
      <c r="S196" s="257">
        <f>80000+180000</f>
        <v>260000</v>
      </c>
      <c r="T196" s="196"/>
      <c r="U196" s="46"/>
      <c r="V196" s="46"/>
      <c r="W196" s="257"/>
      <c r="X196" s="46"/>
      <c r="Y196" s="46"/>
      <c r="Z196" s="46"/>
      <c r="AA196" s="257"/>
      <c r="AB196" s="196" t="s">
        <v>226</v>
      </c>
      <c r="AC196" s="46">
        <v>48</v>
      </c>
      <c r="AD196" s="167">
        <v>71.75</v>
      </c>
      <c r="AE196" s="257">
        <f>AC196*750</f>
        <v>36000</v>
      </c>
      <c r="AF196" s="196"/>
      <c r="AG196" s="46"/>
      <c r="AH196" s="46"/>
      <c r="AI196" s="196"/>
      <c r="AJ196" s="400"/>
      <c r="AK196" s="196"/>
      <c r="AL196" s="46"/>
      <c r="AM196" s="218"/>
      <c r="AN196" s="257"/>
      <c r="AO196" s="196"/>
      <c r="AP196" s="46"/>
      <c r="AQ196" s="257"/>
      <c r="AR196" s="196"/>
      <c r="AS196" s="46"/>
      <c r="AT196" s="257"/>
      <c r="AU196" s="196" t="s">
        <v>254</v>
      </c>
      <c r="AV196" s="46" t="s">
        <v>713</v>
      </c>
      <c r="AW196" s="257">
        <f>168*500</f>
        <v>84000</v>
      </c>
      <c r="AX196" s="196"/>
      <c r="AY196" s="46"/>
      <c r="AZ196" s="257"/>
      <c r="BA196" s="46"/>
      <c r="BB196" s="46"/>
      <c r="BC196" s="46"/>
      <c r="BD196" s="46"/>
      <c r="BE196" s="46"/>
      <c r="BF196" s="257"/>
      <c r="BG196" s="46"/>
      <c r="BH196" s="46"/>
      <c r="BI196" s="46"/>
      <c r="BJ196" s="196"/>
      <c r="BK196" s="46"/>
      <c r="BL196" s="46"/>
      <c r="BM196" s="46"/>
      <c r="BN196" s="46"/>
      <c r="BO196" s="257"/>
      <c r="BP196" s="196"/>
      <c r="BQ196" s="191"/>
      <c r="BR196" s="257"/>
      <c r="BS196" s="46"/>
      <c r="BT196" s="46"/>
      <c r="BU196" s="257"/>
      <c r="BV196" s="196"/>
      <c r="BW196" s="46"/>
      <c r="BX196" s="46"/>
      <c r="BY196" s="46"/>
      <c r="BZ196" s="46"/>
      <c r="CA196" s="257"/>
      <c r="CB196" s="196"/>
      <c r="CC196" s="46"/>
      <c r="CD196" s="257"/>
      <c r="CE196" s="46"/>
      <c r="CF196" s="46"/>
      <c r="CG196" s="257"/>
      <c r="CH196" s="46"/>
      <c r="CI196" s="46"/>
      <c r="CJ196" s="46"/>
      <c r="CK196" s="46"/>
      <c r="CL196" s="46"/>
      <c r="CM196" s="257"/>
      <c r="CN196" s="46"/>
      <c r="CO196" s="376"/>
      <c r="CP196" s="257"/>
      <c r="CQ196" s="196" t="s">
        <v>247</v>
      </c>
      <c r="CR196" s="286" t="s">
        <v>712</v>
      </c>
      <c r="CS196" s="257">
        <f t="shared" si="14"/>
        <v>30000</v>
      </c>
      <c r="CT196" s="218"/>
      <c r="CU196" s="317"/>
      <c r="CV196" s="391">
        <f t="shared" si="13"/>
        <v>0</v>
      </c>
      <c r="CW196" s="41"/>
      <c r="CX196" s="41"/>
      <c r="CY196" s="256"/>
      <c r="CZ196" s="308"/>
      <c r="DA196" s="308"/>
      <c r="DB196" s="420"/>
      <c r="DC196" s="41"/>
      <c r="DD196" s="41"/>
      <c r="DE196" s="256"/>
      <c r="DF196" s="41"/>
      <c r="DG196" s="41"/>
      <c r="DH196" s="391"/>
      <c r="DI196" s="41">
        <v>6</v>
      </c>
      <c r="DJ196" s="41">
        <v>1</v>
      </c>
      <c r="DK196" s="203" t="s">
        <v>224</v>
      </c>
      <c r="DL196" s="256">
        <v>15000</v>
      </c>
      <c r="DM196" s="41"/>
      <c r="DN196" s="41"/>
      <c r="DO196" s="41"/>
      <c r="DP196" s="420"/>
      <c r="DQ196" s="41">
        <v>6</v>
      </c>
      <c r="DR196" s="41">
        <v>1</v>
      </c>
      <c r="DS196" s="203" t="s">
        <v>224</v>
      </c>
      <c r="DT196" s="256">
        <v>15000</v>
      </c>
      <c r="DU196" s="46"/>
      <c r="DV196" s="46"/>
      <c r="DW196" s="196"/>
      <c r="DX196" s="391"/>
      <c r="DY196" s="41"/>
      <c r="DZ196" s="41"/>
      <c r="EA196" s="41"/>
      <c r="EB196" s="69"/>
      <c r="EC196" s="41"/>
      <c r="ED196" s="41"/>
      <c r="EE196" s="41"/>
      <c r="EF196" s="420"/>
      <c r="EG196" s="41"/>
      <c r="EH196" s="41"/>
      <c r="EI196" s="41"/>
      <c r="EJ196" s="256"/>
      <c r="EK196" s="60"/>
      <c r="EL196" s="41"/>
      <c r="EM196" s="41"/>
      <c r="EN196" s="391"/>
    </row>
    <row r="197" spans="1:144" ht="72.75">
      <c r="A197" s="45">
        <v>190</v>
      </c>
      <c r="B197" s="53" t="s">
        <v>301</v>
      </c>
      <c r="C197" s="45">
        <v>3</v>
      </c>
      <c r="D197" s="53" t="s">
        <v>274</v>
      </c>
      <c r="E197" s="54" t="s">
        <v>279</v>
      </c>
      <c r="F197" s="56">
        <v>5</v>
      </c>
      <c r="G197" s="397">
        <f>293463.324/1000</f>
        <v>293.463324</v>
      </c>
      <c r="H197" s="59">
        <v>293463.32399999996</v>
      </c>
      <c r="I197" s="59">
        <v>0</v>
      </c>
      <c r="J197" s="398">
        <v>431.95542999999986</v>
      </c>
      <c r="K197" s="414">
        <f t="shared" si="11"/>
        <v>725.41875399999981</v>
      </c>
      <c r="L197" s="397"/>
      <c r="M197" s="397"/>
      <c r="N197" s="397">
        <f t="shared" si="15"/>
        <v>725.41875399999981</v>
      </c>
      <c r="O197" s="399">
        <f t="shared" si="12"/>
        <v>480</v>
      </c>
      <c r="P197" s="196" t="s">
        <v>796</v>
      </c>
      <c r="Q197" s="46">
        <v>4</v>
      </c>
      <c r="R197" s="218" t="s">
        <v>714</v>
      </c>
      <c r="S197" s="257">
        <f>2*80000+25000*4</f>
        <v>260000</v>
      </c>
      <c r="T197" s="196"/>
      <c r="U197" s="46"/>
      <c r="V197" s="46"/>
      <c r="W197" s="257"/>
      <c r="X197" s="46"/>
      <c r="Y197" s="46"/>
      <c r="Z197" s="46"/>
      <c r="AA197" s="257"/>
      <c r="AB197" s="196"/>
      <c r="AC197" s="46"/>
      <c r="AD197" s="167"/>
      <c r="AE197" s="257"/>
      <c r="AF197" s="196"/>
      <c r="AG197" s="46"/>
      <c r="AH197" s="46"/>
      <c r="AI197" s="218"/>
      <c r="AJ197" s="400"/>
      <c r="AK197" s="196"/>
      <c r="AL197" s="46"/>
      <c r="AM197" s="218"/>
      <c r="AN197" s="257"/>
      <c r="AO197" s="237"/>
      <c r="AP197" s="46"/>
      <c r="AQ197" s="257"/>
      <c r="AR197" s="237"/>
      <c r="AS197" s="46"/>
      <c r="AT197" s="257"/>
      <c r="AU197" s="237"/>
      <c r="AV197" s="46"/>
      <c r="AW197" s="257"/>
      <c r="AX197" s="237"/>
      <c r="AY197" s="46"/>
      <c r="AZ197" s="257"/>
      <c r="BA197" s="46"/>
      <c r="BB197" s="46"/>
      <c r="BC197" s="46"/>
      <c r="BD197" s="46"/>
      <c r="BE197" s="46"/>
      <c r="BF197" s="257"/>
      <c r="BG197" s="46"/>
      <c r="BH197" s="46"/>
      <c r="BI197" s="46"/>
      <c r="BJ197" s="196"/>
      <c r="BK197" s="46"/>
      <c r="BL197" s="46"/>
      <c r="BM197" s="46"/>
      <c r="BN197" s="46"/>
      <c r="BO197" s="257"/>
      <c r="BP197" s="196"/>
      <c r="BQ197" s="190"/>
      <c r="BR197" s="257"/>
      <c r="BS197" s="46"/>
      <c r="BT197" s="167"/>
      <c r="BU197" s="257"/>
      <c r="BV197" s="196"/>
      <c r="BW197" s="46"/>
      <c r="BX197" s="46"/>
      <c r="BY197" s="46"/>
      <c r="BZ197" s="46"/>
      <c r="CA197" s="257"/>
      <c r="CB197" s="196"/>
      <c r="CC197" s="46"/>
      <c r="CD197" s="257"/>
      <c r="CE197" s="46"/>
      <c r="CF197" s="46"/>
      <c r="CG197" s="257"/>
      <c r="CH197" s="46"/>
      <c r="CI197" s="46"/>
      <c r="CJ197" s="46"/>
      <c r="CK197" s="46"/>
      <c r="CL197" s="46"/>
      <c r="CM197" s="257"/>
      <c r="CN197" s="46"/>
      <c r="CO197" s="376"/>
      <c r="CP197" s="257"/>
      <c r="CQ197" s="196" t="s">
        <v>792</v>
      </c>
      <c r="CR197" s="286" t="s">
        <v>715</v>
      </c>
      <c r="CS197" s="257">
        <f>CY197+DE197+DL197+DT197+EB197+EJ197+10000+4*10000+30000</f>
        <v>220000</v>
      </c>
      <c r="CT197" s="218"/>
      <c r="CU197" s="317"/>
      <c r="CV197" s="391">
        <f t="shared" si="13"/>
        <v>0</v>
      </c>
      <c r="CW197" s="41"/>
      <c r="CX197" s="41"/>
      <c r="CY197" s="256"/>
      <c r="CZ197" s="308"/>
      <c r="DA197" s="308"/>
      <c r="DB197" s="420"/>
      <c r="DC197" s="41"/>
      <c r="DD197" s="41"/>
      <c r="DE197" s="256"/>
      <c r="DF197" s="41"/>
      <c r="DG197" s="41"/>
      <c r="DH197" s="391"/>
      <c r="DI197" s="41">
        <v>5</v>
      </c>
      <c r="DJ197" s="41">
        <v>4</v>
      </c>
      <c r="DK197" s="203" t="s">
        <v>632</v>
      </c>
      <c r="DL197" s="256">
        <f>4*15000</f>
        <v>60000</v>
      </c>
      <c r="DM197" s="41"/>
      <c r="DN197" s="41"/>
      <c r="DO197" s="41"/>
      <c r="DP197" s="420"/>
      <c r="DQ197" s="41">
        <v>5</v>
      </c>
      <c r="DR197" s="41">
        <v>4</v>
      </c>
      <c r="DS197" s="203" t="s">
        <v>632</v>
      </c>
      <c r="DT197" s="256">
        <f>4*20000</f>
        <v>80000</v>
      </c>
      <c r="DU197" s="46"/>
      <c r="DV197" s="46"/>
      <c r="DW197" s="196"/>
      <c r="DX197" s="391"/>
      <c r="DY197" s="41"/>
      <c r="DZ197" s="41"/>
      <c r="EA197" s="41"/>
      <c r="EB197" s="69"/>
      <c r="EC197" s="41"/>
      <c r="ED197" s="41"/>
      <c r="EE197" s="41"/>
      <c r="EF197" s="420"/>
      <c r="EG197" s="41"/>
      <c r="EH197" s="41"/>
      <c r="EI197" s="41"/>
      <c r="EJ197" s="256"/>
      <c r="EK197" s="41"/>
      <c r="EL197" s="41"/>
      <c r="EM197" s="41"/>
      <c r="EN197" s="391"/>
    </row>
    <row r="198" spans="1:144" ht="25.5">
      <c r="A198" s="45">
        <v>191</v>
      </c>
      <c r="B198" s="53" t="s">
        <v>301</v>
      </c>
      <c r="C198" s="45">
        <v>3</v>
      </c>
      <c r="D198" s="55" t="s">
        <v>274</v>
      </c>
      <c r="E198" s="54">
        <v>30</v>
      </c>
      <c r="F198" s="56">
        <v>5</v>
      </c>
      <c r="G198" s="397">
        <f>225438.444/1000</f>
        <v>225.43844399999998</v>
      </c>
      <c r="H198" s="59">
        <v>225438.44400000002</v>
      </c>
      <c r="I198" s="59">
        <v>0</v>
      </c>
      <c r="J198" s="398">
        <v>237.60079000000002</v>
      </c>
      <c r="K198" s="414">
        <f t="shared" si="11"/>
        <v>463.03923399999996</v>
      </c>
      <c r="L198" s="397"/>
      <c r="M198" s="397"/>
      <c r="N198" s="397">
        <f t="shared" si="15"/>
        <v>463.03923399999996</v>
      </c>
      <c r="O198" s="399">
        <f t="shared" si="12"/>
        <v>473.6</v>
      </c>
      <c r="P198" s="196"/>
      <c r="Q198" s="46"/>
      <c r="R198" s="218"/>
      <c r="S198" s="257"/>
      <c r="T198" s="196"/>
      <c r="U198" s="46"/>
      <c r="V198" s="46"/>
      <c r="W198" s="257"/>
      <c r="X198" s="46"/>
      <c r="Y198" s="46"/>
      <c r="Z198" s="46"/>
      <c r="AA198" s="257"/>
      <c r="AB198" s="196"/>
      <c r="AC198" s="46"/>
      <c r="AD198" s="167"/>
      <c r="AE198" s="257"/>
      <c r="AF198" s="196"/>
      <c r="AG198" s="46"/>
      <c r="AH198" s="46"/>
      <c r="AI198" s="218"/>
      <c r="AJ198" s="400"/>
      <c r="AK198" s="196"/>
      <c r="AL198" s="46"/>
      <c r="AM198" s="218"/>
      <c r="AN198" s="257"/>
      <c r="AO198" s="196" t="s">
        <v>229</v>
      </c>
      <c r="AP198" s="46">
        <v>88</v>
      </c>
      <c r="AQ198" s="257">
        <f>AP198*2200</f>
        <v>193600</v>
      </c>
      <c r="AR198" s="196"/>
      <c r="AS198" s="46"/>
      <c r="AT198" s="257"/>
      <c r="AU198" s="196" t="s">
        <v>248</v>
      </c>
      <c r="AV198" s="46">
        <v>60</v>
      </c>
      <c r="AW198" s="257">
        <f>AV198*3000</f>
        <v>180000</v>
      </c>
      <c r="AX198" s="196"/>
      <c r="AY198" s="46"/>
      <c r="AZ198" s="257"/>
      <c r="BA198" s="46"/>
      <c r="BB198" s="46"/>
      <c r="BC198" s="46"/>
      <c r="BD198" s="46"/>
      <c r="BE198" s="46"/>
      <c r="BF198" s="257"/>
      <c r="BG198" s="46"/>
      <c r="BH198" s="46"/>
      <c r="BI198" s="46"/>
      <c r="BJ198" s="196"/>
      <c r="BK198" s="46"/>
      <c r="BL198" s="46"/>
      <c r="BM198" s="46"/>
      <c r="BN198" s="46"/>
      <c r="BO198" s="257"/>
      <c r="BP198" s="196" t="s">
        <v>523</v>
      </c>
      <c r="BQ198" s="190" t="s">
        <v>326</v>
      </c>
      <c r="BR198" s="257">
        <v>100000</v>
      </c>
      <c r="BS198" s="46"/>
      <c r="BT198" s="46"/>
      <c r="BU198" s="257"/>
      <c r="BV198" s="196"/>
      <c r="BW198" s="46"/>
      <c r="BX198" s="46"/>
      <c r="BY198" s="46"/>
      <c r="BZ198" s="46"/>
      <c r="CA198" s="257"/>
      <c r="CB198" s="196"/>
      <c r="CC198" s="46"/>
      <c r="CD198" s="257"/>
      <c r="CE198" s="46"/>
      <c r="CF198" s="46"/>
      <c r="CG198" s="257"/>
      <c r="CH198" s="46"/>
      <c r="CI198" s="46"/>
      <c r="CJ198" s="46"/>
      <c r="CK198" s="46"/>
      <c r="CL198" s="46"/>
      <c r="CM198" s="257"/>
      <c r="CN198" s="46"/>
      <c r="CO198" s="376"/>
      <c r="CP198" s="257"/>
      <c r="CQ198" s="196"/>
      <c r="CR198" s="286"/>
      <c r="CS198" s="257">
        <f t="shared" si="14"/>
        <v>0</v>
      </c>
      <c r="CT198" s="218"/>
      <c r="CU198" s="317"/>
      <c r="CV198" s="391">
        <f t="shared" si="13"/>
        <v>0</v>
      </c>
      <c r="CW198" s="41"/>
      <c r="CX198" s="41"/>
      <c r="CY198" s="256"/>
      <c r="CZ198" s="308"/>
      <c r="DA198" s="308"/>
      <c r="DB198" s="420"/>
      <c r="DC198" s="41"/>
      <c r="DD198" s="41"/>
      <c r="DE198" s="256"/>
      <c r="DF198" s="41"/>
      <c r="DG198" s="41"/>
      <c r="DH198" s="391"/>
      <c r="DI198" s="41"/>
      <c r="DJ198" s="41"/>
      <c r="DK198" s="203"/>
      <c r="DL198" s="256"/>
      <c r="DM198" s="41"/>
      <c r="DN198" s="41"/>
      <c r="DO198" s="41"/>
      <c r="DP198" s="420"/>
      <c r="DQ198" s="41"/>
      <c r="DR198" s="41"/>
      <c r="DS198" s="203"/>
      <c r="DT198" s="256"/>
      <c r="DU198" s="46"/>
      <c r="DV198" s="46"/>
      <c r="DW198" s="196"/>
      <c r="DX198" s="391"/>
      <c r="DY198" s="41"/>
      <c r="DZ198" s="41"/>
      <c r="EA198" s="41"/>
      <c r="EB198" s="69"/>
      <c r="EC198" s="41"/>
      <c r="ED198" s="41"/>
      <c r="EE198" s="41"/>
      <c r="EF198" s="420"/>
      <c r="EG198" s="41"/>
      <c r="EH198" s="41"/>
      <c r="EI198" s="41"/>
      <c r="EJ198" s="256"/>
      <c r="EK198" s="41"/>
      <c r="EL198" s="41"/>
      <c r="EM198" s="41"/>
      <c r="EN198" s="391"/>
    </row>
    <row r="199" spans="1:144" ht="25.5">
      <c r="A199" s="45">
        <v>192</v>
      </c>
      <c r="B199" s="53" t="s">
        <v>301</v>
      </c>
      <c r="C199" s="45">
        <v>3</v>
      </c>
      <c r="D199" s="53" t="s">
        <v>274</v>
      </c>
      <c r="E199" s="54">
        <v>33</v>
      </c>
      <c r="F199" s="56">
        <v>5</v>
      </c>
      <c r="G199" s="397">
        <f>264299.112/1000</f>
        <v>264.29911200000004</v>
      </c>
      <c r="H199" s="59">
        <v>264299.11199999996</v>
      </c>
      <c r="I199" s="59">
        <v>0</v>
      </c>
      <c r="J199" s="398">
        <v>294.25226999999995</v>
      </c>
      <c r="K199" s="414">
        <f t="shared" si="11"/>
        <v>558.55138199999999</v>
      </c>
      <c r="L199" s="397"/>
      <c r="M199" s="397"/>
      <c r="N199" s="397">
        <f t="shared" si="15"/>
        <v>558.55138199999999</v>
      </c>
      <c r="O199" s="399">
        <f t="shared" si="12"/>
        <v>535.20000000000005</v>
      </c>
      <c r="P199" s="196"/>
      <c r="Q199" s="46"/>
      <c r="R199" s="218"/>
      <c r="S199" s="257"/>
      <c r="T199" s="196"/>
      <c r="U199" s="46"/>
      <c r="V199" s="46"/>
      <c r="W199" s="257"/>
      <c r="X199" s="46"/>
      <c r="Y199" s="46"/>
      <c r="Z199" s="46"/>
      <c r="AA199" s="257"/>
      <c r="AB199" s="196"/>
      <c r="AC199" s="46"/>
      <c r="AD199" s="167"/>
      <c r="AE199" s="257"/>
      <c r="AF199" s="196"/>
      <c r="AG199" s="46"/>
      <c r="AH199" s="46"/>
      <c r="AI199" s="196"/>
      <c r="AJ199" s="400"/>
      <c r="AK199" s="196"/>
      <c r="AL199" s="46"/>
      <c r="AM199" s="218"/>
      <c r="AN199" s="257"/>
      <c r="AO199" s="196" t="s">
        <v>229</v>
      </c>
      <c r="AP199" s="46">
        <v>88</v>
      </c>
      <c r="AQ199" s="257">
        <f>AP199*2200</f>
        <v>193600</v>
      </c>
      <c r="AR199" s="196"/>
      <c r="AS199" s="46"/>
      <c r="AT199" s="257"/>
      <c r="AU199" s="196"/>
      <c r="AV199" s="46"/>
      <c r="AW199" s="257"/>
      <c r="AX199" s="196"/>
      <c r="AY199" s="46"/>
      <c r="AZ199" s="257"/>
      <c r="BA199" s="46"/>
      <c r="BB199" s="46"/>
      <c r="BC199" s="46"/>
      <c r="BD199" s="46"/>
      <c r="BE199" s="46"/>
      <c r="BF199" s="257"/>
      <c r="BG199" s="46"/>
      <c r="BH199" s="46"/>
      <c r="BI199" s="46"/>
      <c r="BJ199" s="196"/>
      <c r="BK199" s="46"/>
      <c r="BL199" s="46"/>
      <c r="BM199" s="46"/>
      <c r="BN199" s="46"/>
      <c r="BO199" s="257"/>
      <c r="BP199" s="196"/>
      <c r="BQ199" s="46"/>
      <c r="BR199" s="257"/>
      <c r="BS199" s="46"/>
      <c r="BT199" s="167"/>
      <c r="BU199" s="257"/>
      <c r="BV199" s="196"/>
      <c r="BW199" s="46"/>
      <c r="BX199" s="46"/>
      <c r="BY199" s="46"/>
      <c r="BZ199" s="46"/>
      <c r="CA199" s="257"/>
      <c r="CB199" s="196" t="s">
        <v>249</v>
      </c>
      <c r="CC199" s="46">
        <v>116</v>
      </c>
      <c r="CD199" s="257">
        <f>CC199*1800</f>
        <v>208800</v>
      </c>
      <c r="CE199" s="46"/>
      <c r="CF199" s="46"/>
      <c r="CG199" s="257"/>
      <c r="CH199" s="46"/>
      <c r="CI199" s="46"/>
      <c r="CJ199" s="46"/>
      <c r="CK199" s="46"/>
      <c r="CL199" s="46"/>
      <c r="CM199" s="257"/>
      <c r="CN199" s="46"/>
      <c r="CO199" s="376"/>
      <c r="CP199" s="257"/>
      <c r="CQ199" s="196" t="s">
        <v>228</v>
      </c>
      <c r="CR199" s="286" t="s">
        <v>716</v>
      </c>
      <c r="CS199" s="257">
        <f t="shared" ref="CS199:CS262" si="16">CY199+DE199+DL199+DT199+EB199+EJ199</f>
        <v>132800</v>
      </c>
      <c r="CT199" s="218"/>
      <c r="CU199" s="317"/>
      <c r="CV199" s="391">
        <f t="shared" ref="CV199:CV261" si="17">DB199+DH199+DP199+DX199+EF199+EN199</f>
        <v>0</v>
      </c>
      <c r="CW199" s="41"/>
      <c r="CX199" s="41"/>
      <c r="CY199" s="256"/>
      <c r="CZ199" s="308"/>
      <c r="DA199" s="308"/>
      <c r="DB199" s="420"/>
      <c r="DC199" s="41">
        <v>9</v>
      </c>
      <c r="DD199" s="41">
        <v>166</v>
      </c>
      <c r="DE199" s="256">
        <f>DD199*800</f>
        <v>132800</v>
      </c>
      <c r="DF199" s="41"/>
      <c r="DG199" s="41"/>
      <c r="DH199" s="391"/>
      <c r="DI199" s="41"/>
      <c r="DJ199" s="41"/>
      <c r="DK199" s="203"/>
      <c r="DL199" s="256"/>
      <c r="DM199" s="41"/>
      <c r="DN199" s="41"/>
      <c r="DO199" s="41"/>
      <c r="DP199" s="420"/>
      <c r="DQ199" s="41"/>
      <c r="DR199" s="41"/>
      <c r="DS199" s="203"/>
      <c r="DT199" s="256"/>
      <c r="DU199" s="46"/>
      <c r="DV199" s="46"/>
      <c r="DW199" s="196"/>
      <c r="DX199" s="391"/>
      <c r="DY199" s="41"/>
      <c r="DZ199" s="41"/>
      <c r="EA199" s="41"/>
      <c r="EB199" s="69"/>
      <c r="EC199" s="41"/>
      <c r="ED199" s="41"/>
      <c r="EE199" s="41"/>
      <c r="EF199" s="420"/>
      <c r="EG199" s="41"/>
      <c r="EH199" s="41"/>
      <c r="EI199" s="41"/>
      <c r="EJ199" s="256"/>
      <c r="EK199" s="41"/>
      <c r="EL199" s="41"/>
      <c r="EM199" s="41"/>
      <c r="EN199" s="391"/>
    </row>
    <row r="200" spans="1:144" ht="34.5">
      <c r="A200" s="45">
        <v>193</v>
      </c>
      <c r="B200" s="53" t="s">
        <v>301</v>
      </c>
      <c r="C200" s="45">
        <v>3</v>
      </c>
      <c r="D200" s="53" t="s">
        <v>274</v>
      </c>
      <c r="E200" s="54" t="s">
        <v>280</v>
      </c>
      <c r="F200" s="54">
        <v>5</v>
      </c>
      <c r="G200" s="397">
        <f>213147.396/1000</f>
        <v>213.14739600000001</v>
      </c>
      <c r="H200" s="59">
        <v>213147.39600000004</v>
      </c>
      <c r="I200" s="59">
        <v>0</v>
      </c>
      <c r="J200" s="398">
        <v>344.17611999999997</v>
      </c>
      <c r="K200" s="414">
        <f t="shared" ref="K200:K263" si="18">J200+G200</f>
        <v>557.32351599999993</v>
      </c>
      <c r="L200" s="397"/>
      <c r="M200" s="397"/>
      <c r="N200" s="397">
        <f t="shared" si="15"/>
        <v>557.32351599999993</v>
      </c>
      <c r="O200" s="399">
        <f t="shared" ref="O200:O261" si="19">(S200+W200+AE200+AJ200+AQ200+AT200+AW200+AZ200+BC200+BF200+BL200+BR200+BX200+CD200+CJ200+CP200+CS200)/1000</f>
        <v>525</v>
      </c>
      <c r="P200" s="196" t="s">
        <v>227</v>
      </c>
      <c r="Q200" s="46">
        <v>1</v>
      </c>
      <c r="R200" s="218" t="s">
        <v>556</v>
      </c>
      <c r="S200" s="257">
        <f>70000+145000</f>
        <v>215000</v>
      </c>
      <c r="T200" s="196"/>
      <c r="U200" s="46"/>
      <c r="V200" s="46"/>
      <c r="W200" s="257"/>
      <c r="X200" s="46"/>
      <c r="Y200" s="46"/>
      <c r="Z200" s="46"/>
      <c r="AA200" s="257"/>
      <c r="AB200" s="196"/>
      <c r="AC200" s="46"/>
      <c r="AD200" s="167"/>
      <c r="AE200" s="257"/>
      <c r="AF200" s="196"/>
      <c r="AG200" s="46"/>
      <c r="AH200" s="46"/>
      <c r="AI200" s="196"/>
      <c r="AJ200" s="400"/>
      <c r="AK200" s="196"/>
      <c r="AL200" s="46"/>
      <c r="AM200" s="218"/>
      <c r="AN200" s="257"/>
      <c r="AO200" s="196"/>
      <c r="AP200" s="46"/>
      <c r="AQ200" s="257"/>
      <c r="AR200" s="196"/>
      <c r="AS200" s="46"/>
      <c r="AT200" s="257"/>
      <c r="AU200" s="196" t="s">
        <v>228</v>
      </c>
      <c r="AV200" s="167">
        <v>60</v>
      </c>
      <c r="AW200" s="257">
        <f>AV200*3000</f>
        <v>180000</v>
      </c>
      <c r="AX200" s="196" t="s">
        <v>229</v>
      </c>
      <c r="AY200" s="190" t="s">
        <v>717</v>
      </c>
      <c r="AZ200" s="257">
        <f>100*1300</f>
        <v>130000</v>
      </c>
      <c r="BA200" s="46"/>
      <c r="BB200" s="46"/>
      <c r="BC200" s="46"/>
      <c r="BD200" s="46"/>
      <c r="BE200" s="46"/>
      <c r="BF200" s="257"/>
      <c r="BG200" s="46"/>
      <c r="BH200" s="46"/>
      <c r="BI200" s="46"/>
      <c r="BJ200" s="196"/>
      <c r="BK200" s="46"/>
      <c r="BL200" s="46"/>
      <c r="BM200" s="46"/>
      <c r="BN200" s="46"/>
      <c r="BO200" s="257"/>
      <c r="BP200" s="196"/>
      <c r="BQ200" s="46"/>
      <c r="BR200" s="257"/>
      <c r="BS200" s="46"/>
      <c r="BT200" s="46"/>
      <c r="BU200" s="257"/>
      <c r="BV200" s="196"/>
      <c r="BW200" s="46"/>
      <c r="BX200" s="46"/>
      <c r="BY200" s="46"/>
      <c r="BZ200" s="46"/>
      <c r="CA200" s="257"/>
      <c r="CB200" s="196"/>
      <c r="CC200" s="46"/>
      <c r="CD200" s="257"/>
      <c r="CE200" s="46"/>
      <c r="CF200" s="46"/>
      <c r="CG200" s="257"/>
      <c r="CH200" s="46"/>
      <c r="CI200" s="46"/>
      <c r="CJ200" s="46"/>
      <c r="CK200" s="46"/>
      <c r="CL200" s="46"/>
      <c r="CM200" s="257"/>
      <c r="CN200" s="46"/>
      <c r="CO200" s="376"/>
      <c r="CP200" s="257"/>
      <c r="CQ200" s="196"/>
      <c r="CR200" s="286"/>
      <c r="CS200" s="257">
        <f t="shared" si="16"/>
        <v>0</v>
      </c>
      <c r="CT200" s="218"/>
      <c r="CU200" s="327"/>
      <c r="CV200" s="391">
        <f t="shared" si="17"/>
        <v>0</v>
      </c>
      <c r="CW200" s="41"/>
      <c r="CX200" s="41"/>
      <c r="CY200" s="256"/>
      <c r="CZ200" s="308"/>
      <c r="DA200" s="308"/>
      <c r="DB200" s="420"/>
      <c r="DC200" s="41"/>
      <c r="DD200" s="41"/>
      <c r="DE200" s="256"/>
      <c r="DF200" s="41"/>
      <c r="DG200" s="41"/>
      <c r="DH200" s="391"/>
      <c r="DI200" s="41"/>
      <c r="DJ200" s="41"/>
      <c r="DK200" s="203"/>
      <c r="DL200" s="256"/>
      <c r="DM200" s="41"/>
      <c r="DN200" s="41"/>
      <c r="DO200" s="41"/>
      <c r="DP200" s="420"/>
      <c r="DQ200" s="41"/>
      <c r="DR200" s="41"/>
      <c r="DS200" s="203"/>
      <c r="DT200" s="256"/>
      <c r="DU200" s="46"/>
      <c r="DV200" s="46"/>
      <c r="DW200" s="196"/>
      <c r="DX200" s="391"/>
      <c r="DY200" s="41"/>
      <c r="DZ200" s="41"/>
      <c r="EA200" s="41"/>
      <c r="EB200" s="69"/>
      <c r="EC200" s="41"/>
      <c r="ED200" s="41"/>
      <c r="EE200" s="41"/>
      <c r="EF200" s="420"/>
      <c r="EG200" s="41"/>
      <c r="EH200" s="41"/>
      <c r="EI200" s="41"/>
      <c r="EJ200" s="256"/>
      <c r="EK200" s="41"/>
      <c r="EL200" s="41"/>
      <c r="EM200" s="41"/>
      <c r="EN200" s="391"/>
    </row>
    <row r="201" spans="1:144" ht="25.5">
      <c r="A201" s="45">
        <v>194</v>
      </c>
      <c r="B201" s="53" t="s">
        <v>301</v>
      </c>
      <c r="C201" s="45">
        <v>3</v>
      </c>
      <c r="D201" s="53" t="s">
        <v>536</v>
      </c>
      <c r="E201" s="57" t="s">
        <v>281</v>
      </c>
      <c r="F201" s="56">
        <v>5</v>
      </c>
      <c r="G201" s="397">
        <f>168399/1000</f>
        <v>168.399</v>
      </c>
      <c r="H201" s="59">
        <v>168399</v>
      </c>
      <c r="I201" s="59">
        <v>0</v>
      </c>
      <c r="J201" s="398">
        <v>293.44597999999996</v>
      </c>
      <c r="K201" s="414">
        <f t="shared" si="18"/>
        <v>461.84497999999996</v>
      </c>
      <c r="L201" s="397"/>
      <c r="M201" s="397"/>
      <c r="N201" s="397">
        <f t="shared" si="15"/>
        <v>461.84497999999996</v>
      </c>
      <c r="O201" s="399">
        <f t="shared" si="19"/>
        <v>0</v>
      </c>
      <c r="P201" s="196"/>
      <c r="Q201" s="46"/>
      <c r="R201" s="218"/>
      <c r="S201" s="257"/>
      <c r="T201" s="196"/>
      <c r="U201" s="46"/>
      <c r="V201" s="46"/>
      <c r="W201" s="257"/>
      <c r="X201" s="46"/>
      <c r="Y201" s="46"/>
      <c r="Z201" s="46"/>
      <c r="AA201" s="257"/>
      <c r="AB201" s="196"/>
      <c r="AC201" s="46"/>
      <c r="AD201" s="167"/>
      <c r="AE201" s="257"/>
      <c r="AF201" s="196"/>
      <c r="AG201" s="46"/>
      <c r="AH201" s="46"/>
      <c r="AI201" s="196"/>
      <c r="AJ201" s="400"/>
      <c r="AK201" s="196"/>
      <c r="AL201" s="46"/>
      <c r="AM201" s="218"/>
      <c r="AN201" s="257"/>
      <c r="AO201" s="196"/>
      <c r="AP201" s="46"/>
      <c r="AQ201" s="257"/>
      <c r="AR201" s="196"/>
      <c r="AS201" s="46"/>
      <c r="AT201" s="257"/>
      <c r="AU201" s="196"/>
      <c r="AV201" s="46"/>
      <c r="AW201" s="257"/>
      <c r="AX201" s="196"/>
      <c r="AY201" s="46"/>
      <c r="AZ201" s="257"/>
      <c r="BA201" s="46"/>
      <c r="BB201" s="46"/>
      <c r="BC201" s="46"/>
      <c r="BD201" s="46"/>
      <c r="BE201" s="46"/>
      <c r="BF201" s="257"/>
      <c r="BG201" s="46"/>
      <c r="BH201" s="46"/>
      <c r="BI201" s="46"/>
      <c r="BJ201" s="196"/>
      <c r="BK201" s="46"/>
      <c r="BL201" s="46"/>
      <c r="BM201" s="46"/>
      <c r="BN201" s="46"/>
      <c r="BO201" s="257"/>
      <c r="BP201" s="196"/>
      <c r="BQ201" s="191"/>
      <c r="BR201" s="257"/>
      <c r="BS201" s="46"/>
      <c r="BT201" s="46"/>
      <c r="BU201" s="257"/>
      <c r="BV201" s="196"/>
      <c r="BW201" s="46"/>
      <c r="BX201" s="46"/>
      <c r="BY201" s="46"/>
      <c r="BZ201" s="46"/>
      <c r="CA201" s="257"/>
      <c r="CB201" s="196"/>
      <c r="CC201" s="46"/>
      <c r="CD201" s="257"/>
      <c r="CE201" s="46"/>
      <c r="CF201" s="46"/>
      <c r="CG201" s="257"/>
      <c r="CH201" s="46"/>
      <c r="CI201" s="46"/>
      <c r="CJ201" s="46"/>
      <c r="CK201" s="46"/>
      <c r="CL201" s="46"/>
      <c r="CM201" s="257"/>
      <c r="CN201" s="46"/>
      <c r="CO201" s="376"/>
      <c r="CP201" s="257"/>
      <c r="CQ201" s="196"/>
      <c r="CR201" s="286"/>
      <c r="CS201" s="257">
        <f t="shared" si="16"/>
        <v>0</v>
      </c>
      <c r="CT201" s="196"/>
      <c r="CU201" s="317"/>
      <c r="CV201" s="391">
        <f t="shared" si="17"/>
        <v>0</v>
      </c>
      <c r="CW201" s="41"/>
      <c r="CX201" s="41"/>
      <c r="CY201" s="256"/>
      <c r="CZ201" s="308"/>
      <c r="DA201" s="308"/>
      <c r="DB201" s="420"/>
      <c r="DC201" s="41"/>
      <c r="DD201" s="41"/>
      <c r="DE201" s="256"/>
      <c r="DF201" s="41"/>
      <c r="DG201" s="41"/>
      <c r="DH201" s="391"/>
      <c r="DI201" s="41"/>
      <c r="DJ201" s="41"/>
      <c r="DK201" s="203"/>
      <c r="DL201" s="256"/>
      <c r="DM201" s="41"/>
      <c r="DN201" s="41"/>
      <c r="DO201" s="41"/>
      <c r="DP201" s="420"/>
      <c r="DQ201" s="41"/>
      <c r="DR201" s="41"/>
      <c r="DS201" s="203"/>
      <c r="DT201" s="256"/>
      <c r="DU201" s="46"/>
      <c r="DV201" s="46"/>
      <c r="DW201" s="196"/>
      <c r="DX201" s="391"/>
      <c r="DY201" s="41"/>
      <c r="DZ201" s="41"/>
      <c r="EA201" s="41"/>
      <c r="EB201" s="69"/>
      <c r="EC201" s="41"/>
      <c r="ED201" s="41"/>
      <c r="EE201" s="41"/>
      <c r="EF201" s="420"/>
      <c r="EG201" s="41"/>
      <c r="EH201" s="41"/>
      <c r="EI201" s="41"/>
      <c r="EJ201" s="256"/>
      <c r="EK201" s="41"/>
      <c r="EL201" s="41"/>
      <c r="EM201" s="41"/>
      <c r="EN201" s="391"/>
    </row>
    <row r="202" spans="1:144" ht="75" customHeight="1">
      <c r="A202" s="45">
        <v>195</v>
      </c>
      <c r="B202" s="53" t="s">
        <v>301</v>
      </c>
      <c r="C202" s="45">
        <v>3</v>
      </c>
      <c r="D202" s="55" t="s">
        <v>282</v>
      </c>
      <c r="E202" s="54">
        <v>38</v>
      </c>
      <c r="F202" s="56">
        <v>5</v>
      </c>
      <c r="G202" s="397">
        <f>290685.78/1000</f>
        <v>290.68578000000002</v>
      </c>
      <c r="H202" s="59">
        <v>290685.77999999997</v>
      </c>
      <c r="I202" s="59">
        <v>0</v>
      </c>
      <c r="J202" s="398">
        <v>61.312160000000048</v>
      </c>
      <c r="K202" s="414">
        <f t="shared" si="18"/>
        <v>351.99794000000009</v>
      </c>
      <c r="L202" s="397"/>
      <c r="M202" s="397"/>
      <c r="N202" s="397">
        <f t="shared" si="15"/>
        <v>351.99794000000009</v>
      </c>
      <c r="O202" s="399">
        <f t="shared" si="19"/>
        <v>340</v>
      </c>
      <c r="P202" s="196" t="s">
        <v>248</v>
      </c>
      <c r="Q202" s="46">
        <v>1</v>
      </c>
      <c r="R202" s="218" t="s">
        <v>556</v>
      </c>
      <c r="S202" s="257">
        <f>80000+180000</f>
        <v>260000</v>
      </c>
      <c r="T202" s="196"/>
      <c r="U202" s="46"/>
      <c r="V202" s="46"/>
      <c r="W202" s="257"/>
      <c r="X202" s="46"/>
      <c r="Y202" s="46"/>
      <c r="Z202" s="46"/>
      <c r="AA202" s="257"/>
      <c r="AB202" s="196"/>
      <c r="AC202" s="46"/>
      <c r="AD202" s="167"/>
      <c r="AE202" s="257"/>
      <c r="AF202" s="196"/>
      <c r="AG202" s="46"/>
      <c r="AH202" s="46"/>
      <c r="AI202" s="196"/>
      <c r="AJ202" s="400"/>
      <c r="AK202" s="196"/>
      <c r="AL202" s="46"/>
      <c r="AM202" s="218"/>
      <c r="AN202" s="257"/>
      <c r="AO202" s="196"/>
      <c r="AP202" s="46"/>
      <c r="AQ202" s="257"/>
      <c r="AR202" s="196"/>
      <c r="AS202" s="46"/>
      <c r="AT202" s="257"/>
      <c r="AU202" s="196"/>
      <c r="AV202" s="46"/>
      <c r="AW202" s="257"/>
      <c r="AX202" s="196"/>
      <c r="AY202" s="167"/>
      <c r="AZ202" s="257"/>
      <c r="BA202" s="46"/>
      <c r="BB202" s="46"/>
      <c r="BC202" s="46"/>
      <c r="BD202" s="46"/>
      <c r="BE202" s="46"/>
      <c r="BF202" s="257"/>
      <c r="BG202" s="46"/>
      <c r="BH202" s="46"/>
      <c r="BI202" s="46"/>
      <c r="BJ202" s="196"/>
      <c r="BK202" s="46"/>
      <c r="BL202" s="46"/>
      <c r="BM202" s="46"/>
      <c r="BN202" s="46"/>
      <c r="BO202" s="257"/>
      <c r="BP202" s="196" t="s">
        <v>247</v>
      </c>
      <c r="BQ202" s="191" t="s">
        <v>522</v>
      </c>
      <c r="BR202" s="257">
        <v>80000</v>
      </c>
      <c r="BS202" s="46"/>
      <c r="BT202" s="46"/>
      <c r="BU202" s="257"/>
      <c r="BV202" s="196"/>
      <c r="BW202" s="46"/>
      <c r="BX202" s="46"/>
      <c r="BY202" s="46"/>
      <c r="BZ202" s="46"/>
      <c r="CA202" s="257"/>
      <c r="CB202" s="196"/>
      <c r="CC202" s="46"/>
      <c r="CD202" s="257"/>
      <c r="CE202" s="46"/>
      <c r="CF202" s="46"/>
      <c r="CG202" s="257"/>
      <c r="CH202" s="46"/>
      <c r="CI202" s="46"/>
      <c r="CJ202" s="46"/>
      <c r="CK202" s="46"/>
      <c r="CL202" s="46"/>
      <c r="CM202" s="257"/>
      <c r="CN202" s="46"/>
      <c r="CO202" s="376"/>
      <c r="CP202" s="257"/>
      <c r="CQ202" s="196"/>
      <c r="CR202" s="286"/>
      <c r="CS202" s="257">
        <f t="shared" si="16"/>
        <v>0</v>
      </c>
      <c r="CT202" s="218"/>
      <c r="CU202" s="317"/>
      <c r="CV202" s="391">
        <f t="shared" si="17"/>
        <v>0</v>
      </c>
      <c r="CW202" s="41"/>
      <c r="CX202" s="41"/>
      <c r="CY202" s="256"/>
      <c r="CZ202" s="308"/>
      <c r="DA202" s="308"/>
      <c r="DB202" s="420"/>
      <c r="DC202" s="41"/>
      <c r="DD202" s="41"/>
      <c r="DE202" s="256"/>
      <c r="DF202" s="41"/>
      <c r="DG202" s="41"/>
      <c r="DH202" s="391"/>
      <c r="DI202" s="41"/>
      <c r="DJ202" s="41"/>
      <c r="DK202" s="203"/>
      <c r="DL202" s="256"/>
      <c r="DM202" s="41"/>
      <c r="DN202" s="41"/>
      <c r="DO202" s="41"/>
      <c r="DP202" s="420"/>
      <c r="DQ202" s="41"/>
      <c r="DR202" s="41"/>
      <c r="DS202" s="203"/>
      <c r="DT202" s="256"/>
      <c r="DU202" s="46"/>
      <c r="DV202" s="46"/>
      <c r="DW202" s="196"/>
      <c r="DX202" s="391"/>
      <c r="DY202" s="41"/>
      <c r="DZ202" s="41"/>
      <c r="EA202" s="41"/>
      <c r="EB202" s="69"/>
      <c r="EC202" s="41"/>
      <c r="ED202" s="41"/>
      <c r="EE202" s="41"/>
      <c r="EF202" s="420"/>
      <c r="EG202" s="41"/>
      <c r="EH202" s="41"/>
      <c r="EI202" s="41"/>
      <c r="EJ202" s="256"/>
      <c r="EK202" s="41"/>
      <c r="EL202" s="41"/>
      <c r="EM202" s="41"/>
      <c r="EN202" s="391"/>
    </row>
    <row r="203" spans="1:144" ht="30">
      <c r="A203" s="45">
        <v>196</v>
      </c>
      <c r="B203" s="53" t="s">
        <v>301</v>
      </c>
      <c r="C203" s="45">
        <v>3</v>
      </c>
      <c r="D203" s="55" t="s">
        <v>274</v>
      </c>
      <c r="E203" s="54">
        <v>42</v>
      </c>
      <c r="F203" s="56">
        <v>5</v>
      </c>
      <c r="G203" s="397">
        <f>358286.544/1000</f>
        <v>358.28654399999999</v>
      </c>
      <c r="H203" s="59">
        <v>358286.54399999994</v>
      </c>
      <c r="I203" s="59">
        <v>0</v>
      </c>
      <c r="J203" s="398">
        <v>546.03921999999989</v>
      </c>
      <c r="K203" s="414">
        <f t="shared" si="18"/>
        <v>904.32576399999994</v>
      </c>
      <c r="L203" s="397"/>
      <c r="M203" s="397"/>
      <c r="N203" s="397">
        <f t="shared" si="15"/>
        <v>904.32576399999994</v>
      </c>
      <c r="O203" s="399">
        <f t="shared" si="19"/>
        <v>452.5</v>
      </c>
      <c r="P203" s="196" t="s">
        <v>227</v>
      </c>
      <c r="Q203" s="46">
        <v>3</v>
      </c>
      <c r="R203" s="218" t="s">
        <v>718</v>
      </c>
      <c r="S203" s="257">
        <f>3*80000</f>
        <v>240000</v>
      </c>
      <c r="T203" s="196"/>
      <c r="U203" s="46"/>
      <c r="V203" s="46"/>
      <c r="W203" s="257"/>
      <c r="X203" s="46"/>
      <c r="Y203" s="46"/>
      <c r="Z203" s="46"/>
      <c r="AA203" s="257"/>
      <c r="AB203" s="196"/>
      <c r="AC203" s="46"/>
      <c r="AD203" s="167"/>
      <c r="AE203" s="257"/>
      <c r="AF203" s="196"/>
      <c r="AG203" s="46"/>
      <c r="AH203" s="46"/>
      <c r="AI203" s="196"/>
      <c r="AJ203" s="400"/>
      <c r="AK203" s="196"/>
      <c r="AL203" s="46"/>
      <c r="AM203" s="218"/>
      <c r="AN203" s="257"/>
      <c r="AO203" s="196"/>
      <c r="AP203" s="46"/>
      <c r="AQ203" s="257"/>
      <c r="AR203" s="196"/>
      <c r="AS203" s="46"/>
      <c r="AT203" s="257"/>
      <c r="AU203" s="196" t="s">
        <v>254</v>
      </c>
      <c r="AV203" s="190" t="s">
        <v>722</v>
      </c>
      <c r="AW203" s="257">
        <f>15*2500</f>
        <v>37500</v>
      </c>
      <c r="AX203" s="196"/>
      <c r="AY203" s="46"/>
      <c r="AZ203" s="257"/>
      <c r="BA203" s="46"/>
      <c r="BB203" s="46"/>
      <c r="BC203" s="46"/>
      <c r="BD203" s="46"/>
      <c r="BE203" s="46"/>
      <c r="BF203" s="257"/>
      <c r="BG203" s="46"/>
      <c r="BH203" s="46"/>
      <c r="BI203" s="46"/>
      <c r="BJ203" s="196"/>
      <c r="BK203" s="46"/>
      <c r="BL203" s="46"/>
      <c r="BM203" s="46"/>
      <c r="BN203" s="46"/>
      <c r="BO203" s="257"/>
      <c r="BP203" s="196" t="s">
        <v>249</v>
      </c>
      <c r="BQ203" s="191" t="s">
        <v>721</v>
      </c>
      <c r="BR203" s="257">
        <v>100000</v>
      </c>
      <c r="BS203" s="46"/>
      <c r="BT203" s="46"/>
      <c r="BU203" s="257"/>
      <c r="BV203" s="196"/>
      <c r="BW203" s="46"/>
      <c r="BX203" s="46"/>
      <c r="BY203" s="46"/>
      <c r="BZ203" s="46"/>
      <c r="CA203" s="257"/>
      <c r="CB203" s="196"/>
      <c r="CC203" s="46"/>
      <c r="CD203" s="257"/>
      <c r="CE203" s="46"/>
      <c r="CF203" s="46"/>
      <c r="CG203" s="257"/>
      <c r="CH203" s="46"/>
      <c r="CI203" s="46"/>
      <c r="CJ203" s="46"/>
      <c r="CK203" s="46"/>
      <c r="CL203" s="46"/>
      <c r="CM203" s="257"/>
      <c r="CN203" s="46">
        <v>7</v>
      </c>
      <c r="CO203" s="376" t="s">
        <v>720</v>
      </c>
      <c r="CP203" s="257">
        <v>60000</v>
      </c>
      <c r="CQ203" s="218" t="s">
        <v>228</v>
      </c>
      <c r="CR203" s="286" t="s">
        <v>719</v>
      </c>
      <c r="CS203" s="257">
        <f t="shared" si="16"/>
        <v>15000</v>
      </c>
      <c r="CT203" s="218"/>
      <c r="CU203" s="317"/>
      <c r="CV203" s="391">
        <f t="shared" si="17"/>
        <v>0</v>
      </c>
      <c r="CW203" s="41"/>
      <c r="CX203" s="41"/>
      <c r="CY203" s="256"/>
      <c r="CZ203" s="308"/>
      <c r="DA203" s="308"/>
      <c r="DB203" s="420"/>
      <c r="DC203" s="41"/>
      <c r="DD203" s="41"/>
      <c r="DE203" s="256"/>
      <c r="DF203" s="41"/>
      <c r="DG203" s="41"/>
      <c r="DH203" s="391"/>
      <c r="DI203" s="41"/>
      <c r="DJ203" s="41"/>
      <c r="DK203" s="203"/>
      <c r="DL203" s="256"/>
      <c r="DM203" s="41"/>
      <c r="DN203" s="41"/>
      <c r="DO203" s="41"/>
      <c r="DP203" s="420"/>
      <c r="DQ203" s="41"/>
      <c r="DR203" s="41"/>
      <c r="DS203" s="203"/>
      <c r="DT203" s="256"/>
      <c r="DU203" s="46"/>
      <c r="DV203" s="46"/>
      <c r="DW203" s="196"/>
      <c r="DX203" s="391"/>
      <c r="DY203" s="41"/>
      <c r="DZ203" s="41"/>
      <c r="EA203" s="41"/>
      <c r="EB203" s="69"/>
      <c r="EC203" s="41"/>
      <c r="ED203" s="41"/>
      <c r="EE203" s="41"/>
      <c r="EF203" s="420"/>
      <c r="EG203" s="41">
        <v>9</v>
      </c>
      <c r="EH203" s="41">
        <v>1</v>
      </c>
      <c r="EI203" s="41">
        <v>4</v>
      </c>
      <c r="EJ203" s="256">
        <v>15000</v>
      </c>
      <c r="EK203" s="41"/>
      <c r="EL203" s="41"/>
      <c r="EM203" s="41"/>
      <c r="EN203" s="391"/>
    </row>
    <row r="204" spans="1:144" ht="25.5">
      <c r="A204" s="45">
        <v>197</v>
      </c>
      <c r="B204" s="53" t="s">
        <v>301</v>
      </c>
      <c r="C204" s="45">
        <v>3</v>
      </c>
      <c r="D204" s="53" t="s">
        <v>274</v>
      </c>
      <c r="E204" s="54" t="s">
        <v>283</v>
      </c>
      <c r="F204" s="56">
        <v>5</v>
      </c>
      <c r="G204" s="397">
        <f>294951.888/1000</f>
        <v>294.951888</v>
      </c>
      <c r="H204" s="59">
        <v>294951.88800000004</v>
      </c>
      <c r="I204" s="59">
        <v>0</v>
      </c>
      <c r="J204" s="398">
        <v>206.22615000000005</v>
      </c>
      <c r="K204" s="414">
        <f t="shared" si="18"/>
        <v>501.17803800000002</v>
      </c>
      <c r="L204" s="397"/>
      <c r="M204" s="397"/>
      <c r="N204" s="397">
        <f t="shared" si="15"/>
        <v>501.17803800000002</v>
      </c>
      <c r="O204" s="399">
        <f t="shared" si="19"/>
        <v>498.75</v>
      </c>
      <c r="P204" s="196"/>
      <c r="Q204" s="46"/>
      <c r="R204" s="218"/>
      <c r="S204" s="257"/>
      <c r="T204" s="196"/>
      <c r="U204" s="46"/>
      <c r="V204" s="46"/>
      <c r="W204" s="257"/>
      <c r="X204" s="46"/>
      <c r="Y204" s="46"/>
      <c r="Z204" s="46"/>
      <c r="AA204" s="257"/>
      <c r="AB204" s="196" t="s">
        <v>226</v>
      </c>
      <c r="AC204" s="46">
        <v>65</v>
      </c>
      <c r="AD204" s="218" t="s">
        <v>723</v>
      </c>
      <c r="AE204" s="257">
        <f>AC204*750</f>
        <v>48750</v>
      </c>
      <c r="AF204" s="196"/>
      <c r="AG204" s="46"/>
      <c r="AH204" s="46"/>
      <c r="AI204" s="196"/>
      <c r="AJ204" s="400"/>
      <c r="AK204" s="196"/>
      <c r="AL204" s="46"/>
      <c r="AM204" s="218"/>
      <c r="AN204" s="257"/>
      <c r="AO204" s="196"/>
      <c r="AP204" s="46"/>
      <c r="AQ204" s="257"/>
      <c r="AR204" s="196"/>
      <c r="AS204" s="46"/>
      <c r="AT204" s="257"/>
      <c r="AU204" s="196"/>
      <c r="AV204" s="46"/>
      <c r="AW204" s="257"/>
      <c r="AX204" s="196"/>
      <c r="AY204" s="46"/>
      <c r="AZ204" s="257"/>
      <c r="BA204" s="46"/>
      <c r="BB204" s="46"/>
      <c r="BC204" s="46"/>
      <c r="BD204" s="46"/>
      <c r="BE204" s="46"/>
      <c r="BF204" s="257"/>
      <c r="BG204" s="46"/>
      <c r="BH204" s="46"/>
      <c r="BI204" s="46"/>
      <c r="BJ204" s="196"/>
      <c r="BK204" s="46"/>
      <c r="BL204" s="46"/>
      <c r="BM204" s="46"/>
      <c r="BN204" s="46"/>
      <c r="BO204" s="257"/>
      <c r="BP204" s="196" t="s">
        <v>229</v>
      </c>
      <c r="BQ204" s="190" t="s">
        <v>724</v>
      </c>
      <c r="BR204" s="257">
        <v>450000</v>
      </c>
      <c r="BS204" s="46"/>
      <c r="BT204" s="46"/>
      <c r="BU204" s="257"/>
      <c r="BV204" s="196"/>
      <c r="BW204" s="46"/>
      <c r="BX204" s="46"/>
      <c r="BY204" s="46"/>
      <c r="BZ204" s="46"/>
      <c r="CA204" s="257"/>
      <c r="CB204" s="196"/>
      <c r="CC204" s="46"/>
      <c r="CD204" s="257"/>
      <c r="CE204" s="46"/>
      <c r="CF204" s="46"/>
      <c r="CG204" s="257"/>
      <c r="CH204" s="46"/>
      <c r="CI204" s="46"/>
      <c r="CJ204" s="46"/>
      <c r="CK204" s="46"/>
      <c r="CL204" s="46"/>
      <c r="CM204" s="257"/>
      <c r="CN204" s="46"/>
      <c r="CO204" s="376"/>
      <c r="CP204" s="257"/>
      <c r="CQ204" s="196"/>
      <c r="CR204" s="286"/>
      <c r="CS204" s="257">
        <f t="shared" si="16"/>
        <v>0</v>
      </c>
      <c r="CT204" s="196"/>
      <c r="CU204" s="317"/>
      <c r="CV204" s="391">
        <f t="shared" si="17"/>
        <v>0</v>
      </c>
      <c r="CW204" s="41"/>
      <c r="CX204" s="41"/>
      <c r="CY204" s="256"/>
      <c r="CZ204" s="308"/>
      <c r="DA204" s="308"/>
      <c r="DB204" s="420"/>
      <c r="DC204" s="41"/>
      <c r="DD204" s="41"/>
      <c r="DE204" s="256"/>
      <c r="DF204" s="46"/>
      <c r="DG204" s="41"/>
      <c r="DH204" s="391"/>
      <c r="DI204" s="41"/>
      <c r="DJ204" s="41"/>
      <c r="DK204" s="203"/>
      <c r="DL204" s="256"/>
      <c r="DM204" s="41"/>
      <c r="DN204" s="41"/>
      <c r="DO204" s="41"/>
      <c r="DP204" s="420"/>
      <c r="DQ204" s="41"/>
      <c r="DR204" s="41"/>
      <c r="DS204" s="203"/>
      <c r="DT204" s="256"/>
      <c r="DU204" s="46"/>
      <c r="DV204" s="46"/>
      <c r="DW204" s="196"/>
      <c r="DX204" s="391"/>
      <c r="DY204" s="41"/>
      <c r="DZ204" s="41"/>
      <c r="EA204" s="41"/>
      <c r="EB204" s="69"/>
      <c r="EC204" s="41"/>
      <c r="ED204" s="41"/>
      <c r="EE204" s="41"/>
      <c r="EF204" s="420"/>
      <c r="EG204" s="41"/>
      <c r="EH204" s="41"/>
      <c r="EI204" s="41"/>
      <c r="EJ204" s="256"/>
      <c r="EK204" s="41"/>
      <c r="EL204" s="41"/>
      <c r="EM204" s="41"/>
      <c r="EN204" s="391"/>
    </row>
    <row r="205" spans="1:144" s="28" customFormat="1" ht="56.45" customHeight="1">
      <c r="A205" s="45">
        <v>198</v>
      </c>
      <c r="B205" s="53" t="s">
        <v>301</v>
      </c>
      <c r="C205" s="45">
        <v>3</v>
      </c>
      <c r="D205" s="55" t="s">
        <v>282</v>
      </c>
      <c r="E205" s="54">
        <v>48</v>
      </c>
      <c r="F205" s="56">
        <v>5</v>
      </c>
      <c r="G205" s="397">
        <f>214602.696/1000</f>
        <v>214.60269600000001</v>
      </c>
      <c r="H205" s="59">
        <v>214602.69599999997</v>
      </c>
      <c r="I205" s="59">
        <v>0</v>
      </c>
      <c r="J205" s="398">
        <v>466.09831999999994</v>
      </c>
      <c r="K205" s="414">
        <f t="shared" si="18"/>
        <v>680.70101599999998</v>
      </c>
      <c r="L205" s="397"/>
      <c r="M205" s="397"/>
      <c r="N205" s="397">
        <f>K205-L205</f>
        <v>680.70101599999998</v>
      </c>
      <c r="O205" s="399">
        <f t="shared" si="19"/>
        <v>0</v>
      </c>
      <c r="P205" s="369" t="s">
        <v>1012</v>
      </c>
      <c r="Q205" s="46"/>
      <c r="R205" s="218"/>
      <c r="S205" s="257"/>
      <c r="T205" s="196"/>
      <c r="U205" s="46"/>
      <c r="V205" s="46"/>
      <c r="W205" s="257"/>
      <c r="X205" s="46"/>
      <c r="Y205" s="46"/>
      <c r="Z205" s="46"/>
      <c r="AA205" s="257"/>
      <c r="AB205" s="196"/>
      <c r="AC205" s="46"/>
      <c r="AD205" s="167"/>
      <c r="AE205" s="257"/>
      <c r="AF205" s="196"/>
      <c r="AG205" s="46"/>
      <c r="AH205" s="46"/>
      <c r="AI205" s="196"/>
      <c r="AJ205" s="400"/>
      <c r="AK205" s="196"/>
      <c r="AL205" s="46"/>
      <c r="AM205" s="218"/>
      <c r="AN205" s="257"/>
      <c r="AO205" s="196"/>
      <c r="AP205" s="46"/>
      <c r="AQ205" s="257"/>
      <c r="AR205" s="196"/>
      <c r="AS205" s="46"/>
      <c r="AT205" s="257"/>
      <c r="AU205" s="196"/>
      <c r="AV205" s="46"/>
      <c r="AW205" s="257"/>
      <c r="AX205" s="196"/>
      <c r="AY205" s="46"/>
      <c r="AZ205" s="257"/>
      <c r="BA205" s="46"/>
      <c r="BB205" s="46"/>
      <c r="BC205" s="46"/>
      <c r="BD205" s="46"/>
      <c r="BE205" s="46"/>
      <c r="BF205" s="257"/>
      <c r="BG205" s="46"/>
      <c r="BH205" s="46"/>
      <c r="BI205" s="46"/>
      <c r="BJ205" s="196"/>
      <c r="BK205" s="46"/>
      <c r="BL205" s="46"/>
      <c r="BM205" s="46"/>
      <c r="BN205" s="46"/>
      <c r="BO205" s="257"/>
      <c r="BP205" s="196"/>
      <c r="BQ205" s="191"/>
      <c r="BR205" s="257"/>
      <c r="BS205" s="46"/>
      <c r="BT205" s="46"/>
      <c r="BU205" s="257"/>
      <c r="BV205" s="196"/>
      <c r="BW205" s="46"/>
      <c r="BX205" s="46"/>
      <c r="BY205" s="46"/>
      <c r="BZ205" s="46"/>
      <c r="CA205" s="257"/>
      <c r="CB205" s="196"/>
      <c r="CC205" s="46"/>
      <c r="CD205" s="257"/>
      <c r="CE205" s="46"/>
      <c r="CF205" s="46"/>
      <c r="CG205" s="257"/>
      <c r="CH205" s="46"/>
      <c r="CI205" s="46"/>
      <c r="CJ205" s="46"/>
      <c r="CK205" s="46"/>
      <c r="CL205" s="46"/>
      <c r="CM205" s="257"/>
      <c r="CN205" s="46"/>
      <c r="CO205" s="376"/>
      <c r="CP205" s="257"/>
      <c r="CQ205" s="196"/>
      <c r="CR205" s="286"/>
      <c r="CS205" s="257"/>
      <c r="CT205" s="196"/>
      <c r="CU205" s="167"/>
      <c r="CV205" s="391">
        <f t="shared" si="17"/>
        <v>0</v>
      </c>
      <c r="CW205" s="46"/>
      <c r="CX205" s="46"/>
      <c r="CY205" s="257"/>
      <c r="CZ205" s="46"/>
      <c r="DA205" s="46"/>
      <c r="DB205" s="420"/>
      <c r="DC205" s="46"/>
      <c r="DD205" s="46"/>
      <c r="DE205" s="257"/>
      <c r="DF205" s="46"/>
      <c r="DG205" s="46"/>
      <c r="DH205" s="391"/>
      <c r="DI205" s="46"/>
      <c r="DJ205" s="46"/>
      <c r="DK205" s="196"/>
      <c r="DL205" s="257"/>
      <c r="DM205" s="46"/>
      <c r="DN205" s="46"/>
      <c r="DO205" s="46"/>
      <c r="DP205" s="420"/>
      <c r="DQ205" s="46"/>
      <c r="DR205" s="46"/>
      <c r="DS205" s="196"/>
      <c r="DT205" s="257"/>
      <c r="DU205" s="46"/>
      <c r="DV205" s="46"/>
      <c r="DW205" s="196"/>
      <c r="DX205" s="391"/>
      <c r="DY205" s="46"/>
      <c r="DZ205" s="46"/>
      <c r="EA205" s="46"/>
      <c r="EB205" s="46"/>
      <c r="EC205" s="46"/>
      <c r="ED205" s="46"/>
      <c r="EE205" s="46"/>
      <c r="EF205" s="420"/>
      <c r="EG205" s="46"/>
      <c r="EH205" s="46"/>
      <c r="EI205" s="46"/>
      <c r="EJ205" s="257"/>
      <c r="EK205" s="46"/>
      <c r="EL205" s="46"/>
      <c r="EM205" s="46"/>
      <c r="EN205" s="391"/>
    </row>
    <row r="206" spans="1:144" ht="84.75">
      <c r="A206" s="45">
        <v>199</v>
      </c>
      <c r="B206" s="53" t="s">
        <v>301</v>
      </c>
      <c r="C206" s="45">
        <v>3</v>
      </c>
      <c r="D206" s="55" t="s">
        <v>274</v>
      </c>
      <c r="E206" s="54">
        <v>56</v>
      </c>
      <c r="F206" s="56">
        <v>5</v>
      </c>
      <c r="G206" s="397">
        <f>213787.728/1000</f>
        <v>213.78772800000002</v>
      </c>
      <c r="H206" s="59">
        <v>213787.728</v>
      </c>
      <c r="I206" s="59">
        <v>0</v>
      </c>
      <c r="J206" s="398">
        <v>320.09044999999998</v>
      </c>
      <c r="K206" s="414">
        <f t="shared" si="18"/>
        <v>533.87817799999993</v>
      </c>
      <c r="L206" s="397"/>
      <c r="M206" s="397"/>
      <c r="N206" s="397">
        <f t="shared" si="15"/>
        <v>533.87817799999993</v>
      </c>
      <c r="O206" s="399">
        <f t="shared" si="19"/>
        <v>479</v>
      </c>
      <c r="P206" s="196" t="s">
        <v>229</v>
      </c>
      <c r="Q206" s="46">
        <v>1</v>
      </c>
      <c r="R206" s="218" t="s">
        <v>225</v>
      </c>
      <c r="S206" s="257">
        <v>180000</v>
      </c>
      <c r="T206" s="196"/>
      <c r="U206" s="46"/>
      <c r="V206" s="46"/>
      <c r="W206" s="257"/>
      <c r="X206" s="46"/>
      <c r="Y206" s="46"/>
      <c r="Z206" s="46"/>
      <c r="AA206" s="257"/>
      <c r="AB206" s="196"/>
      <c r="AC206" s="46"/>
      <c r="AD206" s="167"/>
      <c r="AE206" s="257"/>
      <c r="AF206" s="196"/>
      <c r="AG206" s="46"/>
      <c r="AH206" s="46"/>
      <c r="AI206" s="196"/>
      <c r="AJ206" s="400"/>
      <c r="AK206" s="196"/>
      <c r="AL206" s="46"/>
      <c r="AM206" s="218"/>
      <c r="AN206" s="257"/>
      <c r="AO206" s="196"/>
      <c r="AP206" s="46"/>
      <c r="AQ206" s="257"/>
      <c r="AR206" s="196"/>
      <c r="AS206" s="46"/>
      <c r="AT206" s="257"/>
      <c r="AU206" s="196" t="s">
        <v>227</v>
      </c>
      <c r="AV206" s="46" t="s">
        <v>725</v>
      </c>
      <c r="AW206" s="257">
        <f>25*3500</f>
        <v>87500</v>
      </c>
      <c r="AX206" s="196" t="s">
        <v>250</v>
      </c>
      <c r="AY206" s="46">
        <v>22</v>
      </c>
      <c r="AZ206" s="257">
        <f>AY206*1300</f>
        <v>28600</v>
      </c>
      <c r="BA206" s="46"/>
      <c r="BB206" s="46"/>
      <c r="BC206" s="46"/>
      <c r="BD206" s="46"/>
      <c r="BE206" s="46"/>
      <c r="BF206" s="257"/>
      <c r="BG206" s="46"/>
      <c r="BH206" s="46"/>
      <c r="BI206" s="46"/>
      <c r="BJ206" s="196"/>
      <c r="BK206" s="46"/>
      <c r="BL206" s="46"/>
      <c r="BM206" s="46"/>
      <c r="BN206" s="46"/>
      <c r="BO206" s="257"/>
      <c r="BP206" s="196"/>
      <c r="BQ206" s="191"/>
      <c r="BR206" s="257"/>
      <c r="BS206" s="46"/>
      <c r="BT206" s="46"/>
      <c r="BU206" s="257"/>
      <c r="BV206" s="196"/>
      <c r="BW206" s="46"/>
      <c r="BX206" s="46"/>
      <c r="BY206" s="46"/>
      <c r="BZ206" s="46"/>
      <c r="CA206" s="257"/>
      <c r="CB206" s="196"/>
      <c r="CC206" s="46"/>
      <c r="CD206" s="257"/>
      <c r="CE206" s="46"/>
      <c r="CF206" s="46"/>
      <c r="CG206" s="257"/>
      <c r="CH206" s="46"/>
      <c r="CI206" s="46"/>
      <c r="CJ206" s="46"/>
      <c r="CK206" s="46"/>
      <c r="CL206" s="46"/>
      <c r="CM206" s="257"/>
      <c r="CN206" s="46">
        <v>7</v>
      </c>
      <c r="CO206" s="286" t="s">
        <v>726</v>
      </c>
      <c r="CP206" s="257">
        <v>60000</v>
      </c>
      <c r="CQ206" s="196" t="s">
        <v>227</v>
      </c>
      <c r="CR206" s="286" t="s">
        <v>727</v>
      </c>
      <c r="CS206" s="257">
        <f>CY206+DE206+DL206+DT206+EB206+EJ206+3*2500</f>
        <v>122900</v>
      </c>
      <c r="CT206" s="218"/>
      <c r="CU206" s="317"/>
      <c r="CV206" s="391">
        <f t="shared" si="17"/>
        <v>0</v>
      </c>
      <c r="CW206" s="41"/>
      <c r="CX206" s="41"/>
      <c r="CY206" s="256"/>
      <c r="CZ206" s="308"/>
      <c r="DA206" s="308"/>
      <c r="DB206" s="420"/>
      <c r="DC206" s="41">
        <v>7</v>
      </c>
      <c r="DD206" s="41">
        <v>88</v>
      </c>
      <c r="DE206" s="256">
        <f>DD206*800</f>
        <v>70400</v>
      </c>
      <c r="DF206" s="41"/>
      <c r="DG206" s="41"/>
      <c r="DH206" s="391"/>
      <c r="DI206" s="41"/>
      <c r="DJ206" s="41"/>
      <c r="DK206" s="203"/>
      <c r="DL206" s="256"/>
      <c r="DM206" s="41"/>
      <c r="DN206" s="41"/>
      <c r="DO206" s="41"/>
      <c r="DP206" s="420"/>
      <c r="DQ206" s="41">
        <v>7</v>
      </c>
      <c r="DR206" s="41">
        <v>3</v>
      </c>
      <c r="DS206" s="203" t="s">
        <v>529</v>
      </c>
      <c r="DT206" s="256">
        <f>3*15000</f>
        <v>45000</v>
      </c>
      <c r="DU206" s="46"/>
      <c r="DV206" s="46"/>
      <c r="DW206" s="196"/>
      <c r="DX206" s="391"/>
      <c r="DY206" s="41"/>
      <c r="DZ206" s="41"/>
      <c r="EA206" s="41"/>
      <c r="EB206" s="69"/>
      <c r="EC206" s="41"/>
      <c r="ED206" s="41"/>
      <c r="EE206" s="41"/>
      <c r="EF206" s="420"/>
      <c r="EG206" s="41"/>
      <c r="EH206" s="41"/>
      <c r="EI206" s="41"/>
      <c r="EJ206" s="256"/>
      <c r="EK206" s="41"/>
      <c r="EL206" s="41"/>
      <c r="EM206" s="41"/>
      <c r="EN206" s="391"/>
    </row>
    <row r="207" spans="1:144" ht="25.5">
      <c r="A207" s="45">
        <v>200</v>
      </c>
      <c r="B207" s="53" t="s">
        <v>301</v>
      </c>
      <c r="C207" s="45">
        <v>3</v>
      </c>
      <c r="D207" s="53" t="s">
        <v>274</v>
      </c>
      <c r="E207" s="54">
        <v>60</v>
      </c>
      <c r="F207" s="56">
        <v>5</v>
      </c>
      <c r="G207" s="397">
        <f>212947.812/1000</f>
        <v>212.947812</v>
      </c>
      <c r="H207" s="59">
        <v>212947.81199999998</v>
      </c>
      <c r="I207" s="59">
        <v>0</v>
      </c>
      <c r="J207" s="398">
        <v>243.53562999999997</v>
      </c>
      <c r="K207" s="414">
        <f t="shared" si="18"/>
        <v>456.48344199999997</v>
      </c>
      <c r="L207" s="397"/>
      <c r="M207" s="397"/>
      <c r="N207" s="397">
        <f t="shared" si="15"/>
        <v>456.48344199999997</v>
      </c>
      <c r="O207" s="399">
        <f t="shared" si="19"/>
        <v>453.8</v>
      </c>
      <c r="P207" s="196" t="s">
        <v>229</v>
      </c>
      <c r="Q207" s="46">
        <v>1</v>
      </c>
      <c r="R207" s="218" t="s">
        <v>523</v>
      </c>
      <c r="S207" s="257">
        <v>160000</v>
      </c>
      <c r="T207" s="196"/>
      <c r="U207" s="46"/>
      <c r="V207" s="46"/>
      <c r="W207" s="257"/>
      <c r="X207" s="46"/>
      <c r="Y207" s="46"/>
      <c r="Z207" s="46"/>
      <c r="AA207" s="257"/>
      <c r="AB207" s="196"/>
      <c r="AC207" s="46"/>
      <c r="AD207" s="167"/>
      <c r="AE207" s="257"/>
      <c r="AF207" s="196"/>
      <c r="AG207" s="46"/>
      <c r="AH207" s="46"/>
      <c r="AI207" s="196"/>
      <c r="AJ207" s="400"/>
      <c r="AK207" s="196"/>
      <c r="AL207" s="46"/>
      <c r="AM207" s="218"/>
      <c r="AN207" s="257"/>
      <c r="AO207" s="218" t="s">
        <v>250</v>
      </c>
      <c r="AP207" s="167">
        <v>66</v>
      </c>
      <c r="AQ207" s="524">
        <f>AP207*2200</f>
        <v>145200</v>
      </c>
      <c r="AR207" s="196"/>
      <c r="AS207" s="46"/>
      <c r="AT207" s="257"/>
      <c r="AU207" s="196" t="s">
        <v>227</v>
      </c>
      <c r="AV207" s="46">
        <v>40</v>
      </c>
      <c r="AW207" s="257">
        <f>AV207*3000</f>
        <v>120000</v>
      </c>
      <c r="AX207" s="196" t="s">
        <v>250</v>
      </c>
      <c r="AY207" s="46">
        <v>22</v>
      </c>
      <c r="AZ207" s="257">
        <f>AY207*1300</f>
        <v>28600</v>
      </c>
      <c r="BA207" s="46"/>
      <c r="BB207" s="46"/>
      <c r="BC207" s="46"/>
      <c r="BD207" s="46"/>
      <c r="BE207" s="46"/>
      <c r="BF207" s="257"/>
      <c r="BG207" s="46"/>
      <c r="BH207" s="46"/>
      <c r="BI207" s="46"/>
      <c r="BJ207" s="196"/>
      <c r="BK207" s="46"/>
      <c r="BL207" s="46"/>
      <c r="BM207" s="46"/>
      <c r="BN207" s="46"/>
      <c r="BO207" s="257"/>
      <c r="BP207" s="196"/>
      <c r="BQ207" s="191"/>
      <c r="BR207" s="257"/>
      <c r="BS207" s="46"/>
      <c r="BT207" s="46"/>
      <c r="BU207" s="257"/>
      <c r="BV207" s="196"/>
      <c r="BW207" s="46"/>
      <c r="BX207" s="46"/>
      <c r="BY207" s="46"/>
      <c r="BZ207" s="46"/>
      <c r="CA207" s="257"/>
      <c r="CB207" s="196"/>
      <c r="CC207" s="46"/>
      <c r="CD207" s="257"/>
      <c r="CE207" s="46"/>
      <c r="CF207" s="46"/>
      <c r="CG207" s="257"/>
      <c r="CH207" s="46"/>
      <c r="CI207" s="46"/>
      <c r="CJ207" s="46"/>
      <c r="CK207" s="46"/>
      <c r="CL207" s="46"/>
      <c r="CM207" s="257"/>
      <c r="CN207" s="46"/>
      <c r="CO207" s="286"/>
      <c r="CP207" s="257"/>
      <c r="CQ207" s="196"/>
      <c r="CR207" s="286"/>
      <c r="CS207" s="257">
        <f t="shared" si="16"/>
        <v>0</v>
      </c>
      <c r="CT207" s="218"/>
      <c r="CU207" s="317"/>
      <c r="CV207" s="391">
        <f t="shared" si="17"/>
        <v>0</v>
      </c>
      <c r="CW207" s="41"/>
      <c r="CX207" s="41"/>
      <c r="CY207" s="256"/>
      <c r="CZ207" s="308"/>
      <c r="DA207" s="308"/>
      <c r="DB207" s="420"/>
      <c r="DC207" s="41"/>
      <c r="DD207" s="41"/>
      <c r="DE207" s="256"/>
      <c r="DF207" s="41"/>
      <c r="DG207" s="41"/>
      <c r="DH207" s="391"/>
      <c r="DI207" s="41"/>
      <c r="DJ207" s="41"/>
      <c r="DK207" s="203"/>
      <c r="DL207" s="256"/>
      <c r="DM207" s="41"/>
      <c r="DN207" s="41"/>
      <c r="DO207" s="41"/>
      <c r="DP207" s="420"/>
      <c r="DQ207" s="41"/>
      <c r="DR207" s="41"/>
      <c r="DS207" s="203"/>
      <c r="DT207" s="256"/>
      <c r="DU207" s="46"/>
      <c r="DV207" s="46"/>
      <c r="DW207" s="196"/>
      <c r="DX207" s="391"/>
      <c r="DY207" s="41"/>
      <c r="DZ207" s="41"/>
      <c r="EA207" s="41"/>
      <c r="EB207" s="69"/>
      <c r="EC207" s="41"/>
      <c r="ED207" s="41"/>
      <c r="EE207" s="41"/>
      <c r="EF207" s="420"/>
      <c r="EG207" s="41"/>
      <c r="EH207" s="41"/>
      <c r="EI207" s="41"/>
      <c r="EJ207" s="256"/>
      <c r="EK207" s="41"/>
      <c r="EL207" s="41"/>
      <c r="EM207" s="41"/>
      <c r="EN207" s="391"/>
    </row>
    <row r="208" spans="1:144" ht="25.5">
      <c r="A208" s="45">
        <v>201</v>
      </c>
      <c r="B208" s="53" t="s">
        <v>301</v>
      </c>
      <c r="C208" s="45">
        <v>3</v>
      </c>
      <c r="D208" s="53" t="s">
        <v>538</v>
      </c>
      <c r="E208" s="54">
        <v>8</v>
      </c>
      <c r="F208" s="56">
        <v>7</v>
      </c>
      <c r="G208" s="397">
        <f>51704.352/1000</f>
        <v>51.704352</v>
      </c>
      <c r="H208" s="59">
        <v>0</v>
      </c>
      <c r="I208" s="59">
        <v>51704.351999999999</v>
      </c>
      <c r="J208" s="398">
        <v>242.91238999999999</v>
      </c>
      <c r="K208" s="414">
        <f t="shared" si="18"/>
        <v>294.61674199999999</v>
      </c>
      <c r="L208" s="397"/>
      <c r="M208" s="397"/>
      <c r="N208" s="397">
        <f t="shared" si="15"/>
        <v>294.61674199999999</v>
      </c>
      <c r="O208" s="399">
        <f t="shared" si="19"/>
        <v>250</v>
      </c>
      <c r="P208" s="369" t="s">
        <v>1012</v>
      </c>
      <c r="Q208" s="46"/>
      <c r="R208" s="218"/>
      <c r="S208" s="257"/>
      <c r="T208" s="196"/>
      <c r="U208" s="46"/>
      <c r="V208" s="46"/>
      <c r="W208" s="257"/>
      <c r="X208" s="46"/>
      <c r="Y208" s="46"/>
      <c r="Z208" s="46"/>
      <c r="AA208" s="257"/>
      <c r="AB208" s="196"/>
      <c r="AC208" s="46"/>
      <c r="AD208" s="167"/>
      <c r="AE208" s="257"/>
      <c r="AF208" s="196"/>
      <c r="AG208" s="46"/>
      <c r="AH208" s="46"/>
      <c r="AI208" s="196"/>
      <c r="AJ208" s="400"/>
      <c r="AK208" s="196"/>
      <c r="AL208" s="46"/>
      <c r="AM208" s="218"/>
      <c r="AN208" s="257"/>
      <c r="AO208" s="196"/>
      <c r="AP208" s="46"/>
      <c r="AQ208" s="257"/>
      <c r="AR208" s="196"/>
      <c r="AS208" s="46"/>
      <c r="AT208" s="257"/>
      <c r="AU208" s="196"/>
      <c r="AV208" s="46"/>
      <c r="AW208" s="257"/>
      <c r="AX208" s="196"/>
      <c r="AY208" s="46"/>
      <c r="AZ208" s="257"/>
      <c r="BA208" s="46"/>
      <c r="BB208" s="46"/>
      <c r="BC208" s="46"/>
      <c r="BD208" s="46"/>
      <c r="BE208" s="46"/>
      <c r="BF208" s="257"/>
      <c r="BG208" s="46"/>
      <c r="BH208" s="46"/>
      <c r="BI208" s="46"/>
      <c r="BJ208" s="196"/>
      <c r="BK208" s="46"/>
      <c r="BL208" s="46"/>
      <c r="BM208" s="46"/>
      <c r="BN208" s="46"/>
      <c r="BO208" s="257"/>
      <c r="BP208" s="196"/>
      <c r="BQ208" s="46"/>
      <c r="BR208" s="257"/>
      <c r="BS208" s="46"/>
      <c r="BT208" s="46"/>
      <c r="BU208" s="257"/>
      <c r="BV208" s="196"/>
      <c r="BW208" s="46"/>
      <c r="BX208" s="46"/>
      <c r="BY208" s="46"/>
      <c r="BZ208" s="46"/>
      <c r="CA208" s="257"/>
      <c r="CB208" s="196"/>
      <c r="CC208" s="46"/>
      <c r="CD208" s="257"/>
      <c r="CE208" s="46"/>
      <c r="CF208" s="46"/>
      <c r="CG208" s="257"/>
      <c r="CH208" s="46"/>
      <c r="CI208" s="46"/>
      <c r="CJ208" s="46"/>
      <c r="CK208" s="46"/>
      <c r="CL208" s="46"/>
      <c r="CM208" s="257"/>
      <c r="CN208" s="46"/>
      <c r="CO208" s="376"/>
      <c r="CP208" s="257"/>
      <c r="CQ208" s="196" t="s">
        <v>227</v>
      </c>
      <c r="CR208" s="190" t="s">
        <v>728</v>
      </c>
      <c r="CS208" s="257">
        <f t="shared" si="16"/>
        <v>250000</v>
      </c>
      <c r="CT208" s="196"/>
      <c r="CU208" s="317"/>
      <c r="CV208" s="391">
        <f t="shared" si="17"/>
        <v>0</v>
      </c>
      <c r="CW208" s="41"/>
      <c r="CX208" s="41"/>
      <c r="CY208" s="256"/>
      <c r="CZ208" s="308"/>
      <c r="DA208" s="308"/>
      <c r="DB208" s="420"/>
      <c r="DC208" s="41">
        <v>7</v>
      </c>
      <c r="DD208" s="41">
        <v>250</v>
      </c>
      <c r="DE208" s="256">
        <v>250000</v>
      </c>
      <c r="DF208" s="41"/>
      <c r="DG208" s="41"/>
      <c r="DH208" s="391"/>
      <c r="DI208" s="41"/>
      <c r="DJ208" s="41"/>
      <c r="DK208" s="203"/>
      <c r="DL208" s="256"/>
      <c r="DM208" s="41"/>
      <c r="DN208" s="41"/>
      <c r="DO208" s="41"/>
      <c r="DP208" s="420"/>
      <c r="DQ208" s="41"/>
      <c r="DR208" s="41"/>
      <c r="DS208" s="203"/>
      <c r="DT208" s="256"/>
      <c r="DU208" s="46"/>
      <c r="DV208" s="46"/>
      <c r="DW208" s="196"/>
      <c r="DX208" s="391"/>
      <c r="DY208" s="41"/>
      <c r="DZ208" s="41"/>
      <c r="EA208" s="41"/>
      <c r="EB208" s="69"/>
      <c r="EC208" s="41"/>
      <c r="ED208" s="41"/>
      <c r="EE208" s="41"/>
      <c r="EF208" s="420"/>
      <c r="EG208" s="41"/>
      <c r="EH208" s="41"/>
      <c r="EI208" s="41"/>
      <c r="EJ208" s="256"/>
      <c r="EK208" s="41"/>
      <c r="EL208" s="41"/>
      <c r="EM208" s="41"/>
      <c r="EN208" s="391"/>
    </row>
    <row r="209" spans="1:144" ht="25.5">
      <c r="A209" s="45">
        <v>202</v>
      </c>
      <c r="B209" s="53" t="s">
        <v>301</v>
      </c>
      <c r="C209" s="45">
        <v>3</v>
      </c>
      <c r="D209" s="53" t="s">
        <v>538</v>
      </c>
      <c r="E209" s="54">
        <v>10</v>
      </c>
      <c r="F209" s="56">
        <v>6</v>
      </c>
      <c r="G209" s="397">
        <f>62517.6/1000</f>
        <v>62.517600000000002</v>
      </c>
      <c r="H209" s="59">
        <v>17681.399999999998</v>
      </c>
      <c r="I209" s="59">
        <v>44836.2</v>
      </c>
      <c r="J209" s="398">
        <v>268.97826829999997</v>
      </c>
      <c r="K209" s="414">
        <f t="shared" si="18"/>
        <v>331.49586829999998</v>
      </c>
      <c r="L209" s="397"/>
      <c r="M209" s="397"/>
      <c r="N209" s="397">
        <f t="shared" si="15"/>
        <v>331.49586829999998</v>
      </c>
      <c r="O209" s="399">
        <f t="shared" si="19"/>
        <v>300</v>
      </c>
      <c r="P209" s="369" t="s">
        <v>1012</v>
      </c>
      <c r="Q209" s="46"/>
      <c r="R209" s="218"/>
      <c r="S209" s="257"/>
      <c r="T209" s="196"/>
      <c r="U209" s="46"/>
      <c r="V209" s="46"/>
      <c r="W209" s="257"/>
      <c r="X209" s="46"/>
      <c r="Y209" s="46"/>
      <c r="Z209" s="46"/>
      <c r="AA209" s="257"/>
      <c r="AB209" s="196"/>
      <c r="AC209" s="46"/>
      <c r="AD209" s="167"/>
      <c r="AE209" s="257"/>
      <c r="AF209" s="196"/>
      <c r="AG209" s="46"/>
      <c r="AH209" s="46"/>
      <c r="AI209" s="196"/>
      <c r="AJ209" s="400"/>
      <c r="AK209" s="196"/>
      <c r="AL209" s="46"/>
      <c r="AM209" s="218"/>
      <c r="AN209" s="257"/>
      <c r="AO209" s="196"/>
      <c r="AP209" s="46"/>
      <c r="AQ209" s="257"/>
      <c r="AR209" s="196"/>
      <c r="AS209" s="46"/>
      <c r="AT209" s="257"/>
      <c r="AU209" s="196"/>
      <c r="AV209" s="46"/>
      <c r="AW209" s="257"/>
      <c r="AX209" s="196"/>
      <c r="AY209" s="46"/>
      <c r="AZ209" s="257"/>
      <c r="BA209" s="46"/>
      <c r="BB209" s="46"/>
      <c r="BC209" s="46"/>
      <c r="BD209" s="46"/>
      <c r="BE209" s="46"/>
      <c r="BF209" s="257"/>
      <c r="BG209" s="46"/>
      <c r="BH209" s="46"/>
      <c r="BI209" s="46"/>
      <c r="BJ209" s="196"/>
      <c r="BK209" s="46"/>
      <c r="BL209" s="46"/>
      <c r="BM209" s="46"/>
      <c r="BN209" s="46"/>
      <c r="BO209" s="257"/>
      <c r="BP209" s="196"/>
      <c r="BQ209" s="46"/>
      <c r="BR209" s="257"/>
      <c r="BS209" s="46"/>
      <c r="BT209" s="46"/>
      <c r="BU209" s="257"/>
      <c r="BV209" s="196"/>
      <c r="BW209" s="46"/>
      <c r="BX209" s="46"/>
      <c r="BY209" s="46"/>
      <c r="BZ209" s="46"/>
      <c r="CA209" s="257"/>
      <c r="CB209" s="196"/>
      <c r="CC209" s="46"/>
      <c r="CD209" s="257"/>
      <c r="CE209" s="46"/>
      <c r="CF209" s="46"/>
      <c r="CG209" s="257"/>
      <c r="CH209" s="46"/>
      <c r="CI209" s="46"/>
      <c r="CJ209" s="46"/>
      <c r="CK209" s="46"/>
      <c r="CL209" s="46"/>
      <c r="CM209" s="257"/>
      <c r="CN209" s="46"/>
      <c r="CO209" s="376"/>
      <c r="CP209" s="257"/>
      <c r="CQ209" s="196" t="s">
        <v>248</v>
      </c>
      <c r="CR209" s="190" t="s">
        <v>729</v>
      </c>
      <c r="CS209" s="257">
        <f t="shared" si="16"/>
        <v>300000</v>
      </c>
      <c r="CT209" s="196"/>
      <c r="CU209" s="317"/>
      <c r="CV209" s="391">
        <f t="shared" si="17"/>
        <v>0</v>
      </c>
      <c r="CW209" s="41"/>
      <c r="CX209" s="41"/>
      <c r="CY209" s="256"/>
      <c r="CZ209" s="308"/>
      <c r="DA209" s="308"/>
      <c r="DB209" s="420"/>
      <c r="DC209" s="41">
        <v>8</v>
      </c>
      <c r="DD209" s="41">
        <v>300</v>
      </c>
      <c r="DE209" s="256">
        <v>300000</v>
      </c>
      <c r="DF209" s="41"/>
      <c r="DG209" s="41"/>
      <c r="DH209" s="391"/>
      <c r="DI209" s="41"/>
      <c r="DJ209" s="41"/>
      <c r="DK209" s="203"/>
      <c r="DL209" s="256"/>
      <c r="DM209" s="41"/>
      <c r="DN209" s="41"/>
      <c r="DO209" s="41"/>
      <c r="DP209" s="420"/>
      <c r="DQ209" s="41"/>
      <c r="DR209" s="41"/>
      <c r="DS209" s="203"/>
      <c r="DT209" s="256"/>
      <c r="DU209" s="46"/>
      <c r="DV209" s="46"/>
      <c r="DW209" s="196"/>
      <c r="DX209" s="391"/>
      <c r="DY209" s="41"/>
      <c r="DZ209" s="41"/>
      <c r="EA209" s="41"/>
      <c r="EB209" s="69"/>
      <c r="EC209" s="41"/>
      <c r="ED209" s="41"/>
      <c r="EE209" s="41"/>
      <c r="EF209" s="420"/>
      <c r="EG209" s="41"/>
      <c r="EH209" s="41"/>
      <c r="EI209" s="41"/>
      <c r="EJ209" s="256"/>
      <c r="EK209" s="41"/>
      <c r="EL209" s="41"/>
      <c r="EM209" s="41"/>
      <c r="EN209" s="391"/>
    </row>
    <row r="210" spans="1:144" ht="25.5">
      <c r="A210" s="45">
        <v>203</v>
      </c>
      <c r="B210" s="53" t="s">
        <v>301</v>
      </c>
      <c r="C210" s="45">
        <v>3</v>
      </c>
      <c r="D210" s="55" t="s">
        <v>538</v>
      </c>
      <c r="E210" s="54">
        <v>11</v>
      </c>
      <c r="F210" s="56">
        <v>6</v>
      </c>
      <c r="G210" s="397">
        <f>59896.248/1000</f>
        <v>59.896248</v>
      </c>
      <c r="H210" s="59">
        <v>16940.022000000001</v>
      </c>
      <c r="I210" s="59">
        <v>42956.22600000001</v>
      </c>
      <c r="J210" s="398">
        <v>-54.853444000000017</v>
      </c>
      <c r="K210" s="414">
        <f t="shared" si="18"/>
        <v>5.0428039999999825</v>
      </c>
      <c r="L210" s="397"/>
      <c r="M210" s="397"/>
      <c r="N210" s="397">
        <f t="shared" si="15"/>
        <v>5.0428039999999825</v>
      </c>
      <c r="O210" s="399">
        <f t="shared" si="19"/>
        <v>5</v>
      </c>
      <c r="P210" s="369" t="s">
        <v>1012</v>
      </c>
      <c r="Q210" s="46"/>
      <c r="R210" s="218"/>
      <c r="S210" s="257"/>
      <c r="T210" s="196"/>
      <c r="U210" s="46"/>
      <c r="V210" s="46"/>
      <c r="W210" s="257"/>
      <c r="X210" s="46"/>
      <c r="Y210" s="46"/>
      <c r="Z210" s="46"/>
      <c r="AA210" s="257"/>
      <c r="AB210" s="196"/>
      <c r="AC210" s="46"/>
      <c r="AD210" s="167"/>
      <c r="AE210" s="257"/>
      <c r="AF210" s="237"/>
      <c r="AG210" s="249"/>
      <c r="AH210" s="249"/>
      <c r="AI210" s="237"/>
      <c r="AJ210" s="533"/>
      <c r="AK210" s="196"/>
      <c r="AL210" s="46"/>
      <c r="AM210" s="218"/>
      <c r="AN210" s="257"/>
      <c r="AO210" s="196"/>
      <c r="AP210" s="46"/>
      <c r="AQ210" s="257"/>
      <c r="AR210" s="196"/>
      <c r="AS210" s="46"/>
      <c r="AT210" s="257"/>
      <c r="AU210" s="196"/>
      <c r="AV210" s="46"/>
      <c r="AW210" s="257"/>
      <c r="AX210" s="196"/>
      <c r="AY210" s="46"/>
      <c r="AZ210" s="257"/>
      <c r="BA210" s="46"/>
      <c r="BB210" s="46"/>
      <c r="BC210" s="46"/>
      <c r="BD210" s="46"/>
      <c r="BE210" s="46"/>
      <c r="BF210" s="257"/>
      <c r="BG210" s="46"/>
      <c r="BH210" s="46"/>
      <c r="BI210" s="46"/>
      <c r="BJ210" s="196"/>
      <c r="BK210" s="46"/>
      <c r="BL210" s="46"/>
      <c r="BM210" s="46"/>
      <c r="BN210" s="46"/>
      <c r="BO210" s="257"/>
      <c r="BP210" s="196"/>
      <c r="BQ210" s="46"/>
      <c r="BR210" s="257"/>
      <c r="BS210" s="46"/>
      <c r="BT210" s="46"/>
      <c r="BU210" s="257"/>
      <c r="BV210" s="196"/>
      <c r="BW210" s="46"/>
      <c r="BX210" s="46"/>
      <c r="BY210" s="46"/>
      <c r="BZ210" s="46"/>
      <c r="CA210" s="257"/>
      <c r="CB210" s="196"/>
      <c r="CC210" s="46"/>
      <c r="CD210" s="257"/>
      <c r="CE210" s="46"/>
      <c r="CF210" s="46"/>
      <c r="CG210" s="257"/>
      <c r="CH210" s="46"/>
      <c r="CI210" s="46"/>
      <c r="CJ210" s="46"/>
      <c r="CK210" s="46"/>
      <c r="CL210" s="46"/>
      <c r="CM210" s="257"/>
      <c r="CN210" s="46"/>
      <c r="CO210" s="376"/>
      <c r="CP210" s="257"/>
      <c r="CQ210" s="196"/>
      <c r="CR210" s="190" t="s">
        <v>521</v>
      </c>
      <c r="CS210" s="257">
        <f>CY210+DE210+DL210+DT210+EB210+EJ210+5000</f>
        <v>5000</v>
      </c>
      <c r="CT210" s="196"/>
      <c r="CU210" s="317"/>
      <c r="CV210" s="391">
        <f t="shared" si="17"/>
        <v>0</v>
      </c>
      <c r="CW210" s="41"/>
      <c r="CX210" s="41"/>
      <c r="CY210" s="256"/>
      <c r="CZ210" s="308"/>
      <c r="DA210" s="308"/>
      <c r="DB210" s="420"/>
      <c r="DC210" s="41"/>
      <c r="DD210" s="41"/>
      <c r="DE210" s="256"/>
      <c r="DF210" s="41"/>
      <c r="DG210" s="41"/>
      <c r="DH210" s="391"/>
      <c r="DI210" s="41"/>
      <c r="DJ210" s="41"/>
      <c r="DK210" s="203"/>
      <c r="DL210" s="256"/>
      <c r="DM210" s="41"/>
      <c r="DN210" s="41"/>
      <c r="DO210" s="41"/>
      <c r="DP210" s="420"/>
      <c r="DQ210" s="41"/>
      <c r="DR210" s="41"/>
      <c r="DS210" s="203"/>
      <c r="DT210" s="256"/>
      <c r="DU210" s="46"/>
      <c r="DV210" s="46"/>
      <c r="DW210" s="196"/>
      <c r="DX210" s="391"/>
      <c r="DY210" s="41"/>
      <c r="DZ210" s="41"/>
      <c r="EA210" s="41"/>
      <c r="EB210" s="69"/>
      <c r="EC210" s="41"/>
      <c r="ED210" s="41"/>
      <c r="EE210" s="41"/>
      <c r="EF210" s="420"/>
      <c r="EG210" s="41"/>
      <c r="EH210" s="41"/>
      <c r="EI210" s="41"/>
      <c r="EJ210" s="256"/>
      <c r="EK210" s="41"/>
      <c r="EL210" s="41"/>
      <c r="EM210" s="41"/>
      <c r="EN210" s="391"/>
    </row>
    <row r="211" spans="1:144" ht="25.5">
      <c r="A211" s="45">
        <v>204</v>
      </c>
      <c r="B211" s="53" t="s">
        <v>301</v>
      </c>
      <c r="C211" s="45">
        <v>3</v>
      </c>
      <c r="D211" s="55" t="s">
        <v>538</v>
      </c>
      <c r="E211" s="54" t="s">
        <v>285</v>
      </c>
      <c r="F211" s="56">
        <v>7</v>
      </c>
      <c r="G211" s="397">
        <f>57268.008/1000</f>
        <v>57.268008000000002</v>
      </c>
      <c r="H211" s="59">
        <v>0</v>
      </c>
      <c r="I211" s="59">
        <v>57268.008000000009</v>
      </c>
      <c r="J211" s="398">
        <v>-0.23116999999999166</v>
      </c>
      <c r="K211" s="414">
        <f t="shared" si="18"/>
        <v>57.03683800000001</v>
      </c>
      <c r="L211" s="397"/>
      <c r="M211" s="397"/>
      <c r="N211" s="397">
        <f t="shared" si="15"/>
        <v>57.03683800000001</v>
      </c>
      <c r="O211" s="399">
        <f t="shared" si="19"/>
        <v>15</v>
      </c>
      <c r="P211" s="369" t="s">
        <v>1012</v>
      </c>
      <c r="Q211" s="46"/>
      <c r="R211" s="218"/>
      <c r="S211" s="257"/>
      <c r="T211" s="196"/>
      <c r="U211" s="46"/>
      <c r="V211" s="46"/>
      <c r="W211" s="257"/>
      <c r="X211" s="46"/>
      <c r="Y211" s="46"/>
      <c r="Z211" s="46"/>
      <c r="AA211" s="257"/>
      <c r="AB211" s="196"/>
      <c r="AC211" s="46"/>
      <c r="AD211" s="167"/>
      <c r="AE211" s="257"/>
      <c r="AF211" s="196"/>
      <c r="AG211" s="162"/>
      <c r="AH211" s="162"/>
      <c r="AI211" s="248"/>
      <c r="AJ211" s="533"/>
      <c r="AK211" s="196"/>
      <c r="AL211" s="46"/>
      <c r="AM211" s="218"/>
      <c r="AN211" s="257"/>
      <c r="AO211" s="196"/>
      <c r="AP211" s="46"/>
      <c r="AQ211" s="257"/>
      <c r="AR211" s="196"/>
      <c r="AS211" s="46"/>
      <c r="AT211" s="257"/>
      <c r="AU211" s="196"/>
      <c r="AV211" s="46"/>
      <c r="AW211" s="257"/>
      <c r="AX211" s="196"/>
      <c r="AY211" s="46"/>
      <c r="AZ211" s="257"/>
      <c r="BA211" s="46"/>
      <c r="BB211" s="46"/>
      <c r="BC211" s="46"/>
      <c r="BD211" s="46"/>
      <c r="BE211" s="46"/>
      <c r="BF211" s="257"/>
      <c r="BG211" s="46"/>
      <c r="BH211" s="46"/>
      <c r="BI211" s="46"/>
      <c r="BJ211" s="196"/>
      <c r="BK211" s="46"/>
      <c r="BL211" s="46"/>
      <c r="BM211" s="46"/>
      <c r="BN211" s="46"/>
      <c r="BO211" s="257"/>
      <c r="BP211" s="196"/>
      <c r="BQ211" s="46"/>
      <c r="BR211" s="257"/>
      <c r="BS211" s="46"/>
      <c r="BT211" s="46"/>
      <c r="BU211" s="257"/>
      <c r="BV211" s="196"/>
      <c r="BW211" s="46"/>
      <c r="BX211" s="46"/>
      <c r="BY211" s="46"/>
      <c r="BZ211" s="46"/>
      <c r="CA211" s="257"/>
      <c r="CB211" s="196"/>
      <c r="CC211" s="46"/>
      <c r="CD211" s="257"/>
      <c r="CE211" s="46"/>
      <c r="CF211" s="46"/>
      <c r="CG211" s="257"/>
      <c r="CH211" s="46"/>
      <c r="CI211" s="46"/>
      <c r="CJ211" s="46"/>
      <c r="CK211" s="46"/>
      <c r="CL211" s="46"/>
      <c r="CM211" s="257"/>
      <c r="CN211" s="46"/>
      <c r="CO211" s="376"/>
      <c r="CP211" s="257"/>
      <c r="CQ211" s="196" t="s">
        <v>228</v>
      </c>
      <c r="CR211" s="190" t="s">
        <v>691</v>
      </c>
      <c r="CS211" s="257">
        <f>CY211+DE211+DL211+DT211+EB211+EJ211+15000</f>
        <v>15000</v>
      </c>
      <c r="CT211" s="196"/>
      <c r="CU211" s="317"/>
      <c r="CV211" s="391">
        <f t="shared" si="17"/>
        <v>0</v>
      </c>
      <c r="CW211" s="41"/>
      <c r="CX211" s="41"/>
      <c r="CY211" s="256"/>
      <c r="CZ211" s="308"/>
      <c r="DA211" s="308"/>
      <c r="DB211" s="420"/>
      <c r="DC211" s="41"/>
      <c r="DD211" s="41"/>
      <c r="DE211" s="256"/>
      <c r="DF211" s="41"/>
      <c r="DG211" s="41"/>
      <c r="DH211" s="391"/>
      <c r="DI211" s="41"/>
      <c r="DJ211" s="41"/>
      <c r="DK211" s="203"/>
      <c r="DL211" s="256"/>
      <c r="DM211" s="41"/>
      <c r="DN211" s="41"/>
      <c r="DO211" s="41"/>
      <c r="DP211" s="420"/>
      <c r="DQ211" s="41"/>
      <c r="DR211" s="41"/>
      <c r="DS211" s="203"/>
      <c r="DT211" s="256"/>
      <c r="DU211" s="46"/>
      <c r="DV211" s="46"/>
      <c r="DW211" s="196"/>
      <c r="DX211" s="391"/>
      <c r="DY211" s="41"/>
      <c r="DZ211" s="41"/>
      <c r="EA211" s="41"/>
      <c r="EB211" s="69"/>
      <c r="EC211" s="41"/>
      <c r="ED211" s="41"/>
      <c r="EE211" s="41"/>
      <c r="EF211" s="420"/>
      <c r="EG211" s="41"/>
      <c r="EH211" s="41"/>
      <c r="EI211" s="41"/>
      <c r="EJ211" s="256"/>
      <c r="EK211" s="41"/>
      <c r="EL211" s="41"/>
      <c r="EM211" s="41"/>
      <c r="EN211" s="391"/>
    </row>
    <row r="212" spans="1:144" ht="25.5">
      <c r="A212" s="45">
        <v>205</v>
      </c>
      <c r="B212" s="53" t="s">
        <v>301</v>
      </c>
      <c r="C212" s="45">
        <v>3</v>
      </c>
      <c r="D212" s="55" t="s">
        <v>538</v>
      </c>
      <c r="E212" s="54">
        <v>14</v>
      </c>
      <c r="F212" s="56">
        <v>7</v>
      </c>
      <c r="G212" s="397">
        <f>51265.116/1000</f>
        <v>51.265115999999999</v>
      </c>
      <c r="H212" s="59">
        <v>0</v>
      </c>
      <c r="I212" s="59">
        <v>51265.115999999995</v>
      </c>
      <c r="J212" s="398">
        <v>-17.712060000000008</v>
      </c>
      <c r="K212" s="414">
        <f t="shared" si="18"/>
        <v>33.553055999999991</v>
      </c>
      <c r="L212" s="397"/>
      <c r="M212" s="397"/>
      <c r="N212" s="397">
        <f t="shared" si="15"/>
        <v>33.553055999999991</v>
      </c>
      <c r="O212" s="399">
        <f t="shared" si="19"/>
        <v>33</v>
      </c>
      <c r="P212" s="369" t="s">
        <v>1012</v>
      </c>
      <c r="Q212" s="46"/>
      <c r="R212" s="218"/>
      <c r="S212" s="257"/>
      <c r="T212" s="196"/>
      <c r="U212" s="46"/>
      <c r="V212" s="46"/>
      <c r="W212" s="257"/>
      <c r="X212" s="46"/>
      <c r="Y212" s="46"/>
      <c r="Z212" s="46"/>
      <c r="AA212" s="257"/>
      <c r="AB212" s="196"/>
      <c r="AC212" s="46"/>
      <c r="AD212" s="167"/>
      <c r="AE212" s="257"/>
      <c r="AF212" s="196"/>
      <c r="AG212" s="46"/>
      <c r="AH212" s="46"/>
      <c r="AI212" s="196"/>
      <c r="AJ212" s="533"/>
      <c r="AK212" s="196"/>
      <c r="AL212" s="46"/>
      <c r="AM212" s="218"/>
      <c r="AN212" s="257"/>
      <c r="AO212" s="196"/>
      <c r="AP212" s="46"/>
      <c r="AQ212" s="257"/>
      <c r="AR212" s="196"/>
      <c r="AS212" s="46"/>
      <c r="AT212" s="257"/>
      <c r="AU212" s="196"/>
      <c r="AV212" s="46"/>
      <c r="AW212" s="257"/>
      <c r="AX212" s="196"/>
      <c r="AY212" s="46"/>
      <c r="AZ212" s="257"/>
      <c r="BA212" s="46"/>
      <c r="BB212" s="46"/>
      <c r="BC212" s="46"/>
      <c r="BD212" s="46"/>
      <c r="BE212" s="46"/>
      <c r="BF212" s="257"/>
      <c r="BG212" s="46"/>
      <c r="BH212" s="46"/>
      <c r="BI212" s="46"/>
      <c r="BJ212" s="196"/>
      <c r="BK212" s="46"/>
      <c r="BL212" s="46"/>
      <c r="BM212" s="46"/>
      <c r="BN212" s="46"/>
      <c r="BO212" s="257"/>
      <c r="BP212" s="196"/>
      <c r="BQ212" s="46"/>
      <c r="BR212" s="257"/>
      <c r="BS212" s="46"/>
      <c r="BT212" s="46"/>
      <c r="BU212" s="257"/>
      <c r="BV212" s="196"/>
      <c r="BW212" s="46"/>
      <c r="BX212" s="46"/>
      <c r="BY212" s="46"/>
      <c r="BZ212" s="46"/>
      <c r="CA212" s="257"/>
      <c r="CB212" s="196"/>
      <c r="CC212" s="46"/>
      <c r="CD212" s="257"/>
      <c r="CE212" s="46"/>
      <c r="CF212" s="46"/>
      <c r="CG212" s="257"/>
      <c r="CH212" s="46"/>
      <c r="CI212" s="46"/>
      <c r="CJ212" s="46"/>
      <c r="CK212" s="46"/>
      <c r="CL212" s="46"/>
      <c r="CM212" s="257"/>
      <c r="CN212" s="46"/>
      <c r="CO212" s="376"/>
      <c r="CP212" s="257"/>
      <c r="CQ212" s="196"/>
      <c r="CR212" s="190" t="s">
        <v>521</v>
      </c>
      <c r="CS212" s="257">
        <f>CY212+DE212+DL212+DT212+EB212+EJ212+33000</f>
        <v>33000</v>
      </c>
      <c r="CT212" s="196"/>
      <c r="CU212" s="317"/>
      <c r="CV212" s="391">
        <f t="shared" si="17"/>
        <v>0</v>
      </c>
      <c r="CW212" s="41"/>
      <c r="CX212" s="41"/>
      <c r="CY212" s="256"/>
      <c r="CZ212" s="308"/>
      <c r="DA212" s="308"/>
      <c r="DB212" s="420"/>
      <c r="DC212" s="41"/>
      <c r="DD212" s="41"/>
      <c r="DE212" s="256"/>
      <c r="DF212" s="41"/>
      <c r="DG212" s="41"/>
      <c r="DH212" s="391"/>
      <c r="DI212" s="41"/>
      <c r="DJ212" s="41"/>
      <c r="DK212" s="203"/>
      <c r="DL212" s="256"/>
      <c r="DM212" s="41"/>
      <c r="DN212" s="41"/>
      <c r="DO212" s="41"/>
      <c r="DP212" s="420"/>
      <c r="DQ212" s="41"/>
      <c r="DR212" s="41"/>
      <c r="DS212" s="203"/>
      <c r="DT212" s="256"/>
      <c r="DU212" s="46"/>
      <c r="DV212" s="46"/>
      <c r="DW212" s="196"/>
      <c r="DX212" s="391"/>
      <c r="DY212" s="41"/>
      <c r="DZ212" s="41"/>
      <c r="EA212" s="41"/>
      <c r="EB212" s="69"/>
      <c r="EC212" s="41"/>
      <c r="ED212" s="41"/>
      <c r="EE212" s="41"/>
      <c r="EF212" s="420"/>
      <c r="EG212" s="41"/>
      <c r="EH212" s="41"/>
      <c r="EI212" s="41"/>
      <c r="EJ212" s="256"/>
      <c r="EK212" s="41"/>
      <c r="EL212" s="41"/>
      <c r="EM212" s="41"/>
      <c r="EN212" s="391"/>
    </row>
    <row r="213" spans="1:144" ht="45.75">
      <c r="A213" s="45">
        <v>206</v>
      </c>
      <c r="B213" s="53" t="s">
        <v>301</v>
      </c>
      <c r="C213" s="45">
        <v>3</v>
      </c>
      <c r="D213" s="55" t="s">
        <v>538</v>
      </c>
      <c r="E213" s="54">
        <v>15</v>
      </c>
      <c r="F213" s="56">
        <v>7</v>
      </c>
      <c r="G213" s="397">
        <f>62303.535/1000</f>
        <v>62.303535000000004</v>
      </c>
      <c r="H213" s="59">
        <v>0</v>
      </c>
      <c r="I213" s="59">
        <v>62303.535000000003</v>
      </c>
      <c r="J213" s="398">
        <v>121.85840099999999</v>
      </c>
      <c r="K213" s="414">
        <f t="shared" si="18"/>
        <v>184.161936</v>
      </c>
      <c r="L213" s="397"/>
      <c r="M213" s="397"/>
      <c r="N213" s="397">
        <f t="shared" si="15"/>
        <v>184.161936</v>
      </c>
      <c r="O213" s="399">
        <f t="shared" si="19"/>
        <v>113</v>
      </c>
      <c r="P213" s="369" t="s">
        <v>1012</v>
      </c>
      <c r="Q213" s="46"/>
      <c r="R213" s="218"/>
      <c r="S213" s="257"/>
      <c r="T213" s="196"/>
      <c r="U213" s="46"/>
      <c r="V213" s="46"/>
      <c r="W213" s="257"/>
      <c r="X213" s="46"/>
      <c r="Y213" s="46"/>
      <c r="Z213" s="46"/>
      <c r="AA213" s="257"/>
      <c r="AB213" s="196"/>
      <c r="AC213" s="46"/>
      <c r="AD213" s="167"/>
      <c r="AE213" s="257"/>
      <c r="AF213" s="196"/>
      <c r="AG213" s="46"/>
      <c r="AH213" s="46"/>
      <c r="AI213" s="196"/>
      <c r="AJ213" s="534"/>
      <c r="AK213" s="196"/>
      <c r="AL213" s="46"/>
      <c r="AM213" s="218"/>
      <c r="AN213" s="257"/>
      <c r="AO213" s="196"/>
      <c r="AP213" s="46"/>
      <c r="AQ213" s="257"/>
      <c r="AR213" s="196"/>
      <c r="AS213" s="46"/>
      <c r="AT213" s="257"/>
      <c r="AU213" s="196"/>
      <c r="AV213" s="46"/>
      <c r="AW213" s="257"/>
      <c r="AX213" s="196"/>
      <c r="AY213" s="46"/>
      <c r="AZ213" s="257"/>
      <c r="BA213" s="46"/>
      <c r="BB213" s="46"/>
      <c r="BC213" s="46"/>
      <c r="BD213" s="46"/>
      <c r="BE213" s="46"/>
      <c r="BF213" s="257"/>
      <c r="BG213" s="46"/>
      <c r="BH213" s="46"/>
      <c r="BI213" s="46"/>
      <c r="BJ213" s="196"/>
      <c r="BK213" s="46"/>
      <c r="BL213" s="46"/>
      <c r="BM213" s="46"/>
      <c r="BN213" s="46"/>
      <c r="BO213" s="257"/>
      <c r="BP213" s="196"/>
      <c r="BQ213" s="46"/>
      <c r="BR213" s="257"/>
      <c r="BS213" s="46"/>
      <c r="BT213" s="46"/>
      <c r="BU213" s="257"/>
      <c r="BV213" s="196"/>
      <c r="BW213" s="46"/>
      <c r="BX213" s="46"/>
      <c r="BY213" s="46"/>
      <c r="BZ213" s="46"/>
      <c r="CA213" s="257"/>
      <c r="CB213" s="196"/>
      <c r="CD213" s="257"/>
      <c r="CE213" s="46"/>
      <c r="CF213" s="46"/>
      <c r="CG213" s="257"/>
      <c r="CH213" s="46"/>
      <c r="CI213" s="46"/>
      <c r="CJ213" s="46"/>
      <c r="CK213" s="46"/>
      <c r="CL213" s="46"/>
      <c r="CM213" s="257"/>
      <c r="CN213" s="46"/>
      <c r="CO213" s="376"/>
      <c r="CP213" s="257"/>
      <c r="CQ213" s="196" t="s">
        <v>227</v>
      </c>
      <c r="CR213" s="190" t="s">
        <v>730</v>
      </c>
      <c r="CS213" s="257">
        <f t="shared" si="16"/>
        <v>113000</v>
      </c>
      <c r="CT213" s="196"/>
      <c r="CU213" s="317"/>
      <c r="CV213" s="391">
        <f t="shared" si="17"/>
        <v>0</v>
      </c>
      <c r="CW213" s="41"/>
      <c r="CX213" s="41"/>
      <c r="CY213" s="256"/>
      <c r="CZ213" s="308"/>
      <c r="DA213" s="308"/>
      <c r="DB213" s="420"/>
      <c r="DC213" s="41">
        <v>7</v>
      </c>
      <c r="DD213" s="41">
        <v>98</v>
      </c>
      <c r="DE213" s="256">
        <v>98000</v>
      </c>
      <c r="DF213" s="41"/>
      <c r="DG213" s="41"/>
      <c r="DH213" s="391"/>
      <c r="DI213" s="41">
        <v>7</v>
      </c>
      <c r="DJ213" s="41">
        <v>1</v>
      </c>
      <c r="DK213" s="203" t="s">
        <v>523</v>
      </c>
      <c r="DL213" s="256">
        <v>15000</v>
      </c>
      <c r="DM213" s="41"/>
      <c r="DN213" s="41"/>
      <c r="DO213" s="41"/>
      <c r="DP213" s="420"/>
      <c r="DQ213" s="41"/>
      <c r="DR213" s="41"/>
      <c r="DS213" s="203"/>
      <c r="DT213" s="256"/>
      <c r="DU213" s="46"/>
      <c r="DV213" s="46"/>
      <c r="DW213" s="196"/>
      <c r="DX213" s="391"/>
      <c r="DY213" s="41"/>
      <c r="DZ213" s="41"/>
      <c r="EA213" s="41"/>
      <c r="EB213" s="69"/>
      <c r="EC213" s="41"/>
      <c r="ED213" s="41"/>
      <c r="EE213" s="41"/>
      <c r="EF213" s="420"/>
      <c r="EG213" s="41"/>
      <c r="EH213" s="41"/>
      <c r="EI213" s="41"/>
      <c r="EJ213" s="256"/>
      <c r="EK213" s="41"/>
      <c r="EL213" s="41"/>
      <c r="EM213" s="41"/>
      <c r="EN213" s="391"/>
    </row>
    <row r="214" spans="1:144" ht="25.5">
      <c r="A214" s="45">
        <v>207</v>
      </c>
      <c r="B214" s="53" t="s">
        <v>301</v>
      </c>
      <c r="C214" s="45">
        <v>3</v>
      </c>
      <c r="D214" s="55" t="s">
        <v>538</v>
      </c>
      <c r="E214" s="54">
        <v>16</v>
      </c>
      <c r="F214" s="56">
        <v>7</v>
      </c>
      <c r="G214" s="397">
        <f>63082.656/1000</f>
        <v>63.082656</v>
      </c>
      <c r="H214" s="59">
        <v>0</v>
      </c>
      <c r="I214" s="59">
        <v>63082.65600000001</v>
      </c>
      <c r="J214" s="398">
        <v>-69.713959999999986</v>
      </c>
      <c r="K214" s="414">
        <f t="shared" si="18"/>
        <v>-6.6313039999999859</v>
      </c>
      <c r="L214" s="397"/>
      <c r="M214" s="397"/>
      <c r="N214" s="397">
        <f t="shared" si="15"/>
        <v>-6.6313039999999859</v>
      </c>
      <c r="O214" s="399">
        <f t="shared" si="19"/>
        <v>0</v>
      </c>
      <c r="P214" s="369" t="s">
        <v>1012</v>
      </c>
      <c r="Q214" s="46"/>
      <c r="R214" s="218"/>
      <c r="S214" s="257"/>
      <c r="T214" s="196"/>
      <c r="U214" s="46"/>
      <c r="V214" s="46"/>
      <c r="W214" s="257"/>
      <c r="X214" s="46"/>
      <c r="Y214" s="46"/>
      <c r="Z214" s="46"/>
      <c r="AA214" s="257"/>
      <c r="AB214" s="196"/>
      <c r="AC214" s="46"/>
      <c r="AD214" s="167"/>
      <c r="AE214" s="257"/>
      <c r="AF214" s="196"/>
      <c r="AG214" s="46"/>
      <c r="AH214" s="46"/>
      <c r="AI214" s="196"/>
      <c r="AJ214" s="533"/>
      <c r="AK214" s="196"/>
      <c r="AL214" s="46"/>
      <c r="AM214" s="218"/>
      <c r="AN214" s="257"/>
      <c r="AO214" s="196"/>
      <c r="AP214" s="46"/>
      <c r="AQ214" s="257"/>
      <c r="AR214" s="196"/>
      <c r="AS214" s="46"/>
      <c r="AT214" s="257"/>
      <c r="AU214" s="196"/>
      <c r="AV214" s="46"/>
      <c r="AW214" s="257"/>
      <c r="AX214" s="196"/>
      <c r="AY214" s="46"/>
      <c r="AZ214" s="257"/>
      <c r="BA214" s="46"/>
      <c r="BB214" s="46"/>
      <c r="BC214" s="46"/>
      <c r="BD214" s="46"/>
      <c r="BE214" s="46"/>
      <c r="BF214" s="257"/>
      <c r="BG214" s="46"/>
      <c r="BH214" s="46"/>
      <c r="BI214" s="46"/>
      <c r="BJ214" s="196"/>
      <c r="BK214" s="46"/>
      <c r="BL214" s="46"/>
      <c r="BM214" s="46"/>
      <c r="BN214" s="46"/>
      <c r="BO214" s="257"/>
      <c r="BP214" s="196"/>
      <c r="BQ214" s="46"/>
      <c r="BR214" s="257"/>
      <c r="BS214" s="46"/>
      <c r="BT214" s="46"/>
      <c r="BU214" s="257"/>
      <c r="BV214" s="196"/>
      <c r="BW214" s="46"/>
      <c r="BX214" s="46"/>
      <c r="BY214" s="46"/>
      <c r="BZ214" s="46"/>
      <c r="CA214" s="257"/>
      <c r="CB214" s="196"/>
      <c r="CC214" s="46"/>
      <c r="CD214" s="257"/>
      <c r="CE214" s="46"/>
      <c r="CF214" s="46"/>
      <c r="CG214" s="257"/>
      <c r="CH214" s="46"/>
      <c r="CI214" s="46"/>
      <c r="CJ214" s="46"/>
      <c r="CK214" s="46"/>
      <c r="CL214" s="46"/>
      <c r="CM214" s="257"/>
      <c r="CN214" s="46"/>
      <c r="CO214" s="376"/>
      <c r="CP214" s="257"/>
      <c r="CQ214" s="196"/>
      <c r="CR214" s="190"/>
      <c r="CS214" s="257">
        <f t="shared" si="16"/>
        <v>0</v>
      </c>
      <c r="CT214" s="196"/>
      <c r="CU214" s="317"/>
      <c r="CV214" s="391">
        <f t="shared" si="17"/>
        <v>0</v>
      </c>
      <c r="CW214" s="41"/>
      <c r="CX214" s="41"/>
      <c r="CY214" s="256"/>
      <c r="CZ214" s="308"/>
      <c r="DA214" s="308"/>
      <c r="DB214" s="420"/>
      <c r="DC214" s="41"/>
      <c r="DD214" s="41"/>
      <c r="DE214" s="256"/>
      <c r="DF214" s="41"/>
      <c r="DG214" s="41"/>
      <c r="DH214" s="391"/>
      <c r="DI214" s="41"/>
      <c r="DJ214" s="41"/>
      <c r="DK214" s="203"/>
      <c r="DL214" s="256"/>
      <c r="DM214" s="41"/>
      <c r="DN214" s="41"/>
      <c r="DO214" s="41"/>
      <c r="DP214" s="420"/>
      <c r="DQ214" s="41"/>
      <c r="DR214" s="41"/>
      <c r="DS214" s="203"/>
      <c r="DT214" s="256"/>
      <c r="DU214" s="46"/>
      <c r="DV214" s="46"/>
      <c r="DW214" s="196"/>
      <c r="DX214" s="391"/>
      <c r="DY214" s="41"/>
      <c r="DZ214" s="41"/>
      <c r="EA214" s="41"/>
      <c r="EB214" s="69"/>
      <c r="EC214" s="41"/>
      <c r="ED214" s="41"/>
      <c r="EE214" s="41"/>
      <c r="EF214" s="420"/>
      <c r="EG214" s="41"/>
      <c r="EH214" s="41"/>
      <c r="EI214" s="41"/>
      <c r="EJ214" s="256"/>
      <c r="EK214" s="41"/>
      <c r="EL214" s="41"/>
      <c r="EM214" s="41"/>
      <c r="EN214" s="391"/>
    </row>
    <row r="215" spans="1:144" ht="25.5">
      <c r="A215" s="45">
        <v>208</v>
      </c>
      <c r="B215" s="53" t="s">
        <v>301</v>
      </c>
      <c r="C215" s="45">
        <v>3</v>
      </c>
      <c r="D215" s="55" t="s">
        <v>538</v>
      </c>
      <c r="E215" s="54">
        <v>17</v>
      </c>
      <c r="F215" s="56">
        <v>7</v>
      </c>
      <c r="G215" s="397">
        <f>56797.398/1000</f>
        <v>56.797398000000001</v>
      </c>
      <c r="H215" s="59">
        <v>0</v>
      </c>
      <c r="I215" s="59">
        <v>56797.398000000001</v>
      </c>
      <c r="J215" s="398">
        <v>186.21471799999998</v>
      </c>
      <c r="K215" s="414">
        <f t="shared" si="18"/>
        <v>243.01211599999999</v>
      </c>
      <c r="L215" s="397"/>
      <c r="M215" s="397"/>
      <c r="N215" s="397">
        <f t="shared" si="15"/>
        <v>243.01211599999999</v>
      </c>
      <c r="O215" s="399">
        <f t="shared" si="19"/>
        <v>230</v>
      </c>
      <c r="P215" s="369" t="s">
        <v>1012</v>
      </c>
      <c r="Q215" s="46"/>
      <c r="R215" s="218"/>
      <c r="S215" s="257"/>
      <c r="T215" s="196"/>
      <c r="U215" s="46"/>
      <c r="V215" s="46"/>
      <c r="W215" s="257"/>
      <c r="X215" s="46"/>
      <c r="Y215" s="46"/>
      <c r="Z215" s="46"/>
      <c r="AA215" s="257"/>
      <c r="AB215" s="196"/>
      <c r="AC215" s="46"/>
      <c r="AD215" s="167"/>
      <c r="AE215" s="257"/>
      <c r="AF215" s="196"/>
      <c r="AG215" s="46"/>
      <c r="AH215" s="46"/>
      <c r="AI215" s="196"/>
      <c r="AJ215" s="400"/>
      <c r="AK215" s="196"/>
      <c r="AL215" s="46"/>
      <c r="AM215" s="218"/>
      <c r="AN215" s="257"/>
      <c r="AO215" s="196"/>
      <c r="AP215" s="46"/>
      <c r="AQ215" s="257"/>
      <c r="AR215" s="196"/>
      <c r="AS215" s="46"/>
      <c r="AT215" s="257"/>
      <c r="AU215" s="196"/>
      <c r="AV215" s="46"/>
      <c r="AW215" s="257"/>
      <c r="AX215" s="196"/>
      <c r="AY215" s="46"/>
      <c r="AZ215" s="257"/>
      <c r="BA215" s="46"/>
      <c r="BB215" s="46"/>
      <c r="BC215" s="46"/>
      <c r="BD215" s="46"/>
      <c r="BE215" s="46"/>
      <c r="BF215" s="257"/>
      <c r="BG215" s="46"/>
      <c r="BH215" s="46"/>
      <c r="BI215" s="46"/>
      <c r="BJ215" s="196"/>
      <c r="BK215" s="46"/>
      <c r="BL215" s="46"/>
      <c r="BM215" s="46"/>
      <c r="BN215" s="46"/>
      <c r="BO215" s="257"/>
      <c r="BP215" s="196"/>
      <c r="BQ215" s="46"/>
      <c r="BR215" s="257"/>
      <c r="BS215" s="46"/>
      <c r="BT215" s="46"/>
      <c r="BU215" s="257"/>
      <c r="BV215" s="196"/>
      <c r="BW215" s="46"/>
      <c r="BX215" s="46"/>
      <c r="BY215" s="46"/>
      <c r="BZ215" s="46"/>
      <c r="CA215" s="257"/>
      <c r="CB215" s="196"/>
      <c r="CC215" s="46"/>
      <c r="CD215" s="257"/>
      <c r="CE215" s="46"/>
      <c r="CF215" s="46"/>
      <c r="CG215" s="257"/>
      <c r="CH215" s="46"/>
      <c r="CI215" s="46"/>
      <c r="CJ215" s="46"/>
      <c r="CK215" s="46"/>
      <c r="CL215" s="46"/>
      <c r="CM215" s="257"/>
      <c r="CN215" s="46"/>
      <c r="CO215" s="376"/>
      <c r="CP215" s="257"/>
      <c r="CQ215" s="196" t="s">
        <v>247</v>
      </c>
      <c r="CR215" s="190" t="s">
        <v>731</v>
      </c>
      <c r="CS215" s="257">
        <f>CY215+DE215+DL215+DT215+EB215+EJ215+30000</f>
        <v>230000</v>
      </c>
      <c r="CT215" s="196"/>
      <c r="CU215" s="317"/>
      <c r="CV215" s="391">
        <f t="shared" si="17"/>
        <v>0</v>
      </c>
      <c r="CW215" s="41">
        <v>6</v>
      </c>
      <c r="CX215" s="41">
        <v>8</v>
      </c>
      <c r="CY215" s="256">
        <f>CX215*25000</f>
        <v>200000</v>
      </c>
      <c r="CZ215" s="308"/>
      <c r="DA215" s="308"/>
      <c r="DB215" s="420"/>
      <c r="DC215" s="41"/>
      <c r="DD215" s="41"/>
      <c r="DE215" s="256"/>
      <c r="DF215" s="41"/>
      <c r="DG215" s="41"/>
      <c r="DH215" s="391"/>
      <c r="DI215" s="41"/>
      <c r="DJ215" s="41"/>
      <c r="DK215" s="203"/>
      <c r="DL215" s="256"/>
      <c r="DM215" s="41"/>
      <c r="DN215" s="41"/>
      <c r="DO215" s="41"/>
      <c r="DP215" s="420"/>
      <c r="DQ215" s="41"/>
      <c r="DR215" s="41"/>
      <c r="DS215" s="203"/>
      <c r="DT215" s="256"/>
      <c r="DU215" s="46"/>
      <c r="DV215" s="46"/>
      <c r="DW215" s="196"/>
      <c r="DX215" s="391"/>
      <c r="DY215" s="41"/>
      <c r="DZ215" s="41"/>
      <c r="EA215" s="41"/>
      <c r="EB215" s="69"/>
      <c r="EC215" s="41"/>
      <c r="ED215" s="41"/>
      <c r="EE215" s="41"/>
      <c r="EF215" s="420"/>
      <c r="EG215" s="41"/>
      <c r="EH215" s="41"/>
      <c r="EI215" s="41"/>
      <c r="EJ215" s="256"/>
      <c r="EK215" s="41"/>
      <c r="EL215" s="41"/>
      <c r="EM215" s="41"/>
      <c r="EN215" s="391"/>
    </row>
    <row r="216" spans="1:144" ht="25.5">
      <c r="A216" s="45">
        <v>209</v>
      </c>
      <c r="B216" s="53" t="s">
        <v>301</v>
      </c>
      <c r="C216" s="45">
        <v>3</v>
      </c>
      <c r="D216" s="53" t="s">
        <v>538</v>
      </c>
      <c r="E216" s="54">
        <v>18</v>
      </c>
      <c r="F216" s="56">
        <v>6</v>
      </c>
      <c r="G216" s="397">
        <f>82621.944/1000</f>
        <v>82.621943999999999</v>
      </c>
      <c r="H216" s="59">
        <v>23367.366000000002</v>
      </c>
      <c r="I216" s="59">
        <v>59254.578000000009</v>
      </c>
      <c r="J216" s="398">
        <v>-119.28251199999994</v>
      </c>
      <c r="K216" s="414">
        <f t="shared" si="18"/>
        <v>-36.660567999999941</v>
      </c>
      <c r="L216" s="397"/>
      <c r="M216" s="397"/>
      <c r="N216" s="397">
        <f t="shared" si="15"/>
        <v>-36.660567999999941</v>
      </c>
      <c r="O216" s="399">
        <f t="shared" si="19"/>
        <v>0</v>
      </c>
      <c r="P216" s="369" t="s">
        <v>1012</v>
      </c>
      <c r="Q216" s="46"/>
      <c r="R216" s="218"/>
      <c r="S216" s="257"/>
      <c r="T216" s="196"/>
      <c r="U216" s="46"/>
      <c r="V216" s="46"/>
      <c r="W216" s="257"/>
      <c r="X216" s="46"/>
      <c r="Y216" s="46"/>
      <c r="Z216" s="46"/>
      <c r="AA216" s="257"/>
      <c r="AB216" s="196"/>
      <c r="AC216" s="46"/>
      <c r="AD216" s="167"/>
      <c r="AE216" s="257"/>
      <c r="AF216" s="196"/>
      <c r="AG216" s="46"/>
      <c r="AH216" s="46"/>
      <c r="AI216" s="196"/>
      <c r="AJ216" s="400"/>
      <c r="AK216" s="218"/>
      <c r="AL216" s="46"/>
      <c r="AM216" s="218"/>
      <c r="AN216" s="257"/>
      <c r="AO216" s="196"/>
      <c r="AP216" s="46"/>
      <c r="AQ216" s="257"/>
      <c r="AR216" s="196"/>
      <c r="AS216" s="46"/>
      <c r="AT216" s="257"/>
      <c r="AU216" s="196"/>
      <c r="AV216" s="46"/>
      <c r="AW216" s="257"/>
      <c r="AX216" s="196"/>
      <c r="AY216" s="46"/>
      <c r="AZ216" s="257"/>
      <c r="BA216" s="46"/>
      <c r="BB216" s="46"/>
      <c r="BC216" s="46"/>
      <c r="BD216" s="46"/>
      <c r="BE216" s="46"/>
      <c r="BF216" s="257"/>
      <c r="BG216" s="46"/>
      <c r="BH216" s="46"/>
      <c r="BI216" s="46"/>
      <c r="BJ216" s="196"/>
      <c r="BK216" s="46"/>
      <c r="BL216" s="46"/>
      <c r="BM216" s="46"/>
      <c r="BN216" s="46"/>
      <c r="BO216" s="257"/>
      <c r="BP216" s="196"/>
      <c r="BQ216" s="46"/>
      <c r="BR216" s="257"/>
      <c r="BS216" s="46"/>
      <c r="BT216" s="46"/>
      <c r="BU216" s="257"/>
      <c r="BV216" s="196"/>
      <c r="BW216" s="46"/>
      <c r="BX216" s="46"/>
      <c r="BY216" s="46"/>
      <c r="BZ216" s="46"/>
      <c r="CA216" s="257"/>
      <c r="CB216" s="196"/>
      <c r="CC216" s="46"/>
      <c r="CD216" s="257"/>
      <c r="CE216" s="46"/>
      <c r="CF216" s="46"/>
      <c r="CG216" s="257"/>
      <c r="CH216" s="46"/>
      <c r="CI216" s="46"/>
      <c r="CJ216" s="46"/>
      <c r="CK216" s="46"/>
      <c r="CL216" s="46"/>
      <c r="CM216" s="257"/>
      <c r="CN216" s="46"/>
      <c r="CO216" s="376"/>
      <c r="CP216" s="257"/>
      <c r="CQ216" s="196"/>
      <c r="CR216" s="190"/>
      <c r="CS216" s="257">
        <f t="shared" si="16"/>
        <v>0</v>
      </c>
      <c r="CT216" s="218"/>
      <c r="CU216" s="317"/>
      <c r="CV216" s="391">
        <f t="shared" si="17"/>
        <v>0</v>
      </c>
      <c r="CW216" s="41"/>
      <c r="CX216" s="41"/>
      <c r="CY216" s="256"/>
      <c r="CZ216" s="308"/>
      <c r="DA216" s="308"/>
      <c r="DB216" s="420"/>
      <c r="DC216" s="41"/>
      <c r="DD216" s="41"/>
      <c r="DE216" s="256"/>
      <c r="DF216" s="41"/>
      <c r="DG216" s="41"/>
      <c r="DH216" s="391"/>
      <c r="DI216" s="41"/>
      <c r="DJ216" s="41"/>
      <c r="DK216" s="203"/>
      <c r="DL216" s="256"/>
      <c r="DM216" s="41"/>
      <c r="DN216" s="41"/>
      <c r="DO216" s="41"/>
      <c r="DP216" s="420"/>
      <c r="DQ216" s="41"/>
      <c r="DR216" s="41"/>
      <c r="DS216" s="203"/>
      <c r="DT216" s="256"/>
      <c r="DU216" s="46"/>
      <c r="DV216" s="46"/>
      <c r="DW216" s="196"/>
      <c r="DX216" s="391"/>
      <c r="DY216" s="41"/>
      <c r="DZ216" s="41"/>
      <c r="EA216" s="41"/>
      <c r="EB216" s="69"/>
      <c r="EC216" s="41"/>
      <c r="ED216" s="41"/>
      <c r="EE216" s="41"/>
      <c r="EF216" s="420"/>
      <c r="EG216" s="41"/>
      <c r="EH216" s="41"/>
      <c r="EI216" s="41"/>
      <c r="EJ216" s="256"/>
      <c r="EK216" s="41"/>
      <c r="EL216" s="41"/>
      <c r="EM216" s="41"/>
      <c r="EN216" s="391"/>
    </row>
    <row r="217" spans="1:144" ht="25.5">
      <c r="A217" s="45">
        <v>210</v>
      </c>
      <c r="B217" s="53" t="s">
        <v>301</v>
      </c>
      <c r="C217" s="45">
        <v>3</v>
      </c>
      <c r="D217" s="55" t="s">
        <v>538</v>
      </c>
      <c r="E217" s="54">
        <v>19</v>
      </c>
      <c r="F217" s="56">
        <v>6</v>
      </c>
      <c r="G217" s="397">
        <f>66084.3936/1000</f>
        <v>66.084393599999999</v>
      </c>
      <c r="H217" s="59">
        <v>18690.170399999999</v>
      </c>
      <c r="I217" s="59">
        <v>47394.223200000008</v>
      </c>
      <c r="J217" s="398">
        <v>22.492491200000003</v>
      </c>
      <c r="K217" s="414">
        <f t="shared" si="18"/>
        <v>88.576884800000002</v>
      </c>
      <c r="L217" s="397"/>
      <c r="M217" s="397"/>
      <c r="N217" s="397">
        <f t="shared" si="15"/>
        <v>88.576884800000002</v>
      </c>
      <c r="O217" s="399">
        <f t="shared" si="19"/>
        <v>78</v>
      </c>
      <c r="P217" s="369" t="s">
        <v>1012</v>
      </c>
      <c r="Q217" s="46"/>
      <c r="R217" s="218"/>
      <c r="S217" s="257"/>
      <c r="T217" s="196"/>
      <c r="U217" s="46"/>
      <c r="V217" s="46"/>
      <c r="W217" s="257"/>
      <c r="X217" s="46"/>
      <c r="Y217" s="46"/>
      <c r="Z217" s="46"/>
      <c r="AA217" s="257"/>
      <c r="AB217" s="196"/>
      <c r="AC217" s="46"/>
      <c r="AD217" s="167"/>
      <c r="AE217" s="257"/>
      <c r="AF217" s="196" t="s">
        <v>227</v>
      </c>
      <c r="AG217" s="46" t="s">
        <v>335</v>
      </c>
      <c r="AH217" s="46">
        <v>60</v>
      </c>
      <c r="AI217" s="196" t="s">
        <v>552</v>
      </c>
      <c r="AJ217" s="400">
        <f>AH217*1300</f>
        <v>78000</v>
      </c>
      <c r="AK217" s="196"/>
      <c r="AL217" s="46"/>
      <c r="AM217" s="218"/>
      <c r="AN217" s="257"/>
      <c r="AO217" s="196"/>
      <c r="AP217" s="46"/>
      <c r="AQ217" s="257"/>
      <c r="AR217" s="196"/>
      <c r="AS217" s="46"/>
      <c r="AT217" s="257"/>
      <c r="AU217" s="196"/>
      <c r="AV217" s="46"/>
      <c r="AW217" s="257"/>
      <c r="AX217" s="196"/>
      <c r="AY217" s="46"/>
      <c r="AZ217" s="257"/>
      <c r="BA217" s="46"/>
      <c r="BB217" s="46"/>
      <c r="BC217" s="46"/>
      <c r="BD217" s="46"/>
      <c r="BE217" s="46"/>
      <c r="BF217" s="257"/>
      <c r="BG217" s="46"/>
      <c r="BH217" s="46"/>
      <c r="BI217" s="46"/>
      <c r="BJ217" s="196"/>
      <c r="BK217" s="46"/>
      <c r="BL217" s="46"/>
      <c r="BM217" s="46"/>
      <c r="BN217" s="46"/>
      <c r="BO217" s="257"/>
      <c r="BP217" s="196"/>
      <c r="BQ217" s="46"/>
      <c r="BR217" s="257"/>
      <c r="BS217" s="46"/>
      <c r="BT217" s="46"/>
      <c r="BU217" s="257"/>
      <c r="BV217" s="196"/>
      <c r="BW217" s="46"/>
      <c r="BX217" s="46"/>
      <c r="BY217" s="46"/>
      <c r="BZ217" s="46"/>
      <c r="CA217" s="257"/>
      <c r="CB217" s="196"/>
      <c r="CC217" s="46"/>
      <c r="CD217" s="257"/>
      <c r="CE217" s="46"/>
      <c r="CF217" s="46"/>
      <c r="CG217" s="257"/>
      <c r="CH217" s="46"/>
      <c r="CI217" s="46"/>
      <c r="CJ217" s="46"/>
      <c r="CK217" s="46"/>
      <c r="CL217" s="46"/>
      <c r="CM217" s="257"/>
      <c r="CN217" s="46"/>
      <c r="CO217" s="376"/>
      <c r="CP217" s="257"/>
      <c r="CQ217" s="196"/>
      <c r="CR217" s="190"/>
      <c r="CS217" s="257">
        <f t="shared" si="16"/>
        <v>0</v>
      </c>
      <c r="CT217" s="218"/>
      <c r="CU217" s="317"/>
      <c r="CV217" s="391">
        <f t="shared" si="17"/>
        <v>0</v>
      </c>
      <c r="CW217" s="41"/>
      <c r="CX217" s="41"/>
      <c r="CY217" s="256"/>
      <c r="CZ217" s="308"/>
      <c r="DA217" s="308"/>
      <c r="DB217" s="420"/>
      <c r="DC217" s="41"/>
      <c r="DD217" s="41"/>
      <c r="DE217" s="256"/>
      <c r="DF217" s="41"/>
      <c r="DG217" s="41"/>
      <c r="DH217" s="391"/>
      <c r="DI217" s="41"/>
      <c r="DJ217" s="41"/>
      <c r="DK217" s="203"/>
      <c r="DL217" s="256"/>
      <c r="DM217" s="41"/>
      <c r="DN217" s="41"/>
      <c r="DO217" s="41"/>
      <c r="DP217" s="420"/>
      <c r="DQ217" s="41"/>
      <c r="DR217" s="41"/>
      <c r="DS217" s="203"/>
      <c r="DT217" s="256"/>
      <c r="DU217" s="46"/>
      <c r="DV217" s="46"/>
      <c r="DW217" s="196"/>
      <c r="DX217" s="391"/>
      <c r="DY217" s="41"/>
      <c r="DZ217" s="41"/>
      <c r="EA217" s="41"/>
      <c r="EB217" s="69"/>
      <c r="EC217" s="41"/>
      <c r="ED217" s="41"/>
      <c r="EE217" s="41"/>
      <c r="EF217" s="420"/>
      <c r="EG217" s="41"/>
      <c r="EH217" s="41"/>
      <c r="EI217" s="41"/>
      <c r="EJ217" s="256"/>
      <c r="EK217" s="41"/>
      <c r="EL217" s="41"/>
      <c r="EM217" s="41"/>
      <c r="EN217" s="391"/>
    </row>
    <row r="218" spans="1:144" ht="25.5">
      <c r="A218" s="45">
        <v>211</v>
      </c>
      <c r="B218" s="53" t="s">
        <v>301</v>
      </c>
      <c r="C218" s="45">
        <v>3</v>
      </c>
      <c r="D218" s="55" t="s">
        <v>538</v>
      </c>
      <c r="E218" s="54" t="s">
        <v>286</v>
      </c>
      <c r="F218" s="56">
        <v>7</v>
      </c>
      <c r="G218" s="397">
        <f>80947.0116/1000</f>
        <v>80.947011599999996</v>
      </c>
      <c r="H218" s="59">
        <v>0</v>
      </c>
      <c r="I218" s="59">
        <v>80947.011599999998</v>
      </c>
      <c r="J218" s="398">
        <v>244.22504399999997</v>
      </c>
      <c r="K218" s="414">
        <f t="shared" si="18"/>
        <v>325.17205559999996</v>
      </c>
      <c r="L218" s="397"/>
      <c r="M218" s="397"/>
      <c r="N218" s="397">
        <f t="shared" si="15"/>
        <v>325.17205559999996</v>
      </c>
      <c r="O218" s="399">
        <f t="shared" si="19"/>
        <v>295</v>
      </c>
      <c r="P218" s="369" t="s">
        <v>1012</v>
      </c>
      <c r="Q218" s="46"/>
      <c r="R218" s="218"/>
      <c r="S218" s="257"/>
      <c r="T218" s="196"/>
      <c r="U218" s="46"/>
      <c r="V218" s="46"/>
      <c r="W218" s="257"/>
      <c r="X218" s="46"/>
      <c r="Y218" s="46"/>
      <c r="Z218" s="46"/>
      <c r="AA218" s="257"/>
      <c r="AB218" s="196"/>
      <c r="AC218" s="46"/>
      <c r="AD218" s="167"/>
      <c r="AE218" s="257"/>
      <c r="AF218" s="196"/>
      <c r="AG218" s="46"/>
      <c r="AH218" s="46"/>
      <c r="AI218" s="196"/>
      <c r="AJ218" s="400"/>
      <c r="AK218" s="196"/>
      <c r="AL218" s="46"/>
      <c r="AM218" s="218"/>
      <c r="AN218" s="257"/>
      <c r="AO218" s="196"/>
      <c r="AP218" s="46"/>
      <c r="AQ218" s="257"/>
      <c r="AR218" s="196"/>
      <c r="AS218" s="46"/>
      <c r="AT218" s="257"/>
      <c r="AU218" s="196"/>
      <c r="AV218" s="46"/>
      <c r="AW218" s="257"/>
      <c r="AX218" s="196"/>
      <c r="AY218" s="46"/>
      <c r="AZ218" s="257"/>
      <c r="BA218" s="46"/>
      <c r="BB218" s="46"/>
      <c r="BC218" s="46"/>
      <c r="BD218" s="46"/>
      <c r="BE218" s="46"/>
      <c r="BF218" s="257"/>
      <c r="BG218" s="46"/>
      <c r="BH218" s="46"/>
      <c r="BI218" s="46"/>
      <c r="BJ218" s="196"/>
      <c r="BK218" s="46"/>
      <c r="BL218" s="46"/>
      <c r="BM218" s="46"/>
      <c r="BN218" s="46"/>
      <c r="BO218" s="257"/>
      <c r="BP218" s="196"/>
      <c r="BQ218" s="46"/>
      <c r="BR218" s="257"/>
      <c r="BS218" s="46"/>
      <c r="BT218" s="46"/>
      <c r="BU218" s="257"/>
      <c r="BV218" s="196"/>
      <c r="BW218" s="46"/>
      <c r="BX218" s="46"/>
      <c r="BY218" s="46"/>
      <c r="BZ218" s="46"/>
      <c r="CA218" s="257"/>
      <c r="CB218" s="196"/>
      <c r="CC218" s="46"/>
      <c r="CD218" s="257"/>
      <c r="CE218" s="46"/>
      <c r="CF218" s="46"/>
      <c r="CG218" s="257"/>
      <c r="CH218" s="46"/>
      <c r="CI218" s="46"/>
      <c r="CJ218" s="46"/>
      <c r="CK218" s="46"/>
      <c r="CL218" s="46"/>
      <c r="CM218" s="257"/>
      <c r="CN218" s="46"/>
      <c r="CO218" s="376"/>
      <c r="CP218" s="257"/>
      <c r="CQ218" s="196" t="s">
        <v>227</v>
      </c>
      <c r="CR218" s="190" t="s">
        <v>732</v>
      </c>
      <c r="CS218" s="257">
        <f>CY218+DE218+DL218+DT218+EB218+EJ218+3*15000</f>
        <v>295000</v>
      </c>
      <c r="CT218" s="196"/>
      <c r="CU218" s="317"/>
      <c r="CV218" s="391">
        <f t="shared" si="17"/>
        <v>0</v>
      </c>
      <c r="CW218" s="41">
        <v>7</v>
      </c>
      <c r="CX218" s="41">
        <v>10</v>
      </c>
      <c r="CY218" s="256">
        <f>CX218*25000</f>
        <v>250000</v>
      </c>
      <c r="CZ218" s="308"/>
      <c r="DA218" s="308"/>
      <c r="DB218" s="420"/>
      <c r="DC218" s="41"/>
      <c r="DD218" s="41"/>
      <c r="DE218" s="256"/>
      <c r="DF218" s="41"/>
      <c r="DG218" s="41"/>
      <c r="DH218" s="391"/>
      <c r="DI218" s="41"/>
      <c r="DJ218" s="41"/>
      <c r="DK218" s="203"/>
      <c r="DL218" s="256"/>
      <c r="DM218" s="41"/>
      <c r="DN218" s="41"/>
      <c r="DO218" s="41"/>
      <c r="DP218" s="420"/>
      <c r="DQ218" s="41"/>
      <c r="DR218" s="41"/>
      <c r="DS218" s="203"/>
      <c r="DT218" s="256"/>
      <c r="DU218" s="46"/>
      <c r="DV218" s="46"/>
      <c r="DW218" s="196"/>
      <c r="DX218" s="391"/>
      <c r="DY218" s="41"/>
      <c r="DZ218" s="41"/>
      <c r="EA218" s="41"/>
      <c r="EB218" s="69"/>
      <c r="EC218" s="41"/>
      <c r="ED218" s="41"/>
      <c r="EE218" s="41"/>
      <c r="EF218" s="420"/>
      <c r="EG218" s="41"/>
      <c r="EH218" s="41"/>
      <c r="EI218" s="41"/>
      <c r="EJ218" s="256"/>
      <c r="EK218" s="41"/>
      <c r="EL218" s="41"/>
      <c r="EM218" s="41"/>
      <c r="EN218" s="391"/>
    </row>
    <row r="219" spans="1:144" ht="25.5">
      <c r="A219" s="45">
        <v>212</v>
      </c>
      <c r="B219" s="53" t="s">
        <v>301</v>
      </c>
      <c r="C219" s="45">
        <v>3</v>
      </c>
      <c r="D219" s="55" t="s">
        <v>287</v>
      </c>
      <c r="E219" s="54" t="s">
        <v>288</v>
      </c>
      <c r="F219" s="56">
        <v>5</v>
      </c>
      <c r="G219" s="397">
        <f>266685.804/1000</f>
        <v>266.68580400000002</v>
      </c>
      <c r="H219" s="59">
        <v>266685.804</v>
      </c>
      <c r="I219" s="59">
        <v>0</v>
      </c>
      <c r="J219" s="398">
        <v>732.51729999999998</v>
      </c>
      <c r="K219" s="414">
        <f t="shared" si="18"/>
        <v>999.20310399999994</v>
      </c>
      <c r="L219" s="397"/>
      <c r="M219" s="397"/>
      <c r="N219" s="397">
        <f t="shared" si="15"/>
        <v>999.20310399999994</v>
      </c>
      <c r="O219" s="399">
        <f t="shared" si="19"/>
        <v>408.8</v>
      </c>
      <c r="P219" s="369"/>
      <c r="Q219" s="46"/>
      <c r="R219" s="218"/>
      <c r="S219" s="257"/>
      <c r="T219" s="196"/>
      <c r="U219" s="46"/>
      <c r="V219" s="46"/>
      <c r="W219" s="257"/>
      <c r="X219" s="46"/>
      <c r="Y219" s="46"/>
      <c r="Z219" s="46"/>
      <c r="AA219" s="257"/>
      <c r="AB219" s="196"/>
      <c r="AC219" s="46"/>
      <c r="AD219" s="167"/>
      <c r="AE219" s="257"/>
      <c r="AF219" s="196"/>
      <c r="AG219" s="46"/>
      <c r="AH219" s="46"/>
      <c r="AI219" s="196"/>
      <c r="AJ219" s="400"/>
      <c r="AK219" s="196"/>
      <c r="AL219" s="46"/>
      <c r="AM219" s="218"/>
      <c r="AN219" s="257"/>
      <c r="AO219" s="196"/>
      <c r="AP219" s="46"/>
      <c r="AQ219" s="257"/>
      <c r="AR219" s="196"/>
      <c r="AS219" s="46"/>
      <c r="AT219" s="257"/>
      <c r="AU219" s="196"/>
      <c r="AV219" s="46"/>
      <c r="AW219" s="257"/>
      <c r="AX219" s="196"/>
      <c r="AY219" s="46"/>
      <c r="AZ219" s="257"/>
      <c r="BA219" s="46"/>
      <c r="BB219" s="46"/>
      <c r="BC219" s="46"/>
      <c r="BD219" s="46"/>
      <c r="BE219" s="46"/>
      <c r="BF219" s="257"/>
      <c r="BG219" s="46"/>
      <c r="BH219" s="46"/>
      <c r="BI219" s="46"/>
      <c r="BJ219" s="196"/>
      <c r="BK219" s="46"/>
      <c r="BL219" s="46"/>
      <c r="BM219" s="46"/>
      <c r="BN219" s="46"/>
      <c r="BO219" s="257"/>
      <c r="BP219" s="196"/>
      <c r="BQ219" s="191"/>
      <c r="BR219" s="257"/>
      <c r="BS219" s="46"/>
      <c r="BT219" s="46"/>
      <c r="BU219" s="257"/>
      <c r="BV219" s="196"/>
      <c r="BW219" s="46"/>
      <c r="BX219" s="46"/>
      <c r="BY219" s="46"/>
      <c r="BZ219" s="46"/>
      <c r="CA219" s="257"/>
      <c r="CB219" s="196" t="s">
        <v>228</v>
      </c>
      <c r="CC219" s="46">
        <v>191</v>
      </c>
      <c r="CD219" s="257">
        <f>CC219*1800</f>
        <v>343800</v>
      </c>
      <c r="CE219" s="46"/>
      <c r="CF219" s="46"/>
      <c r="CG219" s="257"/>
      <c r="CH219" s="46"/>
      <c r="CI219" s="46"/>
      <c r="CJ219" s="46"/>
      <c r="CK219" s="46"/>
      <c r="CL219" s="46"/>
      <c r="CM219" s="257"/>
      <c r="CN219" s="46"/>
      <c r="CO219" s="376"/>
      <c r="CP219" s="257"/>
      <c r="CQ219" s="196" t="s">
        <v>600</v>
      </c>
      <c r="CR219" s="286" t="s">
        <v>733</v>
      </c>
      <c r="CS219" s="257">
        <f t="shared" si="16"/>
        <v>65000</v>
      </c>
      <c r="CT219" s="196"/>
      <c r="CU219" s="317"/>
      <c r="CV219" s="391">
        <f t="shared" si="17"/>
        <v>0</v>
      </c>
      <c r="CW219" s="41"/>
      <c r="CX219" s="41"/>
      <c r="CY219" s="256"/>
      <c r="CZ219" s="308"/>
      <c r="DA219" s="308"/>
      <c r="DB219" s="420"/>
      <c r="DC219" s="41"/>
      <c r="DD219" s="41"/>
      <c r="DE219" s="256"/>
      <c r="DF219" s="41"/>
      <c r="DG219" s="41"/>
      <c r="DH219" s="391"/>
      <c r="DI219" s="41"/>
      <c r="DJ219" s="41"/>
      <c r="DK219" s="203"/>
      <c r="DL219" s="256"/>
      <c r="DM219" s="41"/>
      <c r="DN219" s="41"/>
      <c r="DO219" s="41"/>
      <c r="DP219" s="420"/>
      <c r="DQ219" s="41">
        <v>9</v>
      </c>
      <c r="DR219" s="41">
        <v>1</v>
      </c>
      <c r="DS219" s="203" t="s">
        <v>225</v>
      </c>
      <c r="DT219" s="256">
        <v>15000</v>
      </c>
      <c r="DU219" s="46"/>
      <c r="DV219" s="46"/>
      <c r="DW219" s="196"/>
      <c r="DX219" s="391"/>
      <c r="DY219" s="41">
        <v>8</v>
      </c>
      <c r="DZ219" s="41">
        <v>2</v>
      </c>
      <c r="EA219" s="41">
        <v>34.380000000000003</v>
      </c>
      <c r="EB219" s="69">
        <f>2*25000</f>
        <v>50000</v>
      </c>
      <c r="EC219" s="41"/>
      <c r="ED219" s="41"/>
      <c r="EE219" s="41"/>
      <c r="EF219" s="420"/>
      <c r="EG219" s="41"/>
      <c r="EH219" s="41"/>
      <c r="EI219" s="41"/>
      <c r="EJ219" s="256"/>
      <c r="EK219" s="41"/>
      <c r="EL219" s="41"/>
      <c r="EM219" s="41"/>
      <c r="EN219" s="391"/>
    </row>
    <row r="220" spans="1:144" ht="25.5">
      <c r="A220" s="45">
        <v>213</v>
      </c>
      <c r="B220" s="53" t="s">
        <v>301</v>
      </c>
      <c r="C220" s="45">
        <v>3</v>
      </c>
      <c r="D220" s="55" t="s">
        <v>287</v>
      </c>
      <c r="E220" s="54">
        <v>2</v>
      </c>
      <c r="F220" s="56">
        <v>7</v>
      </c>
      <c r="G220" s="397">
        <f>84500.64/1000</f>
        <v>84.500640000000004</v>
      </c>
      <c r="H220" s="59">
        <v>0</v>
      </c>
      <c r="I220" s="59">
        <v>84500.64</v>
      </c>
      <c r="J220" s="398">
        <v>15.987000000000016</v>
      </c>
      <c r="K220" s="414">
        <f t="shared" si="18"/>
        <v>100.48764000000003</v>
      </c>
      <c r="L220" s="397"/>
      <c r="M220" s="397"/>
      <c r="N220" s="397">
        <f t="shared" si="15"/>
        <v>100.48764000000003</v>
      </c>
      <c r="O220" s="399">
        <f t="shared" si="19"/>
        <v>92</v>
      </c>
      <c r="P220" s="369"/>
      <c r="Q220" s="46"/>
      <c r="R220" s="218"/>
      <c r="S220" s="257"/>
      <c r="T220" s="196"/>
      <c r="U220" s="46"/>
      <c r="V220" s="46"/>
      <c r="W220" s="257"/>
      <c r="X220" s="46"/>
      <c r="Y220" s="46"/>
      <c r="Z220" s="46"/>
      <c r="AA220" s="257"/>
      <c r="AB220" s="196"/>
      <c r="AC220" s="46"/>
      <c r="AD220" s="167"/>
      <c r="AE220" s="257"/>
      <c r="AF220" s="196" t="s">
        <v>228</v>
      </c>
      <c r="AG220" s="46" t="s">
        <v>335</v>
      </c>
      <c r="AH220" s="46">
        <v>40</v>
      </c>
      <c r="AI220" s="196" t="s">
        <v>254</v>
      </c>
      <c r="AJ220" s="535">
        <f>AH220*1300</f>
        <v>52000</v>
      </c>
      <c r="AK220" s="196"/>
      <c r="AL220" s="46"/>
      <c r="AM220" s="218"/>
      <c r="AN220" s="257"/>
      <c r="AO220" s="196"/>
      <c r="AP220" s="46"/>
      <c r="AQ220" s="257"/>
      <c r="AR220" s="196"/>
      <c r="AS220" s="46"/>
      <c r="AT220" s="257"/>
      <c r="AU220" s="196"/>
      <c r="AV220" s="46"/>
      <c r="AW220" s="257"/>
      <c r="AX220" s="196"/>
      <c r="AY220" s="46"/>
      <c r="AZ220" s="257"/>
      <c r="BA220" s="46"/>
      <c r="BB220" s="46"/>
      <c r="BC220" s="46"/>
      <c r="BD220" s="46"/>
      <c r="BE220" s="46"/>
      <c r="BF220" s="257"/>
      <c r="BG220" s="46"/>
      <c r="BH220" s="46"/>
      <c r="BI220" s="46"/>
      <c r="BJ220" s="196"/>
      <c r="BK220" s="46"/>
      <c r="BL220" s="46"/>
      <c r="BM220" s="46"/>
      <c r="BN220" s="46"/>
      <c r="BO220" s="257"/>
      <c r="BP220" s="196"/>
      <c r="BQ220" s="46"/>
      <c r="BR220" s="257"/>
      <c r="BS220" s="46"/>
      <c r="BT220" s="46"/>
      <c r="BU220" s="257"/>
      <c r="BV220" s="196"/>
      <c r="BW220" s="46"/>
      <c r="BX220" s="46"/>
      <c r="BY220" s="46"/>
      <c r="BZ220" s="46"/>
      <c r="CA220" s="257"/>
      <c r="CB220" s="196"/>
      <c r="CC220" s="46"/>
      <c r="CD220" s="257"/>
      <c r="CE220" s="46"/>
      <c r="CF220" s="46"/>
      <c r="CG220" s="257"/>
      <c r="CH220" s="46"/>
      <c r="CI220" s="46"/>
      <c r="CJ220" s="46"/>
      <c r="CK220" s="46"/>
      <c r="CL220" s="46"/>
      <c r="CM220" s="257"/>
      <c r="CN220" s="46"/>
      <c r="CO220" s="376"/>
      <c r="CP220" s="257"/>
      <c r="CQ220" s="196" t="s">
        <v>228</v>
      </c>
      <c r="CR220" s="190" t="s">
        <v>956</v>
      </c>
      <c r="CS220" s="257">
        <f t="shared" si="16"/>
        <v>40000</v>
      </c>
      <c r="CT220" s="196"/>
      <c r="CU220" s="317"/>
      <c r="CV220" s="391">
        <f t="shared" si="17"/>
        <v>0</v>
      </c>
      <c r="CW220" s="41"/>
      <c r="CX220" s="41"/>
      <c r="CY220" s="256"/>
      <c r="CZ220" s="308"/>
      <c r="DA220" s="308"/>
      <c r="DB220" s="420"/>
      <c r="DC220" s="41">
        <v>9</v>
      </c>
      <c r="DD220" s="41">
        <v>40</v>
      </c>
      <c r="DE220" s="256">
        <f>DD220*1000</f>
        <v>40000</v>
      </c>
      <c r="DF220" s="41"/>
      <c r="DG220" s="41"/>
      <c r="DH220" s="391"/>
      <c r="DI220" s="41"/>
      <c r="DJ220" s="41"/>
      <c r="DK220" s="203"/>
      <c r="DL220" s="256"/>
      <c r="DM220" s="41"/>
      <c r="DN220" s="41"/>
      <c r="DO220" s="41"/>
      <c r="DP220" s="420"/>
      <c r="DQ220" s="41"/>
      <c r="DR220" s="41"/>
      <c r="DS220" s="203"/>
      <c r="DT220" s="256"/>
      <c r="DU220" s="46"/>
      <c r="DV220" s="46"/>
      <c r="DW220" s="196"/>
      <c r="DX220" s="391"/>
      <c r="DY220" s="41"/>
      <c r="DZ220" s="41"/>
      <c r="EA220" s="41"/>
      <c r="EB220" s="69"/>
      <c r="EC220" s="41"/>
      <c r="ED220" s="41"/>
      <c r="EE220" s="41"/>
      <c r="EF220" s="420"/>
      <c r="EG220" s="41"/>
      <c r="EH220" s="41"/>
      <c r="EI220" s="41"/>
      <c r="EJ220" s="256"/>
      <c r="EK220" s="41"/>
      <c r="EL220" s="41"/>
      <c r="EM220" s="41"/>
      <c r="EN220" s="391"/>
    </row>
    <row r="221" spans="1:144" ht="25.5">
      <c r="A221" s="45">
        <v>214</v>
      </c>
      <c r="B221" s="53" t="s">
        <v>301</v>
      </c>
      <c r="C221" s="45">
        <v>3</v>
      </c>
      <c r="D221" s="53" t="s">
        <v>539</v>
      </c>
      <c r="E221" s="54">
        <v>4</v>
      </c>
      <c r="F221" s="56">
        <v>7</v>
      </c>
      <c r="G221" s="397">
        <f>57634.038/1000</f>
        <v>57.634038000000004</v>
      </c>
      <c r="H221" s="59">
        <v>0</v>
      </c>
      <c r="I221" s="59">
        <v>57634.037999999993</v>
      </c>
      <c r="J221" s="398">
        <v>238.07245999999995</v>
      </c>
      <c r="K221" s="414">
        <f t="shared" si="18"/>
        <v>295.70649799999995</v>
      </c>
      <c r="L221" s="397"/>
      <c r="M221" s="397"/>
      <c r="N221" s="397">
        <f t="shared" si="15"/>
        <v>295.70649799999995</v>
      </c>
      <c r="O221" s="399">
        <f t="shared" si="19"/>
        <v>278</v>
      </c>
      <c r="P221" s="369" t="s">
        <v>1012</v>
      </c>
      <c r="Q221" s="46"/>
      <c r="R221" s="218"/>
      <c r="S221" s="257"/>
      <c r="T221" s="196"/>
      <c r="U221" s="46"/>
      <c r="V221" s="46"/>
      <c r="W221" s="257"/>
      <c r="X221" s="46"/>
      <c r="Y221" s="46"/>
      <c r="Z221" s="46"/>
      <c r="AA221" s="257"/>
      <c r="AB221" s="196"/>
      <c r="AC221" s="46"/>
      <c r="AD221" s="167"/>
      <c r="AE221" s="257"/>
      <c r="AF221" s="196" t="s">
        <v>227</v>
      </c>
      <c r="AG221" s="46" t="s">
        <v>573</v>
      </c>
      <c r="AH221" s="46">
        <v>60</v>
      </c>
      <c r="AI221" s="196" t="s">
        <v>552</v>
      </c>
      <c r="AJ221" s="535">
        <f>AH221*1300</f>
        <v>78000</v>
      </c>
      <c r="AK221" s="196"/>
      <c r="AL221" s="46"/>
      <c r="AM221" s="218"/>
      <c r="AN221" s="257"/>
      <c r="AO221" s="196"/>
      <c r="AP221" s="46"/>
      <c r="AQ221" s="257"/>
      <c r="AR221" s="196"/>
      <c r="AS221" s="46"/>
      <c r="AT221" s="257"/>
      <c r="AU221" s="196"/>
      <c r="AV221" s="46"/>
      <c r="AW221" s="257"/>
      <c r="AX221" s="196"/>
      <c r="AY221" s="46"/>
      <c r="AZ221" s="257"/>
      <c r="BA221" s="46"/>
      <c r="BB221" s="46"/>
      <c r="BC221" s="46"/>
      <c r="BD221" s="46"/>
      <c r="BE221" s="46"/>
      <c r="BF221" s="257"/>
      <c r="BG221" s="46"/>
      <c r="BH221" s="46"/>
      <c r="BI221" s="46"/>
      <c r="BJ221" s="196"/>
      <c r="BK221" s="46"/>
      <c r="BL221" s="46"/>
      <c r="BM221" s="46"/>
      <c r="BN221" s="46"/>
      <c r="BO221" s="257"/>
      <c r="BP221" s="196"/>
      <c r="BQ221" s="46"/>
      <c r="BR221" s="257"/>
      <c r="BS221" s="46"/>
      <c r="BT221" s="46"/>
      <c r="BU221" s="257"/>
      <c r="BV221" s="196"/>
      <c r="BW221" s="46"/>
      <c r="BX221" s="46"/>
      <c r="BY221" s="46"/>
      <c r="BZ221" s="46"/>
      <c r="CA221" s="257"/>
      <c r="CB221" s="196"/>
      <c r="CC221" s="46"/>
      <c r="CD221" s="257"/>
      <c r="CE221" s="46"/>
      <c r="CF221" s="46"/>
      <c r="CG221" s="257"/>
      <c r="CH221" s="46"/>
      <c r="CI221" s="46"/>
      <c r="CJ221" s="46"/>
      <c r="CK221" s="46"/>
      <c r="CL221" s="46"/>
      <c r="CM221" s="257"/>
      <c r="CN221" s="46"/>
      <c r="CO221" s="376"/>
      <c r="CP221" s="257"/>
      <c r="CQ221" s="196" t="s">
        <v>248</v>
      </c>
      <c r="CR221" s="190" t="s">
        <v>734</v>
      </c>
      <c r="CS221" s="257">
        <f t="shared" si="16"/>
        <v>200000</v>
      </c>
      <c r="CT221" s="196"/>
      <c r="CU221" s="317"/>
      <c r="CV221" s="391">
        <f t="shared" si="17"/>
        <v>0</v>
      </c>
      <c r="CW221" s="41">
        <v>8</v>
      </c>
      <c r="CX221" s="41">
        <v>8</v>
      </c>
      <c r="CY221" s="256">
        <f>CX221*25000</f>
        <v>200000</v>
      </c>
      <c r="CZ221" s="308"/>
      <c r="DA221" s="308"/>
      <c r="DB221" s="420"/>
      <c r="DC221" s="41"/>
      <c r="DD221" s="41"/>
      <c r="DE221" s="256"/>
      <c r="DF221" s="41"/>
      <c r="DG221" s="41"/>
      <c r="DH221" s="391"/>
      <c r="DI221" s="41"/>
      <c r="DJ221" s="41"/>
      <c r="DK221" s="203"/>
      <c r="DL221" s="256"/>
      <c r="DM221" s="41"/>
      <c r="DN221" s="41"/>
      <c r="DO221" s="41"/>
      <c r="DP221" s="420"/>
      <c r="DQ221" s="41"/>
      <c r="DR221" s="41"/>
      <c r="DS221" s="203"/>
      <c r="DT221" s="256"/>
      <c r="DU221" s="46"/>
      <c r="DV221" s="46"/>
      <c r="DW221" s="196"/>
      <c r="DX221" s="391"/>
      <c r="DY221" s="41"/>
      <c r="DZ221" s="41"/>
      <c r="EA221" s="41"/>
      <c r="EB221" s="69"/>
      <c r="EC221" s="41"/>
      <c r="ED221" s="41"/>
      <c r="EE221" s="41"/>
      <c r="EF221" s="420"/>
      <c r="EG221" s="41"/>
      <c r="EH221" s="41"/>
      <c r="EI221" s="41"/>
      <c r="EJ221" s="256"/>
      <c r="EK221" s="41"/>
      <c r="EL221" s="41"/>
      <c r="EM221" s="41"/>
      <c r="EN221" s="391"/>
    </row>
    <row r="222" spans="1:144" ht="25.5">
      <c r="A222" s="45">
        <v>215</v>
      </c>
      <c r="B222" s="53" t="s">
        <v>301</v>
      </c>
      <c r="C222" s="45">
        <v>3</v>
      </c>
      <c r="D222" s="53" t="s">
        <v>539</v>
      </c>
      <c r="E222" s="54">
        <v>6</v>
      </c>
      <c r="F222" s="56">
        <v>7</v>
      </c>
      <c r="G222" s="397">
        <f>64166.1048/1000</f>
        <v>64.166104799999999</v>
      </c>
      <c r="H222" s="59">
        <v>0</v>
      </c>
      <c r="I222" s="59">
        <v>64166.104800000001</v>
      </c>
      <c r="J222" s="398">
        <v>242.11088000000001</v>
      </c>
      <c r="K222" s="414">
        <f t="shared" si="18"/>
        <v>306.27698480000004</v>
      </c>
      <c r="L222" s="397"/>
      <c r="M222" s="397"/>
      <c r="N222" s="397">
        <f t="shared" si="15"/>
        <v>306.27698480000004</v>
      </c>
      <c r="O222" s="399">
        <f t="shared" si="19"/>
        <v>278</v>
      </c>
      <c r="P222" s="369" t="s">
        <v>1012</v>
      </c>
      <c r="Q222" s="46"/>
      <c r="R222" s="218"/>
      <c r="S222" s="257"/>
      <c r="T222" s="196"/>
      <c r="U222" s="46"/>
      <c r="V222" s="46"/>
      <c r="W222" s="257"/>
      <c r="X222" s="46"/>
      <c r="Y222" s="46"/>
      <c r="Z222" s="46"/>
      <c r="AA222" s="257"/>
      <c r="AB222" s="196"/>
      <c r="AC222" s="46"/>
      <c r="AD222" s="167"/>
      <c r="AE222" s="257"/>
      <c r="AF222" s="196" t="s">
        <v>248</v>
      </c>
      <c r="AG222" s="46" t="s">
        <v>335</v>
      </c>
      <c r="AH222" s="46">
        <v>60</v>
      </c>
      <c r="AI222" s="196" t="s">
        <v>552</v>
      </c>
      <c r="AJ222" s="535">
        <v>78000</v>
      </c>
      <c r="AK222" s="196"/>
      <c r="AL222" s="46"/>
      <c r="AM222" s="218"/>
      <c r="AN222" s="257"/>
      <c r="AO222" s="196"/>
      <c r="AP222" s="46"/>
      <c r="AQ222" s="257"/>
      <c r="AR222" s="196"/>
      <c r="AS222" s="46"/>
      <c r="AT222" s="257"/>
      <c r="AU222" s="196"/>
      <c r="AV222" s="46"/>
      <c r="AW222" s="257"/>
      <c r="AX222" s="196"/>
      <c r="AY222" s="46"/>
      <c r="AZ222" s="257"/>
      <c r="BA222" s="46"/>
      <c r="BB222" s="46"/>
      <c r="BC222" s="46"/>
      <c r="BD222" s="46"/>
      <c r="BE222" s="46"/>
      <c r="BF222" s="257"/>
      <c r="BG222" s="46"/>
      <c r="BH222" s="46"/>
      <c r="BI222" s="46"/>
      <c r="BJ222" s="196"/>
      <c r="BK222" s="46"/>
      <c r="BL222" s="46"/>
      <c r="BM222" s="46"/>
      <c r="BN222" s="46"/>
      <c r="BO222" s="257"/>
      <c r="BP222" s="196"/>
      <c r="BQ222" s="46"/>
      <c r="BR222" s="257"/>
      <c r="BS222" s="46"/>
      <c r="BT222" s="46"/>
      <c r="BU222" s="257"/>
      <c r="BV222" s="196"/>
      <c r="BW222" s="46"/>
      <c r="BX222" s="46"/>
      <c r="BY222" s="46"/>
      <c r="BZ222" s="46"/>
      <c r="CA222" s="257"/>
      <c r="CB222" s="196"/>
      <c r="CC222" s="46"/>
      <c r="CD222" s="257"/>
      <c r="CE222" s="46"/>
      <c r="CF222" s="46"/>
      <c r="CG222" s="257"/>
      <c r="CH222" s="46"/>
      <c r="CI222" s="46"/>
      <c r="CJ222" s="46"/>
      <c r="CK222" s="46"/>
      <c r="CL222" s="46"/>
      <c r="CM222" s="257"/>
      <c r="CN222" s="46"/>
      <c r="CO222" s="376"/>
      <c r="CP222" s="257"/>
      <c r="CQ222" s="196" t="s">
        <v>228</v>
      </c>
      <c r="CR222" s="190" t="s">
        <v>735</v>
      </c>
      <c r="CS222" s="257">
        <f t="shared" si="16"/>
        <v>200000</v>
      </c>
      <c r="CT222" s="196"/>
      <c r="CU222" s="317"/>
      <c r="CV222" s="391">
        <f t="shared" si="17"/>
        <v>0</v>
      </c>
      <c r="CW222" s="41">
        <v>9</v>
      </c>
      <c r="CX222" s="41">
        <v>8</v>
      </c>
      <c r="CY222" s="256">
        <f>CX222*25000</f>
        <v>200000</v>
      </c>
      <c r="CZ222" s="308"/>
      <c r="DA222" s="308"/>
      <c r="DB222" s="420"/>
      <c r="DC222" s="41"/>
      <c r="DD222" s="41"/>
      <c r="DE222" s="256"/>
      <c r="DF222" s="41"/>
      <c r="DG222" s="41"/>
      <c r="DH222" s="391"/>
      <c r="DI222" s="41"/>
      <c r="DJ222" s="41"/>
      <c r="DK222" s="203"/>
      <c r="DL222" s="256"/>
      <c r="DM222" s="41"/>
      <c r="DN222" s="41"/>
      <c r="DO222" s="41"/>
      <c r="DP222" s="420"/>
      <c r="DQ222" s="41"/>
      <c r="DR222" s="41"/>
      <c r="DS222" s="203"/>
      <c r="DT222" s="256"/>
      <c r="DU222" s="46"/>
      <c r="DV222" s="46"/>
      <c r="DW222" s="196"/>
      <c r="DX222" s="391"/>
      <c r="DY222" s="41"/>
      <c r="DZ222" s="41"/>
      <c r="EA222" s="41"/>
      <c r="EB222" s="69"/>
      <c r="EC222" s="41"/>
      <c r="ED222" s="41"/>
      <c r="EE222" s="41"/>
      <c r="EF222" s="420"/>
      <c r="EG222" s="41"/>
      <c r="EH222" s="41"/>
      <c r="EI222" s="41"/>
      <c r="EJ222" s="256"/>
      <c r="EK222" s="41"/>
      <c r="EL222" s="41"/>
      <c r="EM222" s="41"/>
      <c r="EN222" s="391"/>
    </row>
    <row r="223" spans="1:144" ht="25.5">
      <c r="A223" s="45">
        <v>216</v>
      </c>
      <c r="B223" s="53" t="s">
        <v>301</v>
      </c>
      <c r="C223" s="45">
        <v>3</v>
      </c>
      <c r="D223" s="53" t="s">
        <v>539</v>
      </c>
      <c r="E223" s="54">
        <v>8</v>
      </c>
      <c r="F223" s="56">
        <v>7</v>
      </c>
      <c r="G223" s="397">
        <f>57173.886/1000</f>
        <v>57.173885999999996</v>
      </c>
      <c r="H223" s="59">
        <v>0</v>
      </c>
      <c r="I223" s="59">
        <v>57173.885999999999</v>
      </c>
      <c r="J223" s="398">
        <v>135.54562000000001</v>
      </c>
      <c r="K223" s="414">
        <f t="shared" si="18"/>
        <v>192.71950600000002</v>
      </c>
      <c r="L223" s="397"/>
      <c r="M223" s="397"/>
      <c r="N223" s="397">
        <f t="shared" si="15"/>
        <v>192.71950600000002</v>
      </c>
      <c r="O223" s="399">
        <f t="shared" si="19"/>
        <v>156</v>
      </c>
      <c r="P223" s="369" t="s">
        <v>1012</v>
      </c>
      <c r="Q223" s="46"/>
      <c r="R223" s="218"/>
      <c r="S223" s="257"/>
      <c r="T223" s="196"/>
      <c r="U223" s="46"/>
      <c r="V223" s="46"/>
      <c r="W223" s="257"/>
      <c r="X223" s="46"/>
      <c r="Y223" s="46"/>
      <c r="Z223" s="46"/>
      <c r="AA223" s="257"/>
      <c r="AB223" s="196"/>
      <c r="AC223" s="46"/>
      <c r="AD223" s="167"/>
      <c r="AE223" s="257"/>
      <c r="AF223" s="196" t="s">
        <v>248</v>
      </c>
      <c r="AG223" s="46" t="s">
        <v>335</v>
      </c>
      <c r="AH223" s="46">
        <v>120</v>
      </c>
      <c r="AI223" s="196" t="s">
        <v>552</v>
      </c>
      <c r="AJ223" s="535">
        <f>AH223*1300</f>
        <v>156000</v>
      </c>
      <c r="AK223" s="196"/>
      <c r="AL223" s="46"/>
      <c r="AM223" s="218"/>
      <c r="AN223" s="257"/>
      <c r="AO223" s="196"/>
      <c r="AP223" s="46"/>
      <c r="AQ223" s="257"/>
      <c r="AR223" s="196"/>
      <c r="AS223" s="46"/>
      <c r="AT223" s="257"/>
      <c r="AU223" s="196"/>
      <c r="AV223" s="46"/>
      <c r="AW223" s="257"/>
      <c r="AX223" s="196"/>
      <c r="AY223" s="46"/>
      <c r="AZ223" s="257"/>
      <c r="BA223" s="46"/>
      <c r="BB223" s="46"/>
      <c r="BC223" s="46"/>
      <c r="BD223" s="46"/>
      <c r="BE223" s="46"/>
      <c r="BF223" s="257"/>
      <c r="BG223" s="46"/>
      <c r="BH223" s="46"/>
      <c r="BI223" s="46"/>
      <c r="BJ223" s="196"/>
      <c r="BK223" s="46"/>
      <c r="BL223" s="46"/>
      <c r="BM223" s="46"/>
      <c r="BN223" s="46"/>
      <c r="BO223" s="257"/>
      <c r="BP223" s="196"/>
      <c r="BQ223" s="46"/>
      <c r="BR223" s="257"/>
      <c r="BS223" s="46"/>
      <c r="BT223" s="46"/>
      <c r="BU223" s="257"/>
      <c r="BV223" s="196"/>
      <c r="BW223" s="46"/>
      <c r="BX223" s="46"/>
      <c r="BY223" s="46"/>
      <c r="BZ223" s="46"/>
      <c r="CA223" s="257"/>
      <c r="CB223" s="196"/>
      <c r="CC223" s="46"/>
      <c r="CD223" s="257"/>
      <c r="CE223" s="46"/>
      <c r="CF223" s="46"/>
      <c r="CG223" s="257"/>
      <c r="CH223" s="46"/>
      <c r="CI223" s="46"/>
      <c r="CJ223" s="46"/>
      <c r="CK223" s="46"/>
      <c r="CL223" s="46"/>
      <c r="CM223" s="257"/>
      <c r="CN223" s="46"/>
      <c r="CO223" s="376"/>
      <c r="CP223" s="257"/>
      <c r="CQ223" s="196"/>
      <c r="CR223" s="190"/>
      <c r="CS223" s="257">
        <f t="shared" si="16"/>
        <v>0</v>
      </c>
      <c r="CT223" s="196"/>
      <c r="CU223" s="317"/>
      <c r="CV223" s="391">
        <f t="shared" si="17"/>
        <v>0</v>
      </c>
      <c r="CW223" s="41"/>
      <c r="CX223" s="41"/>
      <c r="CY223" s="256"/>
      <c r="CZ223" s="308"/>
      <c r="DA223" s="308"/>
      <c r="DB223" s="420"/>
      <c r="DC223" s="41"/>
      <c r="DD223" s="41"/>
      <c r="DE223" s="256"/>
      <c r="DF223" s="41"/>
      <c r="DG223" s="41"/>
      <c r="DH223" s="391"/>
      <c r="DI223" s="41"/>
      <c r="DJ223" s="41"/>
      <c r="DK223" s="203"/>
      <c r="DL223" s="256"/>
      <c r="DM223" s="41"/>
      <c r="DN223" s="41"/>
      <c r="DO223" s="41"/>
      <c r="DP223" s="420"/>
      <c r="DQ223" s="41"/>
      <c r="DR223" s="41"/>
      <c r="DS223" s="203"/>
      <c r="DT223" s="256"/>
      <c r="DU223" s="46"/>
      <c r="DV223" s="46"/>
      <c r="DW223" s="196"/>
      <c r="DX223" s="391"/>
      <c r="DY223" s="41"/>
      <c r="DZ223" s="41"/>
      <c r="EA223" s="41"/>
      <c r="EB223" s="69"/>
      <c r="EC223" s="41"/>
      <c r="ED223" s="41"/>
      <c r="EE223" s="41"/>
      <c r="EF223" s="420"/>
      <c r="EG223" s="41"/>
      <c r="EH223" s="41"/>
      <c r="EI223" s="41"/>
      <c r="EJ223" s="256"/>
      <c r="EK223" s="41"/>
      <c r="EL223" s="41"/>
      <c r="EM223" s="41"/>
      <c r="EN223" s="391"/>
    </row>
    <row r="224" spans="1:144" ht="25.5">
      <c r="A224" s="45">
        <v>217</v>
      </c>
      <c r="B224" s="53" t="s">
        <v>301</v>
      </c>
      <c r="C224" s="45">
        <v>3</v>
      </c>
      <c r="D224" s="53" t="s">
        <v>539</v>
      </c>
      <c r="E224" s="57" t="s">
        <v>289</v>
      </c>
      <c r="F224" s="56">
        <v>7</v>
      </c>
      <c r="G224" s="397">
        <f>35738.1234/1000</f>
        <v>35.738123399999999</v>
      </c>
      <c r="H224" s="59">
        <v>0</v>
      </c>
      <c r="I224" s="59">
        <v>35738.123399999997</v>
      </c>
      <c r="J224" s="398">
        <v>124.88901799999998</v>
      </c>
      <c r="K224" s="414">
        <f t="shared" si="18"/>
        <v>160.62714139999997</v>
      </c>
      <c r="L224" s="397"/>
      <c r="M224" s="397"/>
      <c r="N224" s="397">
        <f t="shared" si="15"/>
        <v>160.62714139999997</v>
      </c>
      <c r="O224" s="399">
        <f t="shared" si="19"/>
        <v>139</v>
      </c>
      <c r="P224" s="369" t="s">
        <v>1012</v>
      </c>
      <c r="Q224" s="46"/>
      <c r="R224" s="218"/>
      <c r="S224" s="257"/>
      <c r="T224" s="196"/>
      <c r="U224" s="46"/>
      <c r="V224" s="46"/>
      <c r="W224" s="257"/>
      <c r="X224" s="46"/>
      <c r="Y224" s="46"/>
      <c r="Z224" s="46"/>
      <c r="AA224" s="257"/>
      <c r="AB224" s="196"/>
      <c r="AC224" s="46"/>
      <c r="AD224" s="167"/>
      <c r="AE224" s="257"/>
      <c r="AF224" s="196" t="s">
        <v>228</v>
      </c>
      <c r="AG224" s="46" t="s">
        <v>335</v>
      </c>
      <c r="AH224" s="46">
        <v>30</v>
      </c>
      <c r="AI224" s="196" t="s">
        <v>552</v>
      </c>
      <c r="AJ224" s="535">
        <f>AH224*1300</f>
        <v>39000</v>
      </c>
      <c r="AK224" s="196"/>
      <c r="AL224" s="46"/>
      <c r="AM224" s="218"/>
      <c r="AN224" s="257"/>
      <c r="AO224" s="196"/>
      <c r="AP224" s="46"/>
      <c r="AQ224" s="257"/>
      <c r="AR224" s="196"/>
      <c r="AS224" s="46"/>
      <c r="AT224" s="257"/>
      <c r="AU224" s="196"/>
      <c r="AV224" s="46"/>
      <c r="AW224" s="257"/>
      <c r="AX224" s="196"/>
      <c r="AY224" s="46"/>
      <c r="AZ224" s="257"/>
      <c r="BA224" s="46"/>
      <c r="BB224" s="46"/>
      <c r="BC224" s="46"/>
      <c r="BD224" s="46"/>
      <c r="BE224" s="46"/>
      <c r="BF224" s="257"/>
      <c r="BG224" s="46"/>
      <c r="BH224" s="46"/>
      <c r="BI224" s="46"/>
      <c r="BJ224" s="196"/>
      <c r="BK224" s="46"/>
      <c r="BL224" s="46"/>
      <c r="BM224" s="46"/>
      <c r="BN224" s="46"/>
      <c r="BO224" s="257"/>
      <c r="BP224" s="196"/>
      <c r="BQ224" s="46"/>
      <c r="BR224" s="257"/>
      <c r="BS224" s="46"/>
      <c r="BT224" s="46"/>
      <c r="BU224" s="257"/>
      <c r="BV224" s="196"/>
      <c r="BW224" s="46"/>
      <c r="BX224" s="46"/>
      <c r="BY224" s="46"/>
      <c r="BZ224" s="46"/>
      <c r="CA224" s="257"/>
      <c r="CB224" s="196"/>
      <c r="CC224" s="46"/>
      <c r="CD224" s="257"/>
      <c r="CE224" s="46"/>
      <c r="CF224" s="46"/>
      <c r="CG224" s="257"/>
      <c r="CH224" s="46"/>
      <c r="CI224" s="46"/>
      <c r="CJ224" s="46"/>
      <c r="CK224" s="46"/>
      <c r="CL224" s="46"/>
      <c r="CM224" s="257"/>
      <c r="CN224" s="46"/>
      <c r="CO224" s="376"/>
      <c r="CP224" s="257"/>
      <c r="CQ224" s="196" t="s">
        <v>247</v>
      </c>
      <c r="CR224" s="190" t="s">
        <v>736</v>
      </c>
      <c r="CS224" s="257">
        <f t="shared" si="16"/>
        <v>100000</v>
      </c>
      <c r="CT224" s="218"/>
      <c r="CU224" s="317"/>
      <c r="CV224" s="391">
        <f t="shared" si="17"/>
        <v>0</v>
      </c>
      <c r="CW224" s="41">
        <v>6</v>
      </c>
      <c r="CX224" s="41">
        <v>4</v>
      </c>
      <c r="CY224" s="256">
        <f>CX224*25000</f>
        <v>100000</v>
      </c>
      <c r="CZ224" s="308"/>
      <c r="DA224" s="308"/>
      <c r="DB224" s="420"/>
      <c r="DC224" s="41"/>
      <c r="DD224" s="41"/>
      <c r="DE224" s="256"/>
      <c r="DF224" s="41"/>
      <c r="DG224" s="41"/>
      <c r="DH224" s="391"/>
      <c r="DI224" s="41"/>
      <c r="DJ224" s="41"/>
      <c r="DK224" s="203"/>
      <c r="DL224" s="256"/>
      <c r="DM224" s="41"/>
      <c r="DN224" s="41"/>
      <c r="DO224" s="41"/>
      <c r="DP224" s="420"/>
      <c r="DQ224" s="41"/>
      <c r="DR224" s="41"/>
      <c r="DS224" s="203"/>
      <c r="DT224" s="256"/>
      <c r="DU224" s="46"/>
      <c r="DV224" s="46"/>
      <c r="DW224" s="196"/>
      <c r="DX224" s="391"/>
      <c r="DY224" s="41"/>
      <c r="DZ224" s="41"/>
      <c r="EA224" s="41"/>
      <c r="EB224" s="69"/>
      <c r="EC224" s="41"/>
      <c r="ED224" s="41"/>
      <c r="EE224" s="41"/>
      <c r="EF224" s="420"/>
      <c r="EG224" s="41"/>
      <c r="EH224" s="41"/>
      <c r="EI224" s="41"/>
      <c r="EJ224" s="256"/>
      <c r="EK224" s="41"/>
      <c r="EL224" s="41"/>
      <c r="EM224" s="41"/>
      <c r="EN224" s="391"/>
    </row>
    <row r="225" spans="1:144" ht="25.5">
      <c r="A225" s="45">
        <v>218</v>
      </c>
      <c r="B225" s="53" t="s">
        <v>301</v>
      </c>
      <c r="C225" s="45">
        <v>3</v>
      </c>
      <c r="D225" s="53" t="s">
        <v>539</v>
      </c>
      <c r="E225" s="54">
        <v>10</v>
      </c>
      <c r="F225" s="56">
        <v>7</v>
      </c>
      <c r="G225" s="397">
        <f>57142.512/1000</f>
        <v>57.142512000000004</v>
      </c>
      <c r="H225" s="59">
        <v>0</v>
      </c>
      <c r="I225" s="59">
        <v>57142.512000000002</v>
      </c>
      <c r="J225" s="398">
        <v>97.902630000000016</v>
      </c>
      <c r="K225" s="414">
        <f t="shared" si="18"/>
        <v>155.04514200000003</v>
      </c>
      <c r="L225" s="397"/>
      <c r="M225" s="397"/>
      <c r="N225" s="397">
        <f t="shared" si="15"/>
        <v>155.04514200000003</v>
      </c>
      <c r="O225" s="399">
        <f t="shared" si="19"/>
        <v>137</v>
      </c>
      <c r="P225" s="369" t="s">
        <v>1012</v>
      </c>
      <c r="Q225" s="46"/>
      <c r="R225" s="218"/>
      <c r="S225" s="257"/>
      <c r="T225" s="196"/>
      <c r="U225" s="46"/>
      <c r="V225" s="46"/>
      <c r="W225" s="257"/>
      <c r="X225" s="46"/>
      <c r="Y225" s="46"/>
      <c r="Z225" s="46"/>
      <c r="AA225" s="257"/>
      <c r="AB225" s="196"/>
      <c r="AC225" s="46"/>
      <c r="AD225" s="167"/>
      <c r="AE225" s="257"/>
      <c r="AF225" s="196" t="s">
        <v>228</v>
      </c>
      <c r="AG225" s="46" t="s">
        <v>335</v>
      </c>
      <c r="AH225" s="46">
        <v>30</v>
      </c>
      <c r="AI225" s="196" t="s">
        <v>552</v>
      </c>
      <c r="AJ225" s="535">
        <v>39000</v>
      </c>
      <c r="AK225" s="196"/>
      <c r="AL225" s="46"/>
      <c r="AM225" s="218"/>
      <c r="AN225" s="257"/>
      <c r="AO225" s="196"/>
      <c r="AP225" s="46"/>
      <c r="AQ225" s="257"/>
      <c r="AR225" s="196"/>
      <c r="AS225" s="46"/>
      <c r="AT225" s="257"/>
      <c r="AU225" s="196"/>
      <c r="AV225" s="46"/>
      <c r="AW225" s="257"/>
      <c r="AX225" s="196"/>
      <c r="AY225" s="46"/>
      <c r="AZ225" s="257"/>
      <c r="BA225" s="46"/>
      <c r="BB225" s="46"/>
      <c r="BC225" s="46"/>
      <c r="BD225" s="46"/>
      <c r="BE225" s="46"/>
      <c r="BF225" s="257"/>
      <c r="BG225" s="46"/>
      <c r="BH225" s="46"/>
      <c r="BI225" s="46"/>
      <c r="BJ225" s="196"/>
      <c r="BK225" s="46"/>
      <c r="BL225" s="46"/>
      <c r="BM225" s="46"/>
      <c r="BN225" s="46"/>
      <c r="BO225" s="257"/>
      <c r="BP225" s="196"/>
      <c r="BQ225" s="46"/>
      <c r="BR225" s="257"/>
      <c r="BS225" s="46"/>
      <c r="BT225" s="46"/>
      <c r="BU225" s="257"/>
      <c r="BV225" s="196"/>
      <c r="BW225" s="46"/>
      <c r="BX225" s="46"/>
      <c r="BY225" s="46"/>
      <c r="BZ225" s="46"/>
      <c r="CA225" s="257"/>
      <c r="CB225" s="196"/>
      <c r="CC225" s="46"/>
      <c r="CD225" s="257"/>
      <c r="CE225" s="46"/>
      <c r="CF225" s="46"/>
      <c r="CG225" s="257"/>
      <c r="CH225" s="46"/>
      <c r="CI225" s="46"/>
      <c r="CJ225" s="46"/>
      <c r="CK225" s="46"/>
      <c r="CL225" s="46"/>
      <c r="CM225" s="257"/>
      <c r="CN225" s="46"/>
      <c r="CO225" s="376"/>
      <c r="CP225" s="257"/>
      <c r="CQ225" s="196" t="s">
        <v>228</v>
      </c>
      <c r="CR225" s="528" t="s">
        <v>703</v>
      </c>
      <c r="CS225" s="257">
        <f t="shared" si="16"/>
        <v>98000</v>
      </c>
      <c r="CT225" s="196"/>
      <c r="CU225" s="317"/>
      <c r="CV225" s="391">
        <f t="shared" si="17"/>
        <v>0</v>
      </c>
      <c r="CW225" s="41"/>
      <c r="CX225" s="41"/>
      <c r="CY225" s="256"/>
      <c r="CZ225" s="308"/>
      <c r="DA225" s="308"/>
      <c r="DB225" s="420"/>
      <c r="DC225" s="41">
        <v>9</v>
      </c>
      <c r="DD225" s="41">
        <v>98</v>
      </c>
      <c r="DE225" s="256">
        <v>98000</v>
      </c>
      <c r="DF225" s="41"/>
      <c r="DG225" s="41"/>
      <c r="DH225" s="391"/>
      <c r="DI225" s="41"/>
      <c r="DJ225" s="41"/>
      <c r="DK225" s="203"/>
      <c r="DL225" s="256"/>
      <c r="DM225" s="41"/>
      <c r="DN225" s="41"/>
      <c r="DO225" s="41"/>
      <c r="DP225" s="420"/>
      <c r="DQ225" s="41"/>
      <c r="DR225" s="41"/>
      <c r="DS225" s="203"/>
      <c r="DT225" s="256"/>
      <c r="DU225" s="46"/>
      <c r="DV225" s="46"/>
      <c r="DW225" s="196"/>
      <c r="DX225" s="391"/>
      <c r="DY225" s="41"/>
      <c r="DZ225" s="41"/>
      <c r="EA225" s="41"/>
      <c r="EB225" s="69"/>
      <c r="EC225" s="41"/>
      <c r="ED225" s="41"/>
      <c r="EE225" s="41"/>
      <c r="EF225" s="420"/>
      <c r="EG225" s="41"/>
      <c r="EH225" s="41"/>
      <c r="EI225" s="41"/>
      <c r="EJ225" s="256"/>
      <c r="EK225" s="41"/>
      <c r="EL225" s="41"/>
      <c r="EM225" s="41"/>
      <c r="EN225" s="391"/>
    </row>
    <row r="226" spans="1:144" ht="25.5">
      <c r="A226" s="45">
        <v>219</v>
      </c>
      <c r="B226" s="53" t="s">
        <v>301</v>
      </c>
      <c r="C226" s="45">
        <v>3</v>
      </c>
      <c r="D226" s="53" t="s">
        <v>539</v>
      </c>
      <c r="E226" s="54" t="s">
        <v>290</v>
      </c>
      <c r="F226" s="56">
        <v>7</v>
      </c>
      <c r="G226" s="397">
        <f>57205.26/1000</f>
        <v>57.205260000000003</v>
      </c>
      <c r="H226" s="59">
        <v>0</v>
      </c>
      <c r="I226" s="59">
        <v>57205.259999999995</v>
      </c>
      <c r="J226" s="398">
        <v>-40.125159999999994</v>
      </c>
      <c r="K226" s="414">
        <f t="shared" si="18"/>
        <v>17.080100000000009</v>
      </c>
      <c r="L226" s="397"/>
      <c r="M226" s="397"/>
      <c r="N226" s="397">
        <f t="shared" si="15"/>
        <v>17.080100000000009</v>
      </c>
      <c r="O226" s="399">
        <f t="shared" si="19"/>
        <v>17</v>
      </c>
      <c r="P226" s="369" t="s">
        <v>1012</v>
      </c>
      <c r="Q226" s="46"/>
      <c r="R226" s="218"/>
      <c r="S226" s="257"/>
      <c r="T226" s="196"/>
      <c r="U226" s="46"/>
      <c r="V226" s="46"/>
      <c r="W226" s="257"/>
      <c r="X226" s="46"/>
      <c r="Y226" s="46"/>
      <c r="Z226" s="46"/>
      <c r="AA226" s="257"/>
      <c r="AB226" s="196"/>
      <c r="AC226" s="46"/>
      <c r="AD226" s="167"/>
      <c r="AE226" s="257"/>
      <c r="AF226" s="196"/>
      <c r="AG226" s="46"/>
      <c r="AH226" s="46"/>
      <c r="AI226" s="196"/>
      <c r="AJ226" s="535"/>
      <c r="AK226" s="196"/>
      <c r="AL226" s="46"/>
      <c r="AM226" s="218"/>
      <c r="AN226" s="257"/>
      <c r="AO226" s="196"/>
      <c r="AP226" s="46"/>
      <c r="AQ226" s="257"/>
      <c r="AR226" s="196"/>
      <c r="AS226" s="46"/>
      <c r="AT226" s="257"/>
      <c r="AU226" s="196"/>
      <c r="AV226" s="46"/>
      <c r="AW226" s="257"/>
      <c r="AX226" s="196"/>
      <c r="AY226" s="46"/>
      <c r="AZ226" s="257"/>
      <c r="BA226" s="46"/>
      <c r="BB226" s="46"/>
      <c r="BC226" s="46"/>
      <c r="BD226" s="46"/>
      <c r="BE226" s="46"/>
      <c r="BF226" s="257"/>
      <c r="BG226" s="46"/>
      <c r="BH226" s="46"/>
      <c r="BI226" s="46"/>
      <c r="BJ226" s="196"/>
      <c r="BK226" s="46"/>
      <c r="BL226" s="46"/>
      <c r="BM226" s="46"/>
      <c r="BN226" s="46"/>
      <c r="BO226" s="257"/>
      <c r="BP226" s="196"/>
      <c r="BQ226" s="46"/>
      <c r="BR226" s="257"/>
      <c r="BS226" s="46"/>
      <c r="BT226" s="46"/>
      <c r="BU226" s="257"/>
      <c r="BV226" s="196"/>
      <c r="BW226" s="46"/>
      <c r="BX226" s="46"/>
      <c r="BY226" s="46"/>
      <c r="BZ226" s="46"/>
      <c r="CA226" s="257"/>
      <c r="CB226" s="196"/>
      <c r="CC226" s="46"/>
      <c r="CD226" s="257"/>
      <c r="CE226" s="46"/>
      <c r="CF226" s="46"/>
      <c r="CG226" s="257"/>
      <c r="CH226" s="46"/>
      <c r="CI226" s="46"/>
      <c r="CJ226" s="46"/>
      <c r="CK226" s="46"/>
      <c r="CL226" s="46"/>
      <c r="CM226" s="257"/>
      <c r="CN226" s="46"/>
      <c r="CO226" s="376"/>
      <c r="CP226" s="257"/>
      <c r="CQ226" s="196"/>
      <c r="CR226" s="190" t="s">
        <v>521</v>
      </c>
      <c r="CS226" s="257">
        <f>CY226+DE226+DL226+DT226+EB226+EJ226+17000</f>
        <v>17000</v>
      </c>
      <c r="CT226" s="196"/>
      <c r="CU226" s="317"/>
      <c r="CV226" s="391">
        <f t="shared" si="17"/>
        <v>0</v>
      </c>
      <c r="CW226" s="41"/>
      <c r="CX226" s="41"/>
      <c r="CY226" s="256"/>
      <c r="CZ226" s="308"/>
      <c r="DA226" s="308"/>
      <c r="DB226" s="420"/>
      <c r="DC226" s="41"/>
      <c r="DD226" s="41"/>
      <c r="DE226" s="256"/>
      <c r="DF226" s="41"/>
      <c r="DG226" s="41"/>
      <c r="DH226" s="391"/>
      <c r="DI226" s="41"/>
      <c r="DJ226" s="41"/>
      <c r="DK226" s="203"/>
      <c r="DL226" s="256"/>
      <c r="DM226" s="41"/>
      <c r="DN226" s="41"/>
      <c r="DO226" s="41"/>
      <c r="DP226" s="420"/>
      <c r="DQ226" s="41"/>
      <c r="DR226" s="41"/>
      <c r="DS226" s="203"/>
      <c r="DT226" s="256"/>
      <c r="DU226" s="46"/>
      <c r="DV226" s="46"/>
      <c r="DW226" s="196"/>
      <c r="DX226" s="391"/>
      <c r="DY226" s="41"/>
      <c r="DZ226" s="41"/>
      <c r="EA226" s="41"/>
      <c r="EB226" s="69"/>
      <c r="EC226" s="41"/>
      <c r="ED226" s="41"/>
      <c r="EE226" s="41"/>
      <c r="EF226" s="420"/>
      <c r="EG226" s="41"/>
      <c r="EH226" s="41"/>
      <c r="EI226" s="41"/>
      <c r="EJ226" s="256"/>
      <c r="EK226" s="41"/>
      <c r="EL226" s="41"/>
      <c r="EM226" s="41"/>
      <c r="EN226" s="391"/>
    </row>
    <row r="227" spans="1:144" ht="25.5">
      <c r="A227" s="45">
        <v>220</v>
      </c>
      <c r="B227" s="53" t="s">
        <v>301</v>
      </c>
      <c r="C227" s="45">
        <v>3</v>
      </c>
      <c r="D227" s="53" t="s">
        <v>539</v>
      </c>
      <c r="E227" s="54">
        <v>12</v>
      </c>
      <c r="F227" s="56">
        <v>7</v>
      </c>
      <c r="G227" s="397">
        <f>63020.9538/1000</f>
        <v>63.020953800000001</v>
      </c>
      <c r="H227" s="59">
        <v>0</v>
      </c>
      <c r="I227" s="59">
        <v>63020.953800000003</v>
      </c>
      <c r="J227" s="398">
        <v>189.05165539999996</v>
      </c>
      <c r="K227" s="414">
        <f t="shared" si="18"/>
        <v>252.07260919999996</v>
      </c>
      <c r="L227" s="397"/>
      <c r="M227" s="397"/>
      <c r="N227" s="397">
        <f t="shared" si="15"/>
        <v>252.07260919999996</v>
      </c>
      <c r="O227" s="399">
        <f t="shared" si="19"/>
        <v>239</v>
      </c>
      <c r="P227" s="369" t="s">
        <v>1012</v>
      </c>
      <c r="Q227" s="46"/>
      <c r="R227" s="218"/>
      <c r="S227" s="257"/>
      <c r="T227" s="196"/>
      <c r="U227" s="46"/>
      <c r="V227" s="46"/>
      <c r="W227" s="257"/>
      <c r="X227" s="46"/>
      <c r="Y227" s="46"/>
      <c r="Z227" s="46"/>
      <c r="AA227" s="257"/>
      <c r="AB227" s="196"/>
      <c r="AC227" s="46"/>
      <c r="AD227" s="167"/>
      <c r="AE227" s="257"/>
      <c r="AF227" s="196" t="s">
        <v>228</v>
      </c>
      <c r="AG227" s="46" t="s">
        <v>335</v>
      </c>
      <c r="AH227" s="46">
        <v>30</v>
      </c>
      <c r="AI227" s="196" t="s">
        <v>552</v>
      </c>
      <c r="AJ227" s="535">
        <v>39000</v>
      </c>
      <c r="AK227" s="196"/>
      <c r="AL227" s="46"/>
      <c r="AM227" s="218"/>
      <c r="AN227" s="257"/>
      <c r="AO227" s="196"/>
      <c r="AP227" s="46"/>
      <c r="AQ227" s="257"/>
      <c r="AR227" s="196"/>
      <c r="AS227" s="46"/>
      <c r="AT227" s="257"/>
      <c r="AU227" s="196"/>
      <c r="AV227" s="46"/>
      <c r="AW227" s="257"/>
      <c r="AX227" s="196"/>
      <c r="AY227" s="46"/>
      <c r="AZ227" s="257"/>
      <c r="BA227" s="46"/>
      <c r="BB227" s="46"/>
      <c r="BC227" s="46"/>
      <c r="BD227" s="46"/>
      <c r="BE227" s="46"/>
      <c r="BF227" s="257"/>
      <c r="BG227" s="46"/>
      <c r="BH227" s="46"/>
      <c r="BI227" s="46"/>
      <c r="BJ227" s="196"/>
      <c r="BK227" s="46"/>
      <c r="BL227" s="46"/>
      <c r="BM227" s="46"/>
      <c r="BN227" s="46"/>
      <c r="BO227" s="257"/>
      <c r="BP227" s="196"/>
      <c r="BQ227" s="46"/>
      <c r="BR227" s="257"/>
      <c r="BS227" s="46"/>
      <c r="BT227" s="46"/>
      <c r="BU227" s="257"/>
      <c r="BV227" s="196"/>
      <c r="BW227" s="46"/>
      <c r="BX227" s="46"/>
      <c r="BY227" s="46"/>
      <c r="BZ227" s="46"/>
      <c r="CA227" s="257"/>
      <c r="CB227" s="196"/>
      <c r="CC227" s="46"/>
      <c r="CD227" s="257"/>
      <c r="CE227" s="46"/>
      <c r="CF227" s="46"/>
      <c r="CG227" s="257"/>
      <c r="CH227" s="46"/>
      <c r="CI227" s="46"/>
      <c r="CJ227" s="46"/>
      <c r="CK227" s="46"/>
      <c r="CL227" s="46"/>
      <c r="CM227" s="257"/>
      <c r="CN227" s="46"/>
      <c r="CO227" s="376"/>
      <c r="CP227" s="257"/>
      <c r="CQ227" s="196" t="s">
        <v>228</v>
      </c>
      <c r="CR227" s="190" t="s">
        <v>737</v>
      </c>
      <c r="CS227" s="257">
        <f t="shared" si="16"/>
        <v>200000</v>
      </c>
      <c r="CT227" s="196"/>
      <c r="CU227" s="317"/>
      <c r="CV227" s="391">
        <f t="shared" si="17"/>
        <v>0</v>
      </c>
      <c r="CW227" s="41"/>
      <c r="CX227" s="41"/>
      <c r="CY227" s="256"/>
      <c r="CZ227" s="308"/>
      <c r="DA227" s="308"/>
      <c r="DB227" s="420"/>
      <c r="DC227" s="41">
        <v>9</v>
      </c>
      <c r="DD227" s="41">
        <v>200</v>
      </c>
      <c r="DE227" s="256">
        <v>200000</v>
      </c>
      <c r="DF227" s="41"/>
      <c r="DG227" s="41"/>
      <c r="DH227" s="391"/>
      <c r="DI227" s="41"/>
      <c r="DJ227" s="41"/>
      <c r="DK227" s="203"/>
      <c r="DL227" s="256"/>
      <c r="DM227" s="41"/>
      <c r="DN227" s="41"/>
      <c r="DO227" s="41"/>
      <c r="DP227" s="420"/>
      <c r="DQ227" s="41"/>
      <c r="DR227" s="41"/>
      <c r="DS227" s="203"/>
      <c r="DT227" s="256"/>
      <c r="DU227" s="46"/>
      <c r="DV227" s="46"/>
      <c r="DW227" s="196"/>
      <c r="DX227" s="391"/>
      <c r="DY227" s="41"/>
      <c r="DZ227" s="41"/>
      <c r="EA227" s="41"/>
      <c r="EB227" s="69"/>
      <c r="EC227" s="41"/>
      <c r="ED227" s="41"/>
      <c r="EE227" s="41"/>
      <c r="EF227" s="420"/>
      <c r="EG227" s="41"/>
      <c r="EH227" s="41"/>
      <c r="EI227" s="41"/>
      <c r="EJ227" s="256"/>
      <c r="EK227" s="41"/>
      <c r="EL227" s="41"/>
      <c r="EM227" s="41"/>
      <c r="EN227" s="391"/>
    </row>
    <row r="228" spans="1:144" ht="25.5">
      <c r="A228" s="45">
        <v>221</v>
      </c>
      <c r="B228" s="53" t="s">
        <v>301</v>
      </c>
      <c r="C228" s="45">
        <v>3</v>
      </c>
      <c r="D228" s="53" t="s">
        <v>539</v>
      </c>
      <c r="E228" s="54">
        <v>15</v>
      </c>
      <c r="F228" s="56">
        <v>7</v>
      </c>
      <c r="G228" s="397">
        <f>57257.55/1000</f>
        <v>57.257550000000002</v>
      </c>
      <c r="H228" s="59">
        <v>0</v>
      </c>
      <c r="I228" s="59">
        <v>57257.549999999996</v>
      </c>
      <c r="J228" s="398">
        <v>88.367349999999988</v>
      </c>
      <c r="K228" s="414">
        <f t="shared" si="18"/>
        <v>145.6249</v>
      </c>
      <c r="L228" s="397"/>
      <c r="M228" s="397"/>
      <c r="N228" s="397">
        <f t="shared" si="15"/>
        <v>145.6249</v>
      </c>
      <c r="O228" s="399">
        <f t="shared" si="19"/>
        <v>139</v>
      </c>
      <c r="P228" s="369" t="s">
        <v>1012</v>
      </c>
      <c r="Q228" s="46"/>
      <c r="R228" s="218"/>
      <c r="S228" s="257"/>
      <c r="T228" s="196"/>
      <c r="U228" s="46"/>
      <c r="V228" s="46"/>
      <c r="W228" s="257"/>
      <c r="X228" s="46"/>
      <c r="Y228" s="46"/>
      <c r="Z228" s="46"/>
      <c r="AA228" s="257"/>
      <c r="AB228" s="196"/>
      <c r="AC228" s="46"/>
      <c r="AD228" s="167"/>
      <c r="AE228" s="257"/>
      <c r="AF228" s="196" t="s">
        <v>228</v>
      </c>
      <c r="AG228" s="46" t="s">
        <v>335</v>
      </c>
      <c r="AH228" s="46">
        <v>30</v>
      </c>
      <c r="AI228" s="196" t="s">
        <v>552</v>
      </c>
      <c r="AJ228" s="535">
        <v>39000</v>
      </c>
      <c r="AK228" s="196"/>
      <c r="AL228" s="46"/>
      <c r="AM228" s="218"/>
      <c r="AN228" s="257"/>
      <c r="AO228" s="196"/>
      <c r="AP228" s="46"/>
      <c r="AQ228" s="257"/>
      <c r="AR228" s="196"/>
      <c r="AS228" s="46"/>
      <c r="AT228" s="257"/>
      <c r="AU228" s="196"/>
      <c r="AV228" s="46"/>
      <c r="AW228" s="257"/>
      <c r="AX228" s="196"/>
      <c r="AY228" s="46"/>
      <c r="AZ228" s="257"/>
      <c r="BA228" s="46"/>
      <c r="BB228" s="46"/>
      <c r="BC228" s="46"/>
      <c r="BD228" s="46"/>
      <c r="BE228" s="46"/>
      <c r="BF228" s="257"/>
      <c r="BG228" s="46"/>
      <c r="BH228" s="46"/>
      <c r="BI228" s="46"/>
      <c r="BJ228" s="196"/>
      <c r="BK228" s="46"/>
      <c r="BL228" s="46"/>
      <c r="BM228" s="46"/>
      <c r="BN228" s="46"/>
      <c r="BO228" s="257"/>
      <c r="BP228" s="196"/>
      <c r="BQ228" s="46"/>
      <c r="BR228" s="257"/>
      <c r="BS228" s="46"/>
      <c r="BT228" s="46"/>
      <c r="BU228" s="257"/>
      <c r="BV228" s="196"/>
      <c r="BW228" s="46"/>
      <c r="BX228" s="46"/>
      <c r="BY228" s="46"/>
      <c r="BZ228" s="46"/>
      <c r="CA228" s="257"/>
      <c r="CB228" s="196"/>
      <c r="CC228" s="46"/>
      <c r="CD228" s="257"/>
      <c r="CE228" s="46"/>
      <c r="CF228" s="46"/>
      <c r="CG228" s="257"/>
      <c r="CH228" s="46"/>
      <c r="CI228" s="46"/>
      <c r="CJ228" s="46"/>
      <c r="CK228" s="46"/>
      <c r="CL228" s="46"/>
      <c r="CM228" s="257"/>
      <c r="CN228" s="46"/>
      <c r="CO228" s="376"/>
      <c r="CP228" s="257"/>
      <c r="CQ228" s="196" t="s">
        <v>227</v>
      </c>
      <c r="CR228" s="190" t="s">
        <v>738</v>
      </c>
      <c r="CS228" s="257">
        <f t="shared" si="16"/>
        <v>100000</v>
      </c>
      <c r="CT228" s="218"/>
      <c r="CU228" s="317"/>
      <c r="CV228" s="391">
        <f t="shared" si="17"/>
        <v>0</v>
      </c>
      <c r="CW228" s="41">
        <v>7</v>
      </c>
      <c r="CX228" s="41">
        <v>4</v>
      </c>
      <c r="CY228" s="256">
        <f>CX228*25000</f>
        <v>100000</v>
      </c>
      <c r="CZ228" s="308"/>
      <c r="DA228" s="308"/>
      <c r="DB228" s="420"/>
      <c r="DC228" s="41"/>
      <c r="DD228" s="41"/>
      <c r="DE228" s="256"/>
      <c r="DF228" s="41"/>
      <c r="DG228" s="41"/>
      <c r="DH228" s="391"/>
      <c r="DI228" s="41"/>
      <c r="DJ228" s="41"/>
      <c r="DK228" s="203"/>
      <c r="DL228" s="256"/>
      <c r="DM228" s="41"/>
      <c r="DN228" s="41"/>
      <c r="DO228" s="41"/>
      <c r="DP228" s="420"/>
      <c r="DQ228" s="41"/>
      <c r="DR228" s="41"/>
      <c r="DS228" s="203"/>
      <c r="DT228" s="256"/>
      <c r="DU228" s="46"/>
      <c r="DV228" s="46"/>
      <c r="DW228" s="196"/>
      <c r="DX228" s="391"/>
      <c r="DY228" s="41"/>
      <c r="DZ228" s="41"/>
      <c r="EA228" s="41"/>
      <c r="EB228" s="69"/>
      <c r="EC228" s="41"/>
      <c r="ED228" s="41"/>
      <c r="EE228" s="41"/>
      <c r="EF228" s="420"/>
      <c r="EG228" s="41"/>
      <c r="EH228" s="41"/>
      <c r="EI228" s="41"/>
      <c r="EJ228" s="256"/>
      <c r="EK228" s="41"/>
      <c r="EL228" s="41"/>
      <c r="EM228" s="41"/>
      <c r="EN228" s="391"/>
    </row>
    <row r="229" spans="1:144" ht="25.5">
      <c r="A229" s="45">
        <v>222</v>
      </c>
      <c r="B229" s="53" t="s">
        <v>301</v>
      </c>
      <c r="C229" s="45">
        <v>3</v>
      </c>
      <c r="D229" s="53" t="s">
        <v>539</v>
      </c>
      <c r="E229" s="54">
        <v>17</v>
      </c>
      <c r="F229" s="56">
        <v>7</v>
      </c>
      <c r="G229" s="397">
        <f>62391.3822/1000</f>
        <v>62.391382200000002</v>
      </c>
      <c r="H229" s="59">
        <v>0</v>
      </c>
      <c r="I229" s="59">
        <v>62391.382199999993</v>
      </c>
      <c r="J229" s="398">
        <v>47.774352999999977</v>
      </c>
      <c r="K229" s="414">
        <f t="shared" si="18"/>
        <v>110.16573519999997</v>
      </c>
      <c r="L229" s="397"/>
      <c r="M229" s="397"/>
      <c r="N229" s="397">
        <f t="shared" si="15"/>
        <v>110.16573519999997</v>
      </c>
      <c r="O229" s="399">
        <f t="shared" si="19"/>
        <v>100</v>
      </c>
      <c r="P229" s="369" t="s">
        <v>1012</v>
      </c>
      <c r="Q229" s="46"/>
      <c r="R229" s="218"/>
      <c r="S229" s="257"/>
      <c r="T229" s="196"/>
      <c r="U229" s="46"/>
      <c r="V229" s="46"/>
      <c r="W229" s="257"/>
      <c r="X229" s="46"/>
      <c r="Y229" s="46"/>
      <c r="Z229" s="46"/>
      <c r="AA229" s="257"/>
      <c r="AB229" s="196"/>
      <c r="AC229" s="46"/>
      <c r="AD229" s="167"/>
      <c r="AE229" s="257"/>
      <c r="AF229" s="196"/>
      <c r="AG229" s="46"/>
      <c r="AH229" s="46"/>
      <c r="AI229" s="196"/>
      <c r="AJ229" s="400"/>
      <c r="AK229" s="196"/>
      <c r="AL229" s="46"/>
      <c r="AM229" s="218"/>
      <c r="AN229" s="257"/>
      <c r="AO229" s="196"/>
      <c r="AP229" s="46"/>
      <c r="AQ229" s="257"/>
      <c r="AR229" s="196"/>
      <c r="AS229" s="46"/>
      <c r="AT229" s="257"/>
      <c r="AU229" s="196"/>
      <c r="AV229" s="46"/>
      <c r="AW229" s="257"/>
      <c r="AX229" s="196"/>
      <c r="AY229" s="46"/>
      <c r="AZ229" s="257"/>
      <c r="BA229" s="46"/>
      <c r="BB229" s="46"/>
      <c r="BC229" s="46"/>
      <c r="BD229" s="46"/>
      <c r="BE229" s="46"/>
      <c r="BF229" s="257"/>
      <c r="BG229" s="46"/>
      <c r="BH229" s="46"/>
      <c r="BI229" s="46"/>
      <c r="BJ229" s="196"/>
      <c r="BK229" s="46"/>
      <c r="BL229" s="46"/>
      <c r="BM229" s="46"/>
      <c r="BN229" s="46"/>
      <c r="BO229" s="257"/>
      <c r="BP229" s="196"/>
      <c r="BQ229" s="46"/>
      <c r="BR229" s="257"/>
      <c r="BS229" s="46"/>
      <c r="BT229" s="46"/>
      <c r="BU229" s="257"/>
      <c r="BV229" s="196"/>
      <c r="BW229" s="46"/>
      <c r="BX229" s="46"/>
      <c r="BY229" s="46"/>
      <c r="BZ229" s="46"/>
      <c r="CA229" s="257"/>
      <c r="CB229" s="196"/>
      <c r="CC229" s="46"/>
      <c r="CD229" s="257"/>
      <c r="CE229" s="46"/>
      <c r="CF229" s="46"/>
      <c r="CG229" s="257"/>
      <c r="CH229" s="46"/>
      <c r="CI229" s="46"/>
      <c r="CJ229" s="46"/>
      <c r="CK229" s="46"/>
      <c r="CL229" s="46"/>
      <c r="CM229" s="257"/>
      <c r="CN229" s="46"/>
      <c r="CO229" s="376"/>
      <c r="CP229" s="257"/>
      <c r="CQ229" s="196" t="s">
        <v>248</v>
      </c>
      <c r="CR229" s="190" t="s">
        <v>736</v>
      </c>
      <c r="CS229" s="257">
        <f t="shared" si="16"/>
        <v>100000</v>
      </c>
      <c r="CT229" s="196"/>
      <c r="CU229" s="317"/>
      <c r="CV229" s="391">
        <f t="shared" si="17"/>
        <v>0</v>
      </c>
      <c r="CW229" s="41">
        <v>8</v>
      </c>
      <c r="CX229" s="41">
        <v>4</v>
      </c>
      <c r="CY229" s="256">
        <v>100000</v>
      </c>
      <c r="CZ229" s="308"/>
      <c r="DA229" s="308"/>
      <c r="DB229" s="420"/>
      <c r="DC229" s="41"/>
      <c r="DD229" s="41"/>
      <c r="DE229" s="256"/>
      <c r="DF229" s="41"/>
      <c r="DG229" s="41"/>
      <c r="DH229" s="391"/>
      <c r="DI229" s="41"/>
      <c r="DJ229" s="41"/>
      <c r="DK229" s="203"/>
      <c r="DL229" s="256"/>
      <c r="DM229" s="41"/>
      <c r="DN229" s="41"/>
      <c r="DO229" s="41"/>
      <c r="DP229" s="420"/>
      <c r="DQ229" s="41"/>
      <c r="DR229" s="41"/>
      <c r="DS229" s="203"/>
      <c r="DT229" s="256"/>
      <c r="DU229" s="46"/>
      <c r="DV229" s="46"/>
      <c r="DW229" s="196"/>
      <c r="DX229" s="391"/>
      <c r="DY229" s="41"/>
      <c r="DZ229" s="41"/>
      <c r="EA229" s="41"/>
      <c r="EB229" s="69"/>
      <c r="EC229" s="41"/>
      <c r="ED229" s="41"/>
      <c r="EE229" s="41"/>
      <c r="EF229" s="420"/>
      <c r="EG229" s="41"/>
      <c r="EH229" s="41"/>
      <c r="EI229" s="41"/>
      <c r="EJ229" s="256"/>
      <c r="EK229" s="41"/>
      <c r="EL229" s="41"/>
      <c r="EM229" s="41"/>
      <c r="EN229" s="391"/>
    </row>
    <row r="230" spans="1:144" ht="25.5">
      <c r="A230" s="45">
        <v>223</v>
      </c>
      <c r="B230" s="53" t="s">
        <v>301</v>
      </c>
      <c r="C230" s="45">
        <v>3</v>
      </c>
      <c r="D230" s="53" t="s">
        <v>539</v>
      </c>
      <c r="E230" s="54">
        <v>19</v>
      </c>
      <c r="F230" s="56">
        <v>7</v>
      </c>
      <c r="G230" s="397">
        <f>65069.676/1000</f>
        <v>65.069676000000001</v>
      </c>
      <c r="H230" s="59">
        <v>0</v>
      </c>
      <c r="I230" s="59">
        <v>65069.675999999999</v>
      </c>
      <c r="J230" s="398">
        <v>145.67626000000001</v>
      </c>
      <c r="K230" s="414">
        <f t="shared" si="18"/>
        <v>210.74593600000003</v>
      </c>
      <c r="L230" s="397"/>
      <c r="M230" s="397"/>
      <c r="N230" s="397">
        <f t="shared" si="15"/>
        <v>210.74593600000003</v>
      </c>
      <c r="O230" s="399">
        <f t="shared" si="19"/>
        <v>200</v>
      </c>
      <c r="P230" s="369" t="s">
        <v>1012</v>
      </c>
      <c r="Q230" s="46"/>
      <c r="R230" s="218"/>
      <c r="S230" s="257"/>
      <c r="T230" s="196"/>
      <c r="U230" s="46"/>
      <c r="V230" s="46"/>
      <c r="W230" s="257"/>
      <c r="X230" s="46"/>
      <c r="Y230" s="46"/>
      <c r="Z230" s="46"/>
      <c r="AA230" s="257"/>
      <c r="AB230" s="196"/>
      <c r="AC230" s="46"/>
      <c r="AD230" s="167"/>
      <c r="AE230" s="257"/>
      <c r="AF230" s="196"/>
      <c r="AG230" s="46"/>
      <c r="AH230" s="46"/>
      <c r="AI230" s="196"/>
      <c r="AJ230" s="400"/>
      <c r="AK230" s="196"/>
      <c r="AL230" s="46"/>
      <c r="AM230" s="218"/>
      <c r="AN230" s="257"/>
      <c r="AO230" s="196"/>
      <c r="AP230" s="46"/>
      <c r="AQ230" s="257"/>
      <c r="AR230" s="196"/>
      <c r="AS230" s="46"/>
      <c r="AT230" s="257"/>
      <c r="AU230" s="196"/>
      <c r="AV230" s="46"/>
      <c r="AW230" s="257"/>
      <c r="AX230" s="196"/>
      <c r="AY230" s="46"/>
      <c r="AZ230" s="257"/>
      <c r="BA230" s="46"/>
      <c r="BB230" s="46"/>
      <c r="BC230" s="46"/>
      <c r="BD230" s="46"/>
      <c r="BE230" s="46"/>
      <c r="BF230" s="257"/>
      <c r="BG230" s="46"/>
      <c r="BH230" s="46"/>
      <c r="BI230" s="46"/>
      <c r="BJ230" s="196"/>
      <c r="BK230" s="46"/>
      <c r="BL230" s="46"/>
      <c r="BM230" s="46"/>
      <c r="BN230" s="46"/>
      <c r="BO230" s="257"/>
      <c r="BP230" s="196"/>
      <c r="BQ230" s="46"/>
      <c r="BR230" s="257"/>
      <c r="BS230" s="46"/>
      <c r="BT230" s="46"/>
      <c r="BU230" s="257"/>
      <c r="BV230" s="196"/>
      <c r="BW230" s="46"/>
      <c r="BX230" s="46"/>
      <c r="BY230" s="46"/>
      <c r="BZ230" s="46"/>
      <c r="CA230" s="257"/>
      <c r="CB230" s="196"/>
      <c r="CC230" s="46"/>
      <c r="CD230" s="257"/>
      <c r="CE230" s="46"/>
      <c r="CF230" s="46"/>
      <c r="CG230" s="257"/>
      <c r="CH230" s="46"/>
      <c r="CI230" s="46"/>
      <c r="CJ230" s="46"/>
      <c r="CK230" s="46"/>
      <c r="CL230" s="46"/>
      <c r="CM230" s="257"/>
      <c r="CN230" s="46"/>
      <c r="CO230" s="376"/>
      <c r="CP230" s="257"/>
      <c r="CQ230" s="196" t="s">
        <v>228</v>
      </c>
      <c r="CR230" s="190" t="s">
        <v>737</v>
      </c>
      <c r="CS230" s="257">
        <f t="shared" si="16"/>
        <v>200000</v>
      </c>
      <c r="CT230" s="196"/>
      <c r="CU230" s="317"/>
      <c r="CV230" s="391">
        <f t="shared" si="17"/>
        <v>0</v>
      </c>
      <c r="CW230" s="41"/>
      <c r="CX230" s="41"/>
      <c r="CY230" s="256"/>
      <c r="CZ230" s="308"/>
      <c r="DA230" s="308"/>
      <c r="DB230" s="420"/>
      <c r="DC230" s="41">
        <v>9</v>
      </c>
      <c r="DD230" s="41">
        <v>200</v>
      </c>
      <c r="DE230" s="256">
        <v>200000</v>
      </c>
      <c r="DF230" s="41"/>
      <c r="DG230" s="41"/>
      <c r="DH230" s="391"/>
      <c r="DI230" s="41"/>
      <c r="DJ230" s="41"/>
      <c r="DK230" s="203"/>
      <c r="DL230" s="256"/>
      <c r="DM230" s="41"/>
      <c r="DN230" s="41"/>
      <c r="DO230" s="41"/>
      <c r="DP230" s="420"/>
      <c r="DQ230" s="41"/>
      <c r="DR230" s="41"/>
      <c r="DS230" s="203"/>
      <c r="DT230" s="256"/>
      <c r="DU230" s="46"/>
      <c r="DV230" s="46"/>
      <c r="DW230" s="196"/>
      <c r="DX230" s="391"/>
      <c r="DY230" s="41"/>
      <c r="DZ230" s="41"/>
      <c r="EA230" s="41"/>
      <c r="EB230" s="69"/>
      <c r="EC230" s="41"/>
      <c r="ED230" s="41"/>
      <c r="EE230" s="41"/>
      <c r="EF230" s="420"/>
      <c r="EG230" s="41"/>
      <c r="EH230" s="41"/>
      <c r="EI230" s="41"/>
      <c r="EJ230" s="256"/>
      <c r="EK230" s="41"/>
      <c r="EL230" s="41"/>
      <c r="EM230" s="41"/>
      <c r="EN230" s="391"/>
    </row>
    <row r="231" spans="1:144" ht="25.5">
      <c r="A231" s="45">
        <v>224</v>
      </c>
      <c r="B231" s="53" t="s">
        <v>301</v>
      </c>
      <c r="C231" s="45">
        <v>3</v>
      </c>
      <c r="D231" s="53" t="s">
        <v>540</v>
      </c>
      <c r="E231" s="54">
        <v>7</v>
      </c>
      <c r="F231" s="56">
        <v>6</v>
      </c>
      <c r="G231" s="397">
        <f>59852.376/1000</f>
        <v>59.852376</v>
      </c>
      <c r="H231" s="59">
        <v>16927.614000000001</v>
      </c>
      <c r="I231" s="59">
        <v>42924.762000000002</v>
      </c>
      <c r="J231" s="398">
        <v>104.90886199999998</v>
      </c>
      <c r="K231" s="414">
        <f t="shared" si="18"/>
        <v>164.76123799999999</v>
      </c>
      <c r="L231" s="397"/>
      <c r="M231" s="397"/>
      <c r="N231" s="397">
        <f t="shared" si="15"/>
        <v>164.76123799999999</v>
      </c>
      <c r="O231" s="399">
        <f t="shared" si="19"/>
        <v>160</v>
      </c>
      <c r="P231" s="369" t="s">
        <v>1012</v>
      </c>
      <c r="Q231" s="46"/>
      <c r="R231" s="218"/>
      <c r="S231" s="257"/>
      <c r="T231" s="196"/>
      <c r="U231" s="46"/>
      <c r="V231" s="46"/>
      <c r="W231" s="257"/>
      <c r="X231" s="46"/>
      <c r="Y231" s="46"/>
      <c r="Z231" s="46"/>
      <c r="AA231" s="257"/>
      <c r="AB231" s="196"/>
      <c r="AC231" s="46"/>
      <c r="AD231" s="167"/>
      <c r="AE231" s="257"/>
      <c r="AF231" s="196"/>
      <c r="AG231" s="46"/>
      <c r="AH231" s="46"/>
      <c r="AI231" s="196"/>
      <c r="AJ231" s="535"/>
      <c r="AK231" s="196"/>
      <c r="AL231" s="46"/>
      <c r="AM231" s="218"/>
      <c r="AN231" s="257"/>
      <c r="AO231" s="196"/>
      <c r="AP231" s="46"/>
      <c r="AQ231" s="257"/>
      <c r="AR231" s="196"/>
      <c r="AS231" s="46"/>
      <c r="AT231" s="257"/>
      <c r="AU231" s="196"/>
      <c r="AV231" s="46"/>
      <c r="AW231" s="257"/>
      <c r="AX231" s="196"/>
      <c r="AY231" s="46"/>
      <c r="AZ231" s="257"/>
      <c r="BA231" s="46"/>
      <c r="BB231" s="46"/>
      <c r="BC231" s="46"/>
      <c r="BD231" s="46"/>
      <c r="BE231" s="46"/>
      <c r="BF231" s="257"/>
      <c r="BG231" s="46"/>
      <c r="BH231" s="46"/>
      <c r="BI231" s="46"/>
      <c r="BJ231" s="196"/>
      <c r="BK231" s="46"/>
      <c r="BL231" s="46"/>
      <c r="BM231" s="46"/>
      <c r="BN231" s="46"/>
      <c r="BO231" s="257"/>
      <c r="BP231" s="196"/>
      <c r="BQ231" s="46"/>
      <c r="BR231" s="257"/>
      <c r="BS231" s="46"/>
      <c r="BT231" s="46"/>
      <c r="BU231" s="257"/>
      <c r="BV231" s="196"/>
      <c r="BW231" s="46"/>
      <c r="BX231" s="46"/>
      <c r="BY231" s="46"/>
      <c r="BZ231" s="46"/>
      <c r="CA231" s="257"/>
      <c r="CB231" s="196"/>
      <c r="CC231" s="46"/>
      <c r="CD231" s="257"/>
      <c r="CE231" s="46"/>
      <c r="CF231" s="46"/>
      <c r="CG231" s="257"/>
      <c r="CH231" s="46"/>
      <c r="CI231" s="46"/>
      <c r="CJ231" s="46"/>
      <c r="CK231" s="46"/>
      <c r="CL231" s="46"/>
      <c r="CM231" s="257"/>
      <c r="CN231" s="46"/>
      <c r="CO231" s="376"/>
      <c r="CP231" s="257"/>
      <c r="CQ231" s="218" t="s">
        <v>248</v>
      </c>
      <c r="CR231" s="190" t="s">
        <v>739</v>
      </c>
      <c r="CS231" s="257">
        <f t="shared" si="16"/>
        <v>160000</v>
      </c>
      <c r="CT231" s="218"/>
      <c r="CU231" s="317"/>
      <c r="CV231" s="391">
        <f t="shared" si="17"/>
        <v>0</v>
      </c>
      <c r="CW231" s="41"/>
      <c r="CX231" s="41"/>
      <c r="CY231" s="256"/>
      <c r="CZ231" s="308"/>
      <c r="DA231" s="308"/>
      <c r="DB231" s="420"/>
      <c r="DC231" s="41">
        <v>8</v>
      </c>
      <c r="DD231" s="41">
        <v>160</v>
      </c>
      <c r="DE231" s="256">
        <v>160000</v>
      </c>
      <c r="DF231" s="41"/>
      <c r="DG231" s="41"/>
      <c r="DH231" s="391"/>
      <c r="DI231" s="41"/>
      <c r="DJ231" s="41"/>
      <c r="DK231" s="203"/>
      <c r="DL231" s="256"/>
      <c r="DM231" s="41"/>
      <c r="DN231" s="41"/>
      <c r="DO231" s="41"/>
      <c r="DP231" s="420"/>
      <c r="DQ231" s="41"/>
      <c r="DR231" s="41"/>
      <c r="DS231" s="203"/>
      <c r="DT231" s="256"/>
      <c r="DU231" s="46"/>
      <c r="DV231" s="46"/>
      <c r="DW231" s="196"/>
      <c r="DX231" s="391"/>
      <c r="DY231" s="41"/>
      <c r="DZ231" s="41"/>
      <c r="EA231" s="41"/>
      <c r="EB231" s="69"/>
      <c r="EC231" s="41"/>
      <c r="ED231" s="41"/>
      <c r="EE231" s="41"/>
      <c r="EF231" s="420"/>
      <c r="EG231" s="41"/>
      <c r="EH231" s="41"/>
      <c r="EI231" s="41"/>
      <c r="EJ231" s="256"/>
      <c r="EK231" s="41"/>
      <c r="EL231" s="41"/>
      <c r="EM231" s="41"/>
      <c r="EN231" s="391"/>
    </row>
    <row r="232" spans="1:144" ht="43.15" customHeight="1">
      <c r="A232" s="45">
        <v>225</v>
      </c>
      <c r="B232" s="53" t="s">
        <v>301</v>
      </c>
      <c r="C232" s="45">
        <v>3</v>
      </c>
      <c r="D232" s="53" t="s">
        <v>540</v>
      </c>
      <c r="E232" s="54">
        <v>9</v>
      </c>
      <c r="F232" s="56">
        <v>7</v>
      </c>
      <c r="G232" s="397">
        <f>57654.954/1000</f>
        <v>57.654953999999996</v>
      </c>
      <c r="H232" s="59">
        <v>0</v>
      </c>
      <c r="I232" s="59">
        <v>57654.953999999998</v>
      </c>
      <c r="J232" s="398">
        <v>-156.70152000000004</v>
      </c>
      <c r="K232" s="414">
        <f t="shared" si="18"/>
        <v>-99.046566000000041</v>
      </c>
      <c r="L232" s="397"/>
      <c r="M232" s="397"/>
      <c r="N232" s="397">
        <f t="shared" si="15"/>
        <v>-99.046566000000041</v>
      </c>
      <c r="O232" s="399">
        <f t="shared" si="19"/>
        <v>0</v>
      </c>
      <c r="P232" s="369" t="s">
        <v>1012</v>
      </c>
      <c r="Q232" s="46"/>
      <c r="R232" s="218"/>
      <c r="S232" s="257"/>
      <c r="T232" s="196"/>
      <c r="U232" s="46"/>
      <c r="V232" s="46"/>
      <c r="W232" s="257"/>
      <c r="X232" s="46"/>
      <c r="Y232" s="46"/>
      <c r="Z232" s="46"/>
      <c r="AA232" s="257"/>
      <c r="AB232" s="196"/>
      <c r="AC232" s="46"/>
      <c r="AD232" s="167"/>
      <c r="AE232" s="257"/>
      <c r="AF232" s="196"/>
      <c r="AG232" s="46"/>
      <c r="AH232" s="46"/>
      <c r="AI232" s="196"/>
      <c r="AJ232" s="400"/>
      <c r="AK232" s="196"/>
      <c r="AL232" s="46"/>
      <c r="AM232" s="218"/>
      <c r="AN232" s="257"/>
      <c r="AO232" s="196"/>
      <c r="AP232" s="46"/>
      <c r="AQ232" s="257"/>
      <c r="AR232" s="196"/>
      <c r="AS232" s="46"/>
      <c r="AT232" s="257"/>
      <c r="AU232" s="196"/>
      <c r="AV232" s="46"/>
      <c r="AW232" s="257"/>
      <c r="AX232" s="196"/>
      <c r="AY232" s="46"/>
      <c r="AZ232" s="257"/>
      <c r="BA232" s="46"/>
      <c r="BB232" s="46"/>
      <c r="BC232" s="46"/>
      <c r="BD232" s="46"/>
      <c r="BE232" s="46"/>
      <c r="BF232" s="257"/>
      <c r="BG232" s="46"/>
      <c r="BH232" s="46"/>
      <c r="BI232" s="46"/>
      <c r="BJ232" s="196"/>
      <c r="BK232" s="46"/>
      <c r="BL232" s="46"/>
      <c r="BM232" s="46"/>
      <c r="BN232" s="46"/>
      <c r="BO232" s="257"/>
      <c r="BP232" s="196"/>
      <c r="BQ232" s="46"/>
      <c r="BR232" s="257"/>
      <c r="BS232" s="46"/>
      <c r="BT232" s="46"/>
      <c r="BU232" s="257"/>
      <c r="BV232" s="196"/>
      <c r="BW232" s="46"/>
      <c r="BX232" s="46"/>
      <c r="BY232" s="46"/>
      <c r="BZ232" s="46"/>
      <c r="CA232" s="257"/>
      <c r="CB232" s="196"/>
      <c r="CC232" s="46"/>
      <c r="CD232" s="257"/>
      <c r="CE232" s="46"/>
      <c r="CF232" s="46"/>
      <c r="CG232" s="257"/>
      <c r="CH232" s="46"/>
      <c r="CI232" s="46"/>
      <c r="CJ232" s="46"/>
      <c r="CK232" s="46"/>
      <c r="CL232" s="46"/>
      <c r="CM232" s="257"/>
      <c r="CN232" s="46"/>
      <c r="CO232" s="376"/>
      <c r="CP232" s="257"/>
      <c r="CQ232" s="196"/>
      <c r="CR232" s="190"/>
      <c r="CS232" s="257">
        <f t="shared" si="16"/>
        <v>0</v>
      </c>
      <c r="CT232" s="196"/>
      <c r="CV232" s="391">
        <f t="shared" si="17"/>
        <v>0</v>
      </c>
      <c r="CW232" s="41"/>
      <c r="CX232" s="41"/>
      <c r="CY232" s="256"/>
      <c r="CZ232" s="308"/>
      <c r="DA232" s="308"/>
      <c r="DB232" s="420"/>
      <c r="DC232" s="41"/>
      <c r="DD232" s="41"/>
      <c r="DE232" s="256"/>
      <c r="DF232" s="41"/>
      <c r="DG232" s="41"/>
      <c r="DH232" s="391"/>
      <c r="DI232" s="41"/>
      <c r="DJ232" s="41"/>
      <c r="DK232" s="203"/>
      <c r="DL232" s="256"/>
      <c r="DM232" s="41"/>
      <c r="DN232" s="41"/>
      <c r="DO232" s="41"/>
      <c r="DP232" s="420"/>
      <c r="DQ232" s="41"/>
      <c r="DR232" s="41"/>
      <c r="DS232" s="203"/>
      <c r="DT232" s="256"/>
      <c r="DU232" s="46"/>
      <c r="DV232" s="46"/>
      <c r="DW232" s="196"/>
      <c r="DX232" s="391"/>
      <c r="DY232" s="41"/>
      <c r="DZ232" s="41"/>
      <c r="EA232" s="41"/>
      <c r="EB232" s="69"/>
      <c r="EC232" s="41"/>
      <c r="ED232" s="41"/>
      <c r="EE232" s="41"/>
      <c r="EF232" s="420"/>
      <c r="EG232" s="41"/>
      <c r="EH232" s="41"/>
      <c r="EI232" s="41"/>
      <c r="EJ232" s="256"/>
      <c r="EK232" s="41"/>
      <c r="EL232" s="41"/>
      <c r="EM232" s="41"/>
      <c r="EN232" s="391"/>
    </row>
    <row r="233" spans="1:144" ht="25.5">
      <c r="A233" s="45">
        <v>226</v>
      </c>
      <c r="B233" s="53" t="s">
        <v>301</v>
      </c>
      <c r="C233" s="45">
        <v>3</v>
      </c>
      <c r="D233" s="55" t="s">
        <v>292</v>
      </c>
      <c r="E233" s="54">
        <v>15</v>
      </c>
      <c r="F233" s="56">
        <v>7</v>
      </c>
      <c r="G233" s="397">
        <f>58941.288/1000</f>
        <v>58.941288</v>
      </c>
      <c r="H233" s="59">
        <v>0</v>
      </c>
      <c r="I233" s="59">
        <v>58941.288</v>
      </c>
      <c r="J233" s="398">
        <v>147.77682799999999</v>
      </c>
      <c r="K233" s="414">
        <f t="shared" si="18"/>
        <v>206.71811600000001</v>
      </c>
      <c r="L233" s="397"/>
      <c r="M233" s="397"/>
      <c r="N233" s="397">
        <f t="shared" si="15"/>
        <v>206.71811600000001</v>
      </c>
      <c r="O233" s="399">
        <f t="shared" si="19"/>
        <v>0</v>
      </c>
      <c r="P233" s="369" t="s">
        <v>1012</v>
      </c>
      <c r="Q233" s="46"/>
      <c r="R233" s="218"/>
      <c r="S233" s="257"/>
      <c r="T233" s="196"/>
      <c r="U233" s="46"/>
      <c r="V233" s="46"/>
      <c r="W233" s="257"/>
      <c r="X233" s="46"/>
      <c r="Y233" s="46"/>
      <c r="Z233" s="46"/>
      <c r="AA233" s="257"/>
      <c r="AB233" s="196"/>
      <c r="AC233" s="46"/>
      <c r="AD233" s="167"/>
      <c r="AE233" s="257"/>
      <c r="AF233" s="196"/>
      <c r="AG233" s="46"/>
      <c r="AH233" s="46"/>
      <c r="AI233" s="196"/>
      <c r="AJ233" s="400"/>
      <c r="AK233" s="196"/>
      <c r="AL233" s="46"/>
      <c r="AM233" s="218"/>
      <c r="AN233" s="257"/>
      <c r="AO233" s="196"/>
      <c r="AP233" s="46"/>
      <c r="AQ233" s="257"/>
      <c r="AR233" s="196"/>
      <c r="AS233" s="46"/>
      <c r="AT233" s="257"/>
      <c r="AU233" s="196"/>
      <c r="AV233" s="46"/>
      <c r="AW233" s="257"/>
      <c r="AX233" s="196"/>
      <c r="AY233" s="46"/>
      <c r="AZ233" s="257"/>
      <c r="BA233" s="46"/>
      <c r="BB233" s="46"/>
      <c r="BC233" s="46"/>
      <c r="BD233" s="46"/>
      <c r="BE233" s="46"/>
      <c r="BF233" s="257"/>
      <c r="BG233" s="46"/>
      <c r="BH233" s="46"/>
      <c r="BI233" s="46"/>
      <c r="BJ233" s="196"/>
      <c r="BK233" s="46"/>
      <c r="BL233" s="46"/>
      <c r="BM233" s="46"/>
      <c r="BN233" s="46"/>
      <c r="BO233" s="257"/>
      <c r="BP233" s="196"/>
      <c r="BQ233" s="191"/>
      <c r="BR233" s="257"/>
      <c r="BS233" s="46"/>
      <c r="BT233" s="46"/>
      <c r="BU233" s="257"/>
      <c r="BV233" s="196"/>
      <c r="BW233" s="46"/>
      <c r="BX233" s="46"/>
      <c r="BY233" s="46"/>
      <c r="BZ233" s="46"/>
      <c r="CA233" s="257"/>
      <c r="CB233" s="196"/>
      <c r="CC233" s="46"/>
      <c r="CD233" s="257"/>
      <c r="CE233" s="46"/>
      <c r="CF233" s="46"/>
      <c r="CG233" s="257"/>
      <c r="CH233" s="46"/>
      <c r="CI233" s="46"/>
      <c r="CJ233" s="46"/>
      <c r="CK233" s="46"/>
      <c r="CL233" s="46"/>
      <c r="CM233" s="257"/>
      <c r="CN233" s="46"/>
      <c r="CO233" s="376"/>
      <c r="CP233" s="257"/>
      <c r="CQ233" s="218"/>
      <c r="CR233" s="190"/>
      <c r="CS233" s="257">
        <f t="shared" si="16"/>
        <v>0</v>
      </c>
      <c r="CT233" s="196"/>
      <c r="CU233" s="317"/>
      <c r="CV233" s="391">
        <f t="shared" si="17"/>
        <v>0</v>
      </c>
      <c r="CW233" s="41"/>
      <c r="CX233" s="41"/>
      <c r="CY233" s="256"/>
      <c r="CZ233" s="308"/>
      <c r="DA233" s="308"/>
      <c r="DB233" s="420"/>
      <c r="DC233" s="41"/>
      <c r="DD233" s="41"/>
      <c r="DE233" s="256"/>
      <c r="DF233" s="41"/>
      <c r="DG233" s="41"/>
      <c r="DH233" s="391"/>
      <c r="DI233" s="41"/>
      <c r="DJ233" s="41"/>
      <c r="DK233" s="203"/>
      <c r="DL233" s="256"/>
      <c r="DM233" s="41"/>
      <c r="DN233" s="41"/>
      <c r="DO233" s="41"/>
      <c r="DP233" s="420"/>
      <c r="DQ233" s="41"/>
      <c r="DR233" s="41"/>
      <c r="DS233" s="203"/>
      <c r="DT233" s="256"/>
      <c r="DU233" s="46"/>
      <c r="DV233" s="46"/>
      <c r="DW233" s="196"/>
      <c r="DX233" s="391"/>
      <c r="DY233" s="41"/>
      <c r="DZ233" s="41"/>
      <c r="EA233" s="41"/>
      <c r="EB233" s="69"/>
      <c r="EC233" s="41"/>
      <c r="ED233" s="41"/>
      <c r="EE233" s="41"/>
      <c r="EF233" s="420"/>
      <c r="EG233" s="41"/>
      <c r="EH233" s="41"/>
      <c r="EI233" s="41"/>
      <c r="EJ233" s="256"/>
      <c r="EK233" s="41"/>
      <c r="EL233" s="41"/>
      <c r="EM233" s="41"/>
      <c r="EN233" s="391"/>
    </row>
    <row r="234" spans="1:144" ht="25.5">
      <c r="A234" s="45">
        <v>227</v>
      </c>
      <c r="B234" s="53" t="s">
        <v>301</v>
      </c>
      <c r="C234" s="45">
        <v>3</v>
      </c>
      <c r="D234" s="53" t="s">
        <v>541</v>
      </c>
      <c r="E234" s="54">
        <v>1</v>
      </c>
      <c r="F234" s="56">
        <v>7</v>
      </c>
      <c r="G234" s="397">
        <f>60238.08/1000</f>
        <v>60.238080000000004</v>
      </c>
      <c r="H234" s="59">
        <v>0</v>
      </c>
      <c r="I234" s="59">
        <v>60238.080000000002</v>
      </c>
      <c r="J234" s="398">
        <v>216.48223000000002</v>
      </c>
      <c r="K234" s="414">
        <f t="shared" si="18"/>
        <v>276.72031000000004</v>
      </c>
      <c r="L234" s="397"/>
      <c r="M234" s="397"/>
      <c r="N234" s="397">
        <f t="shared" si="15"/>
        <v>276.72031000000004</v>
      </c>
      <c r="O234" s="399">
        <f t="shared" si="19"/>
        <v>239</v>
      </c>
      <c r="P234" s="369" t="s">
        <v>1012</v>
      </c>
      <c r="Q234" s="46"/>
      <c r="R234" s="218"/>
      <c r="S234" s="257"/>
      <c r="T234" s="196"/>
      <c r="U234" s="46"/>
      <c r="V234" s="46"/>
      <c r="W234" s="257"/>
      <c r="X234" s="46"/>
      <c r="Y234" s="46"/>
      <c r="Z234" s="46"/>
      <c r="AA234" s="257"/>
      <c r="AB234" s="196"/>
      <c r="AC234" s="46"/>
      <c r="AD234" s="167"/>
      <c r="AE234" s="257"/>
      <c r="AF234" s="196" t="s">
        <v>228</v>
      </c>
      <c r="AG234" s="46" t="s">
        <v>335</v>
      </c>
      <c r="AH234" s="46">
        <v>30</v>
      </c>
      <c r="AI234" s="196" t="s">
        <v>552</v>
      </c>
      <c r="AJ234" s="400">
        <v>39000</v>
      </c>
      <c r="AK234" s="196"/>
      <c r="AL234" s="46"/>
      <c r="AM234" s="218"/>
      <c r="AN234" s="257"/>
      <c r="AO234" s="196"/>
      <c r="AP234" s="46"/>
      <c r="AQ234" s="257"/>
      <c r="AR234" s="196"/>
      <c r="AS234" s="46"/>
      <c r="AT234" s="257"/>
      <c r="AU234" s="196"/>
      <c r="AV234" s="46"/>
      <c r="AW234" s="257"/>
      <c r="AX234" s="196"/>
      <c r="AY234" s="46"/>
      <c r="AZ234" s="257"/>
      <c r="BA234" s="46"/>
      <c r="BB234" s="46"/>
      <c r="BC234" s="46"/>
      <c r="BD234" s="46"/>
      <c r="BE234" s="46"/>
      <c r="BF234" s="257"/>
      <c r="BG234" s="46"/>
      <c r="BH234" s="46"/>
      <c r="BI234" s="46"/>
      <c r="BJ234" s="196"/>
      <c r="BK234" s="46"/>
      <c r="BL234" s="46"/>
      <c r="BM234" s="46"/>
      <c r="BN234" s="46"/>
      <c r="BO234" s="257"/>
      <c r="BP234" s="196"/>
      <c r="BQ234" s="46"/>
      <c r="BR234" s="257"/>
      <c r="BS234" s="46"/>
      <c r="BT234" s="46"/>
      <c r="BU234" s="257"/>
      <c r="BV234" s="196"/>
      <c r="BW234" s="46"/>
      <c r="BX234" s="46"/>
      <c r="BY234" s="46"/>
      <c r="BZ234" s="46"/>
      <c r="CA234" s="257"/>
      <c r="CB234" s="196"/>
      <c r="CC234" s="46"/>
      <c r="CD234" s="257"/>
      <c r="CE234" s="46"/>
      <c r="CF234" s="46"/>
      <c r="CG234" s="257"/>
      <c r="CH234" s="46"/>
      <c r="CI234" s="46"/>
      <c r="CJ234" s="46"/>
      <c r="CK234" s="46"/>
      <c r="CL234" s="46"/>
      <c r="CM234" s="257"/>
      <c r="CN234" s="46"/>
      <c r="CO234" s="376"/>
      <c r="CP234" s="257"/>
      <c r="CQ234" s="196" t="s">
        <v>249</v>
      </c>
      <c r="CR234" s="190" t="s">
        <v>735</v>
      </c>
      <c r="CS234" s="257">
        <f t="shared" si="16"/>
        <v>200000</v>
      </c>
      <c r="CT234" s="196"/>
      <c r="CU234" s="317"/>
      <c r="CV234" s="391">
        <f t="shared" si="17"/>
        <v>0</v>
      </c>
      <c r="CW234" s="41">
        <v>10</v>
      </c>
      <c r="CX234" s="41">
        <v>8</v>
      </c>
      <c r="CY234" s="256">
        <v>200000</v>
      </c>
      <c r="CZ234" s="308"/>
      <c r="DA234" s="308"/>
      <c r="DB234" s="420"/>
      <c r="DC234" s="41"/>
      <c r="DD234" s="41"/>
      <c r="DE234" s="256"/>
      <c r="DF234" s="41"/>
      <c r="DG234" s="41"/>
      <c r="DH234" s="391"/>
      <c r="DI234" s="41"/>
      <c r="DJ234" s="41"/>
      <c r="DK234" s="203"/>
      <c r="DL234" s="256"/>
      <c r="DM234" s="41"/>
      <c r="DN234" s="41"/>
      <c r="DO234" s="41"/>
      <c r="DP234" s="420"/>
      <c r="DQ234" s="41"/>
      <c r="DR234" s="41"/>
      <c r="DS234" s="203"/>
      <c r="DT234" s="256"/>
      <c r="DU234" s="46"/>
      <c r="DV234" s="46"/>
      <c r="DW234" s="196"/>
      <c r="DX234" s="391"/>
      <c r="DY234" s="41"/>
      <c r="DZ234" s="41"/>
      <c r="EA234" s="41"/>
      <c r="EB234" s="69"/>
      <c r="EC234" s="41"/>
      <c r="ED234" s="41"/>
      <c r="EE234" s="41"/>
      <c r="EF234" s="420"/>
      <c r="EG234" s="41"/>
      <c r="EH234" s="41"/>
      <c r="EI234" s="41"/>
      <c r="EJ234" s="256"/>
      <c r="EK234" s="41"/>
      <c r="EL234" s="41"/>
      <c r="EM234" s="41"/>
      <c r="EN234" s="391"/>
    </row>
    <row r="235" spans="1:144" ht="25.5">
      <c r="A235" s="45">
        <v>228</v>
      </c>
      <c r="B235" s="53" t="s">
        <v>301</v>
      </c>
      <c r="C235" s="45">
        <v>3</v>
      </c>
      <c r="D235" s="53" t="s">
        <v>541</v>
      </c>
      <c r="E235" s="54">
        <v>3</v>
      </c>
      <c r="F235" s="56">
        <v>6</v>
      </c>
      <c r="G235" s="397">
        <f>56781.336/1000</f>
        <v>56.781336000000003</v>
      </c>
      <c r="H235" s="59">
        <v>16059.054</v>
      </c>
      <c r="I235" s="59">
        <v>40722.282000000007</v>
      </c>
      <c r="J235" s="398">
        <v>15.173662000000018</v>
      </c>
      <c r="K235" s="414">
        <f t="shared" si="18"/>
        <v>71.954998000000018</v>
      </c>
      <c r="L235" s="397"/>
      <c r="M235" s="397"/>
      <c r="N235" s="397">
        <f t="shared" si="15"/>
        <v>71.954998000000018</v>
      </c>
      <c r="O235" s="399">
        <f t="shared" si="19"/>
        <v>52</v>
      </c>
      <c r="P235" s="369" t="s">
        <v>1012</v>
      </c>
      <c r="Q235" s="46"/>
      <c r="R235" s="218"/>
      <c r="S235" s="257"/>
      <c r="T235" s="196"/>
      <c r="U235" s="46"/>
      <c r="V235" s="46"/>
      <c r="W235" s="257"/>
      <c r="X235" s="46"/>
      <c r="Y235" s="46"/>
      <c r="Z235" s="46"/>
      <c r="AA235" s="257"/>
      <c r="AB235" s="196"/>
      <c r="AC235" s="46"/>
      <c r="AD235" s="167"/>
      <c r="AE235" s="257"/>
      <c r="AF235" s="196" t="s">
        <v>228</v>
      </c>
      <c r="AG235" s="46" t="s">
        <v>335</v>
      </c>
      <c r="AH235" s="46">
        <v>40</v>
      </c>
      <c r="AI235" s="196" t="s">
        <v>552</v>
      </c>
      <c r="AJ235" s="535">
        <f>AH235*1300</f>
        <v>52000</v>
      </c>
      <c r="AK235" s="196"/>
      <c r="AL235" s="46"/>
      <c r="AM235" s="218"/>
      <c r="AN235" s="257"/>
      <c r="AO235" s="196"/>
      <c r="AP235" s="46"/>
      <c r="AQ235" s="257"/>
      <c r="AR235" s="196"/>
      <c r="AS235" s="46"/>
      <c r="AT235" s="257"/>
      <c r="AU235" s="196"/>
      <c r="AV235" s="46"/>
      <c r="AW235" s="257"/>
      <c r="AX235" s="196"/>
      <c r="AY235" s="46"/>
      <c r="AZ235" s="257"/>
      <c r="BA235" s="46"/>
      <c r="BB235" s="46"/>
      <c r="BC235" s="46"/>
      <c r="BD235" s="46"/>
      <c r="BE235" s="46"/>
      <c r="BF235" s="257"/>
      <c r="BG235" s="46"/>
      <c r="BH235" s="46"/>
      <c r="BI235" s="46"/>
      <c r="BJ235" s="196"/>
      <c r="BK235" s="46"/>
      <c r="BL235" s="46"/>
      <c r="BM235" s="46"/>
      <c r="BN235" s="46"/>
      <c r="BO235" s="257"/>
      <c r="BP235" s="196"/>
      <c r="BQ235" s="46"/>
      <c r="BR235" s="257"/>
      <c r="BS235" s="46"/>
      <c r="BT235" s="46"/>
      <c r="BU235" s="257"/>
      <c r="BV235" s="196"/>
      <c r="BW235" s="46"/>
      <c r="BX235" s="46"/>
      <c r="BY235" s="46"/>
      <c r="BZ235" s="46"/>
      <c r="CA235" s="257"/>
      <c r="CB235" s="196"/>
      <c r="CC235" s="46"/>
      <c r="CD235" s="257"/>
      <c r="CE235" s="46"/>
      <c r="CF235" s="46"/>
      <c r="CG235" s="257"/>
      <c r="CH235" s="46"/>
      <c r="CI235" s="46"/>
      <c r="CJ235" s="46"/>
      <c r="CK235" s="46"/>
      <c r="CL235" s="46"/>
      <c r="CM235" s="257"/>
      <c r="CN235" s="46"/>
      <c r="CO235" s="376"/>
      <c r="CP235" s="257"/>
      <c r="CQ235" s="196"/>
      <c r="CR235" s="191"/>
      <c r="CS235" s="257">
        <f t="shared" si="16"/>
        <v>0</v>
      </c>
      <c r="CT235" s="196"/>
      <c r="CU235" s="317"/>
      <c r="CV235" s="391">
        <f t="shared" si="17"/>
        <v>0</v>
      </c>
      <c r="CW235" s="41"/>
      <c r="CX235" s="41"/>
      <c r="CY235" s="256"/>
      <c r="CZ235" s="308"/>
      <c r="DA235" s="308"/>
      <c r="DB235" s="420"/>
      <c r="DC235" s="41"/>
      <c r="DD235" s="41"/>
      <c r="DE235" s="256"/>
      <c r="DF235" s="41"/>
      <c r="DG235" s="41"/>
      <c r="DH235" s="391"/>
      <c r="DI235" s="41"/>
      <c r="DJ235" s="41"/>
      <c r="DK235" s="203"/>
      <c r="DL235" s="256"/>
      <c r="DM235" s="41"/>
      <c r="DN235" s="41"/>
      <c r="DO235" s="41"/>
      <c r="DP235" s="420"/>
      <c r="DQ235" s="41"/>
      <c r="DR235" s="41"/>
      <c r="DS235" s="203"/>
      <c r="DT235" s="256"/>
      <c r="DU235" s="46"/>
      <c r="DV235" s="46"/>
      <c r="DW235" s="196"/>
      <c r="DX235" s="391"/>
      <c r="DY235" s="41"/>
      <c r="DZ235" s="41"/>
      <c r="EA235" s="41"/>
      <c r="EB235" s="69"/>
      <c r="EC235" s="41"/>
      <c r="ED235" s="41"/>
      <c r="EE235" s="41"/>
      <c r="EF235" s="420"/>
      <c r="EG235" s="41"/>
      <c r="EH235" s="41"/>
      <c r="EI235" s="41"/>
      <c r="EJ235" s="256"/>
      <c r="EK235" s="41"/>
      <c r="EL235" s="41"/>
      <c r="EM235" s="41"/>
      <c r="EN235" s="391"/>
    </row>
    <row r="236" spans="1:144" ht="25.5">
      <c r="A236" s="45">
        <v>229</v>
      </c>
      <c r="B236" s="53" t="s">
        <v>301</v>
      </c>
      <c r="C236" s="45">
        <v>3</v>
      </c>
      <c r="D236" s="53" t="s">
        <v>541</v>
      </c>
      <c r="E236" s="54">
        <v>4</v>
      </c>
      <c r="F236" s="56">
        <v>5</v>
      </c>
      <c r="G236" s="397">
        <f>53072.712/1000</f>
        <v>53.072712000000003</v>
      </c>
      <c r="H236" s="59">
        <v>53072.712000000007</v>
      </c>
      <c r="I236" s="59">
        <v>0</v>
      </c>
      <c r="J236" s="398">
        <v>-30.752370000000003</v>
      </c>
      <c r="K236" s="414">
        <f t="shared" si="18"/>
        <v>22.320342</v>
      </c>
      <c r="L236" s="397"/>
      <c r="M236" s="397"/>
      <c r="N236" s="397">
        <f t="shared" si="15"/>
        <v>22.320342</v>
      </c>
      <c r="O236" s="399">
        <f t="shared" si="19"/>
        <v>22</v>
      </c>
      <c r="P236" s="369" t="s">
        <v>1012</v>
      </c>
      <c r="Q236" s="46"/>
      <c r="R236" s="218"/>
      <c r="S236" s="257"/>
      <c r="T236" s="196"/>
      <c r="U236" s="46"/>
      <c r="V236" s="46"/>
      <c r="W236" s="257"/>
      <c r="X236" s="46"/>
      <c r="Y236" s="46"/>
      <c r="Z236" s="46"/>
      <c r="AA236" s="257"/>
      <c r="AB236" s="196"/>
      <c r="AC236" s="46"/>
      <c r="AD236" s="167"/>
      <c r="AE236" s="257"/>
      <c r="AF236" s="196"/>
      <c r="AG236" s="46"/>
      <c r="AH236" s="46"/>
      <c r="AI236" s="196"/>
      <c r="AJ236" s="535"/>
      <c r="AK236" s="196"/>
      <c r="AL236" s="46"/>
      <c r="AM236" s="218"/>
      <c r="AN236" s="257"/>
      <c r="AO236" s="196"/>
      <c r="AP236" s="46"/>
      <c r="AQ236" s="257"/>
      <c r="AR236" s="196"/>
      <c r="AS236" s="46"/>
      <c r="AT236" s="257"/>
      <c r="AU236" s="196"/>
      <c r="AV236" s="46"/>
      <c r="AW236" s="257"/>
      <c r="AX236" s="196"/>
      <c r="AY236" s="46"/>
      <c r="AZ236" s="257"/>
      <c r="BA236" s="46"/>
      <c r="BB236" s="46"/>
      <c r="BC236" s="46"/>
      <c r="BD236" s="46"/>
      <c r="BE236" s="46"/>
      <c r="BF236" s="257"/>
      <c r="BG236" s="46"/>
      <c r="BH236" s="46"/>
      <c r="BI236" s="46"/>
      <c r="BJ236" s="196"/>
      <c r="BK236" s="46"/>
      <c r="BL236" s="46"/>
      <c r="BM236" s="46"/>
      <c r="BN236" s="46"/>
      <c r="BO236" s="257"/>
      <c r="BP236" s="196"/>
      <c r="BQ236" s="46"/>
      <c r="BR236" s="257"/>
      <c r="BS236" s="46"/>
      <c r="BT236" s="46"/>
      <c r="BU236" s="257"/>
      <c r="BV236" s="196"/>
      <c r="BW236" s="46"/>
      <c r="BX236" s="46"/>
      <c r="BY236" s="46"/>
      <c r="BZ236" s="46"/>
      <c r="CA236" s="257"/>
      <c r="CB236" s="196"/>
      <c r="CC236" s="46"/>
      <c r="CD236" s="257"/>
      <c r="CE236" s="46"/>
      <c r="CF236" s="46"/>
      <c r="CG236" s="257"/>
      <c r="CH236" s="46"/>
      <c r="CI236" s="46"/>
      <c r="CJ236" s="46"/>
      <c r="CK236" s="46"/>
      <c r="CL236" s="46"/>
      <c r="CM236" s="257"/>
      <c r="CN236" s="46"/>
      <c r="CO236" s="376"/>
      <c r="CP236" s="257"/>
      <c r="CQ236" s="196"/>
      <c r="CR236" s="523" t="s">
        <v>554</v>
      </c>
      <c r="CS236" s="257">
        <f>CY236+DE236+DL236+DT236+EB236+EJ236+22000</f>
        <v>22000</v>
      </c>
      <c r="CT236" s="218"/>
      <c r="CU236" s="317"/>
      <c r="CV236" s="391">
        <f t="shared" si="17"/>
        <v>0</v>
      </c>
      <c r="CW236" s="41"/>
      <c r="CX236" s="41"/>
      <c r="CY236" s="256"/>
      <c r="CZ236" s="308"/>
      <c r="DA236" s="308"/>
      <c r="DB236" s="420"/>
      <c r="DC236" s="41"/>
      <c r="DD236" s="41"/>
      <c r="DE236" s="256"/>
      <c r="DF236" s="41"/>
      <c r="DG236" s="41"/>
      <c r="DH236" s="391"/>
      <c r="DI236" s="41"/>
      <c r="DJ236" s="41"/>
      <c r="DK236" s="203"/>
      <c r="DL236" s="256"/>
      <c r="DM236" s="41"/>
      <c r="DN236" s="41"/>
      <c r="DO236" s="41"/>
      <c r="DP236" s="420"/>
      <c r="DQ236" s="41"/>
      <c r="DR236" s="41"/>
      <c r="DS236" s="203"/>
      <c r="DT236" s="256"/>
      <c r="DU236" s="46"/>
      <c r="DV236" s="46"/>
      <c r="DW236" s="196"/>
      <c r="DX236" s="391"/>
      <c r="DY236" s="41"/>
      <c r="DZ236" s="41"/>
      <c r="EA236" s="41"/>
      <c r="EB236" s="69"/>
      <c r="EC236" s="41"/>
      <c r="ED236" s="41"/>
      <c r="EE236" s="41"/>
      <c r="EF236" s="420"/>
      <c r="EG236" s="41"/>
      <c r="EH236" s="41"/>
      <c r="EI236" s="41"/>
      <c r="EJ236" s="256"/>
      <c r="EK236" s="41"/>
      <c r="EL236" s="41"/>
      <c r="EM236" s="41"/>
      <c r="EN236" s="391"/>
    </row>
    <row r="237" spans="1:144" ht="25.5">
      <c r="A237" s="45">
        <v>230</v>
      </c>
      <c r="B237" s="53" t="s">
        <v>301</v>
      </c>
      <c r="C237" s="45">
        <v>3</v>
      </c>
      <c r="D237" s="53" t="s">
        <v>541</v>
      </c>
      <c r="E237" s="54">
        <v>11</v>
      </c>
      <c r="F237" s="56">
        <v>7</v>
      </c>
      <c r="G237" s="397">
        <f>12299.6538/1000</f>
        <v>12.2996538</v>
      </c>
      <c r="H237" s="59">
        <v>0</v>
      </c>
      <c r="I237" s="59">
        <v>12299.653799999998</v>
      </c>
      <c r="J237" s="398">
        <v>73.369479399999975</v>
      </c>
      <c r="K237" s="414">
        <f t="shared" si="18"/>
        <v>85.669133199999976</v>
      </c>
      <c r="L237" s="397"/>
      <c r="M237" s="397"/>
      <c r="N237" s="397">
        <f t="shared" si="15"/>
        <v>85.669133199999976</v>
      </c>
      <c r="O237" s="399">
        <f t="shared" si="19"/>
        <v>79</v>
      </c>
      <c r="P237" s="369" t="s">
        <v>1012</v>
      </c>
      <c r="Q237" s="46"/>
      <c r="R237" s="218"/>
      <c r="S237" s="257"/>
      <c r="T237" s="196"/>
      <c r="U237" s="46"/>
      <c r="V237" s="46"/>
      <c r="W237" s="257"/>
      <c r="X237" s="46"/>
      <c r="Y237" s="46"/>
      <c r="Z237" s="46"/>
      <c r="AA237" s="257"/>
      <c r="AB237" s="196"/>
      <c r="AC237" s="46"/>
      <c r="AD237" s="167"/>
      <c r="AE237" s="257"/>
      <c r="AF237" s="196" t="s">
        <v>228</v>
      </c>
      <c r="AG237" s="46" t="s">
        <v>335</v>
      </c>
      <c r="AH237" s="46">
        <v>30</v>
      </c>
      <c r="AI237" s="196" t="s">
        <v>552</v>
      </c>
      <c r="AJ237" s="535">
        <v>39000</v>
      </c>
      <c r="AK237" s="196"/>
      <c r="AL237" s="46"/>
      <c r="AM237" s="218"/>
      <c r="AN237" s="257"/>
      <c r="AO237" s="196"/>
      <c r="AP237" s="46"/>
      <c r="AQ237" s="257"/>
      <c r="AR237" s="196"/>
      <c r="AS237" s="46"/>
      <c r="AT237" s="257"/>
      <c r="AU237" s="196"/>
      <c r="AV237" s="46"/>
      <c r="AW237" s="257"/>
      <c r="AX237" s="196"/>
      <c r="AY237" s="46"/>
      <c r="AZ237" s="257"/>
      <c r="BA237" s="46"/>
      <c r="BB237" s="46"/>
      <c r="BC237" s="46"/>
      <c r="BD237" s="46"/>
      <c r="BE237" s="46"/>
      <c r="BF237" s="257"/>
      <c r="BG237" s="46"/>
      <c r="BH237" s="46"/>
      <c r="BI237" s="46"/>
      <c r="BJ237" s="196"/>
      <c r="BK237" s="46"/>
      <c r="BL237" s="46"/>
      <c r="BM237" s="46"/>
      <c r="BN237" s="46"/>
      <c r="BO237" s="257"/>
      <c r="BP237" s="196"/>
      <c r="BQ237" s="46"/>
      <c r="BR237" s="257"/>
      <c r="BS237" s="46"/>
      <c r="BT237" s="46"/>
      <c r="BU237" s="257"/>
      <c r="BV237" s="196"/>
      <c r="BW237" s="46"/>
      <c r="BX237" s="46"/>
      <c r="BY237" s="46"/>
      <c r="BZ237" s="46"/>
      <c r="CA237" s="257"/>
      <c r="CB237" s="196"/>
      <c r="CC237" s="46"/>
      <c r="CD237" s="257"/>
      <c r="CE237" s="46"/>
      <c r="CF237" s="46"/>
      <c r="CG237" s="257"/>
      <c r="CH237" s="46"/>
      <c r="CI237" s="46"/>
      <c r="CJ237" s="46"/>
      <c r="CK237" s="46"/>
      <c r="CL237" s="46"/>
      <c r="CM237" s="257"/>
      <c r="CN237" s="46"/>
      <c r="CO237" s="376"/>
      <c r="CP237" s="257"/>
      <c r="CQ237" s="196"/>
      <c r="CR237" s="46" t="s">
        <v>554</v>
      </c>
      <c r="CS237" s="257">
        <f>CY237+DE237+DL237+DT237+EB237+EJ237+40000</f>
        <v>40000</v>
      </c>
      <c r="CT237" s="218"/>
      <c r="CU237" s="317"/>
      <c r="CV237" s="391">
        <f t="shared" si="17"/>
        <v>0</v>
      </c>
      <c r="CW237" s="41"/>
      <c r="CX237" s="41"/>
      <c r="CY237" s="256"/>
      <c r="CZ237" s="308"/>
      <c r="DA237" s="308"/>
      <c r="DB237" s="420"/>
      <c r="DC237" s="41"/>
      <c r="DD237" s="41"/>
      <c r="DE237" s="256"/>
      <c r="DF237" s="41"/>
      <c r="DG237" s="41"/>
      <c r="DH237" s="391"/>
      <c r="DI237" s="41"/>
      <c r="DJ237" s="41"/>
      <c r="DK237" s="203"/>
      <c r="DL237" s="256"/>
      <c r="DM237" s="41"/>
      <c r="DN237" s="41"/>
      <c r="DO237" s="41"/>
      <c r="DP237" s="420"/>
      <c r="DQ237" s="41"/>
      <c r="DR237" s="41"/>
      <c r="DS237" s="203"/>
      <c r="DT237" s="256"/>
      <c r="DU237" s="46"/>
      <c r="DV237" s="46"/>
      <c r="DW237" s="196"/>
      <c r="DX237" s="391"/>
      <c r="DY237" s="41"/>
      <c r="DZ237" s="41"/>
      <c r="EA237" s="41"/>
      <c r="EB237" s="69"/>
      <c r="EC237" s="41"/>
      <c r="ED237" s="41"/>
      <c r="EE237" s="41"/>
      <c r="EF237" s="420"/>
      <c r="EG237" s="41"/>
      <c r="EH237" s="41"/>
      <c r="EI237" s="41"/>
      <c r="EJ237" s="256"/>
      <c r="EK237" s="41"/>
      <c r="EL237" s="41"/>
      <c r="EM237" s="41"/>
      <c r="EN237" s="391"/>
    </row>
    <row r="238" spans="1:144" ht="25.5">
      <c r="A238" s="45">
        <v>231</v>
      </c>
      <c r="B238" s="53" t="s">
        <v>301</v>
      </c>
      <c r="C238" s="45">
        <v>3</v>
      </c>
      <c r="D238" s="53" t="s">
        <v>541</v>
      </c>
      <c r="E238" s="54">
        <v>13</v>
      </c>
      <c r="F238" s="56">
        <v>6</v>
      </c>
      <c r="G238" s="397">
        <f>63762.426/1000</f>
        <v>63.762425999999998</v>
      </c>
      <c r="H238" s="59">
        <v>0</v>
      </c>
      <c r="I238" s="59">
        <v>63762.425999999999</v>
      </c>
      <c r="J238" s="398">
        <v>192.47474199999996</v>
      </c>
      <c r="K238" s="414">
        <f t="shared" si="18"/>
        <v>256.23716799999994</v>
      </c>
      <c r="L238" s="397"/>
      <c r="M238" s="397"/>
      <c r="N238" s="397">
        <f t="shared" si="15"/>
        <v>256.23716799999994</v>
      </c>
      <c r="O238" s="399">
        <f t="shared" si="19"/>
        <v>230</v>
      </c>
      <c r="P238" s="369" t="s">
        <v>1012</v>
      </c>
      <c r="Q238" s="46"/>
      <c r="R238" s="218"/>
      <c r="S238" s="257"/>
      <c r="T238" s="196"/>
      <c r="U238" s="46"/>
      <c r="V238" s="46"/>
      <c r="W238" s="257"/>
      <c r="X238" s="46"/>
      <c r="Y238" s="46"/>
      <c r="Z238" s="46"/>
      <c r="AA238" s="257"/>
      <c r="AB238" s="196"/>
      <c r="AC238" s="46"/>
      <c r="AD238" s="167"/>
      <c r="AE238" s="257"/>
      <c r="AF238" s="196"/>
      <c r="AG238" s="46"/>
      <c r="AH238" s="46"/>
      <c r="AI238" s="196"/>
      <c r="AJ238" s="536"/>
      <c r="AK238" s="196"/>
      <c r="AL238" s="46"/>
      <c r="AM238" s="218"/>
      <c r="AN238" s="257"/>
      <c r="AO238" s="196"/>
      <c r="AP238" s="46"/>
      <c r="AQ238" s="257"/>
      <c r="AR238" s="196"/>
      <c r="AS238" s="46"/>
      <c r="AT238" s="257"/>
      <c r="AU238" s="196"/>
      <c r="AV238" s="46"/>
      <c r="AW238" s="257"/>
      <c r="AX238" s="196"/>
      <c r="AY238" s="46"/>
      <c r="AZ238" s="257"/>
      <c r="BA238" s="46"/>
      <c r="BB238" s="46"/>
      <c r="BC238" s="46"/>
      <c r="BD238" s="46"/>
      <c r="BE238" s="46"/>
      <c r="BF238" s="257"/>
      <c r="BG238" s="46"/>
      <c r="BH238" s="46"/>
      <c r="BI238" s="46"/>
      <c r="BJ238" s="196"/>
      <c r="BK238" s="46"/>
      <c r="BL238" s="46"/>
      <c r="BM238" s="46"/>
      <c r="BN238" s="46"/>
      <c r="BO238" s="257"/>
      <c r="BP238" s="196" t="s">
        <v>250</v>
      </c>
      <c r="BQ238" s="46">
        <v>200</v>
      </c>
      <c r="BR238" s="257">
        <v>200000</v>
      </c>
      <c r="BS238" s="46"/>
      <c r="BT238" s="46"/>
      <c r="BU238" s="257"/>
      <c r="BV238" s="196"/>
      <c r="BW238" s="46"/>
      <c r="BX238" s="46"/>
      <c r="BY238" s="46"/>
      <c r="BZ238" s="46"/>
      <c r="CA238" s="257"/>
      <c r="CB238" s="196"/>
      <c r="CC238" s="46"/>
      <c r="CD238" s="257"/>
      <c r="CE238" s="46"/>
      <c r="CF238" s="46"/>
      <c r="CG238" s="257"/>
      <c r="CH238" s="46"/>
      <c r="CI238" s="46"/>
      <c r="CJ238" s="46"/>
      <c r="CK238" s="46"/>
      <c r="CL238" s="46"/>
      <c r="CM238" s="257"/>
      <c r="CN238" s="46"/>
      <c r="CO238" s="376"/>
      <c r="CP238" s="257"/>
      <c r="CQ238" s="196" t="s">
        <v>248</v>
      </c>
      <c r="CR238" s="190" t="s">
        <v>740</v>
      </c>
      <c r="CS238" s="257">
        <f t="shared" si="16"/>
        <v>30000</v>
      </c>
      <c r="CT238" s="218"/>
      <c r="CU238" s="317"/>
      <c r="CV238" s="391">
        <f t="shared" si="17"/>
        <v>0</v>
      </c>
      <c r="CW238" s="41"/>
      <c r="CX238" s="41"/>
      <c r="CY238" s="256"/>
      <c r="CZ238" s="308"/>
      <c r="DA238" s="308"/>
      <c r="DB238" s="420"/>
      <c r="DC238" s="41"/>
      <c r="DD238" s="41"/>
      <c r="DE238" s="256"/>
      <c r="DF238" s="41"/>
      <c r="DG238" s="41"/>
      <c r="DH238" s="391"/>
      <c r="DI238" s="41">
        <v>8</v>
      </c>
      <c r="DJ238" s="41">
        <v>2</v>
      </c>
      <c r="DK238" s="203" t="s">
        <v>560</v>
      </c>
      <c r="DL238" s="256">
        <v>30000</v>
      </c>
      <c r="DM238" s="41"/>
      <c r="DN238" s="41"/>
      <c r="DO238" s="41"/>
      <c r="DP238" s="420"/>
      <c r="DQ238" s="41"/>
      <c r="DR238" s="41"/>
      <c r="DS238" s="203"/>
      <c r="DT238" s="256"/>
      <c r="DU238" s="46"/>
      <c r="DV238" s="46"/>
      <c r="DW238" s="196"/>
      <c r="DX238" s="391"/>
      <c r="DY238" s="41"/>
      <c r="DZ238" s="41"/>
      <c r="EA238" s="41"/>
      <c r="EB238" s="69"/>
      <c r="EC238" s="41"/>
      <c r="ED238" s="41"/>
      <c r="EE238" s="41"/>
      <c r="EF238" s="420"/>
      <c r="EG238" s="41"/>
      <c r="EH238" s="41"/>
      <c r="EI238" s="41"/>
      <c r="EJ238" s="256"/>
      <c r="EK238" s="41"/>
      <c r="EL238" s="41"/>
      <c r="EM238" s="41"/>
      <c r="EN238" s="391"/>
    </row>
    <row r="239" spans="1:144" ht="25.5">
      <c r="A239" s="45">
        <v>232</v>
      </c>
      <c r="B239" s="53" t="s">
        <v>301</v>
      </c>
      <c r="C239" s="45">
        <v>3</v>
      </c>
      <c r="D239" s="53" t="s">
        <v>541</v>
      </c>
      <c r="E239" s="54">
        <v>14</v>
      </c>
      <c r="F239" s="56">
        <v>6</v>
      </c>
      <c r="G239" s="397">
        <f>67627.5912/1000</f>
        <v>67.627591199999998</v>
      </c>
      <c r="H239" s="59">
        <v>19126.621800000001</v>
      </c>
      <c r="I239" s="59">
        <v>48500.969400000002</v>
      </c>
      <c r="J239" s="398">
        <v>203.49306139999999</v>
      </c>
      <c r="K239" s="414">
        <f t="shared" si="18"/>
        <v>271.12065259999997</v>
      </c>
      <c r="L239" s="397"/>
      <c r="M239" s="397"/>
      <c r="N239" s="397">
        <f t="shared" si="15"/>
        <v>271.12065259999997</v>
      </c>
      <c r="O239" s="399">
        <f t="shared" si="19"/>
        <v>170</v>
      </c>
      <c r="P239" s="369" t="s">
        <v>1012</v>
      </c>
      <c r="Q239" s="46"/>
      <c r="R239" s="218"/>
      <c r="S239" s="257"/>
      <c r="T239" s="196"/>
      <c r="U239" s="46"/>
      <c r="V239" s="46"/>
      <c r="W239" s="257"/>
      <c r="X239" s="46"/>
      <c r="Y239" s="46"/>
      <c r="Z239" s="46"/>
      <c r="AA239" s="257"/>
      <c r="AB239" s="196"/>
      <c r="AC239" s="46"/>
      <c r="AD239" s="167"/>
      <c r="AE239" s="257"/>
      <c r="AF239" s="196"/>
      <c r="AG239" s="46"/>
      <c r="AH239" s="46"/>
      <c r="AI239" s="196"/>
      <c r="AJ239" s="400"/>
      <c r="AK239" s="196"/>
      <c r="AL239" s="46"/>
      <c r="AM239" s="218"/>
      <c r="AN239" s="257"/>
      <c r="AO239" s="196"/>
      <c r="AP239" s="46"/>
      <c r="AQ239" s="257"/>
      <c r="AR239" s="196"/>
      <c r="AS239" s="46"/>
      <c r="AT239" s="257"/>
      <c r="AU239" s="196" t="s">
        <v>228</v>
      </c>
      <c r="AV239" s="46">
        <v>40</v>
      </c>
      <c r="AW239" s="257">
        <f>AV239*3000</f>
        <v>120000</v>
      </c>
      <c r="AX239" s="196"/>
      <c r="AY239" s="46"/>
      <c r="AZ239" s="257"/>
      <c r="BA239" s="46"/>
      <c r="BB239" s="46"/>
      <c r="BC239" s="46"/>
      <c r="BD239" s="46"/>
      <c r="BE239" s="46"/>
      <c r="BF239" s="257"/>
      <c r="BG239" s="46"/>
      <c r="BH239" s="46"/>
      <c r="BI239" s="46"/>
      <c r="BJ239" s="196"/>
      <c r="BK239" s="46"/>
      <c r="BL239" s="46"/>
      <c r="BM239" s="46"/>
      <c r="BN239" s="46"/>
      <c r="BO239" s="257"/>
      <c r="BP239" s="196"/>
      <c r="BQ239" s="46"/>
      <c r="BR239" s="257"/>
      <c r="BS239" s="46"/>
      <c r="BT239" s="46"/>
      <c r="BU239" s="257"/>
      <c r="BV239" s="196"/>
      <c r="BW239" s="46"/>
      <c r="BX239" s="46"/>
      <c r="BY239" s="46"/>
      <c r="BZ239" s="46"/>
      <c r="CA239" s="257"/>
      <c r="CB239" s="196"/>
      <c r="CC239" s="46"/>
      <c r="CD239" s="257"/>
      <c r="CE239" s="46"/>
      <c r="CF239" s="46"/>
      <c r="CG239" s="257"/>
      <c r="CH239" s="46"/>
      <c r="CI239" s="46"/>
      <c r="CJ239" s="46"/>
      <c r="CK239" s="46"/>
      <c r="CL239" s="46"/>
      <c r="CM239" s="257"/>
      <c r="CN239" s="46"/>
      <c r="CO239" s="376"/>
      <c r="CP239" s="257"/>
      <c r="CQ239" s="196"/>
      <c r="CR239" s="191" t="s">
        <v>554</v>
      </c>
      <c r="CS239" s="257">
        <f>CY239+DE239+DL239+DT239+EB239+EJ239+50000</f>
        <v>50000</v>
      </c>
      <c r="CT239" s="196"/>
      <c r="CU239" s="317"/>
      <c r="CV239" s="391">
        <f t="shared" si="17"/>
        <v>0</v>
      </c>
      <c r="CW239" s="41"/>
      <c r="CX239" s="41"/>
      <c r="CY239" s="256"/>
      <c r="CZ239" s="308"/>
      <c r="DA239" s="308"/>
      <c r="DB239" s="420"/>
      <c r="DC239" s="41"/>
      <c r="DD239" s="41"/>
      <c r="DE239" s="256"/>
      <c r="DF239" s="41"/>
      <c r="DG239" s="41"/>
      <c r="DH239" s="391"/>
      <c r="DI239" s="41"/>
      <c r="DJ239" s="41"/>
      <c r="DK239" s="203"/>
      <c r="DL239" s="256"/>
      <c r="DM239" s="41"/>
      <c r="DN239" s="41"/>
      <c r="DO239" s="41"/>
      <c r="DP239" s="420"/>
      <c r="DQ239" s="41"/>
      <c r="DR239" s="41"/>
      <c r="DS239" s="203"/>
      <c r="DT239" s="256"/>
      <c r="DU239" s="46"/>
      <c r="DV239" s="46"/>
      <c r="DW239" s="196"/>
      <c r="DX239" s="391"/>
      <c r="DY239" s="41"/>
      <c r="DZ239" s="41"/>
      <c r="EA239" s="41"/>
      <c r="EB239" s="69"/>
      <c r="EC239" s="41"/>
      <c r="ED239" s="41"/>
      <c r="EE239" s="41"/>
      <c r="EF239" s="420"/>
      <c r="EG239" s="41"/>
      <c r="EH239" s="41"/>
      <c r="EI239" s="41"/>
      <c r="EJ239" s="256"/>
      <c r="EK239" s="41"/>
      <c r="EL239" s="41"/>
      <c r="EM239" s="41"/>
      <c r="EN239" s="391"/>
    </row>
    <row r="240" spans="1:144" ht="25.5">
      <c r="A240" s="45">
        <v>233</v>
      </c>
      <c r="B240" s="53" t="s">
        <v>301</v>
      </c>
      <c r="C240" s="45">
        <v>3</v>
      </c>
      <c r="D240" s="53" t="s">
        <v>293</v>
      </c>
      <c r="E240" s="54">
        <v>18</v>
      </c>
      <c r="F240" s="56">
        <v>7</v>
      </c>
      <c r="G240" s="397">
        <f>62706.168/1000</f>
        <v>62.706167999999998</v>
      </c>
      <c r="H240" s="59">
        <v>0</v>
      </c>
      <c r="I240" s="59">
        <v>62706.168000000005</v>
      </c>
      <c r="J240" s="398">
        <v>19.514508000000006</v>
      </c>
      <c r="K240" s="414">
        <f t="shared" si="18"/>
        <v>82.220675999999997</v>
      </c>
      <c r="L240" s="397"/>
      <c r="M240" s="397"/>
      <c r="N240" s="397">
        <f t="shared" si="15"/>
        <v>82.220675999999997</v>
      </c>
      <c r="O240" s="399">
        <f t="shared" si="19"/>
        <v>0</v>
      </c>
      <c r="P240" s="369"/>
      <c r="Q240" s="46"/>
      <c r="R240" s="218"/>
      <c r="S240" s="257"/>
      <c r="T240" s="196"/>
      <c r="U240" s="46"/>
      <c r="V240" s="46"/>
      <c r="W240" s="257"/>
      <c r="X240" s="46"/>
      <c r="Y240" s="46"/>
      <c r="Z240" s="46"/>
      <c r="AA240" s="257"/>
      <c r="AB240" s="196"/>
      <c r="AC240" s="46"/>
      <c r="AD240" s="167"/>
      <c r="AE240" s="257"/>
      <c r="AF240" s="196"/>
      <c r="AG240" s="46"/>
      <c r="AH240" s="46"/>
      <c r="AI240" s="196"/>
      <c r="AJ240" s="400"/>
      <c r="AK240" s="196"/>
      <c r="AL240" s="46"/>
      <c r="AM240" s="218"/>
      <c r="AN240" s="257"/>
      <c r="AO240" s="196"/>
      <c r="AP240" s="46"/>
      <c r="AQ240" s="257"/>
      <c r="AR240" s="196"/>
      <c r="AS240" s="46"/>
      <c r="AT240" s="257"/>
      <c r="AU240" s="196"/>
      <c r="AV240" s="46"/>
      <c r="AW240" s="257"/>
      <c r="AX240" s="196"/>
      <c r="AY240" s="46"/>
      <c r="AZ240" s="257"/>
      <c r="BA240" s="46"/>
      <c r="BB240" s="46"/>
      <c r="BC240" s="46"/>
      <c r="BD240" s="46"/>
      <c r="BE240" s="46"/>
      <c r="BF240" s="257"/>
      <c r="BG240" s="46"/>
      <c r="BH240" s="46"/>
      <c r="BI240" s="46"/>
      <c r="BJ240" s="196"/>
      <c r="BK240" s="46"/>
      <c r="BL240" s="46"/>
      <c r="BM240" s="46"/>
      <c r="BN240" s="46"/>
      <c r="BO240" s="257"/>
      <c r="BP240" s="196"/>
      <c r="BQ240" s="191"/>
      <c r="BR240" s="257"/>
      <c r="BS240" s="46"/>
      <c r="BT240" s="46"/>
      <c r="BU240" s="257"/>
      <c r="BV240" s="196"/>
      <c r="BW240" s="46"/>
      <c r="BX240" s="46"/>
      <c r="BY240" s="46"/>
      <c r="BZ240" s="46"/>
      <c r="CA240" s="257"/>
      <c r="CB240" s="196"/>
      <c r="CC240" s="46"/>
      <c r="CD240" s="257"/>
      <c r="CE240" s="46"/>
      <c r="CF240" s="46"/>
      <c r="CG240" s="257"/>
      <c r="CH240" s="46"/>
      <c r="CI240" s="46"/>
      <c r="CJ240" s="46"/>
      <c r="CK240" s="46"/>
      <c r="CL240" s="46"/>
      <c r="CM240" s="257"/>
      <c r="CN240" s="46"/>
      <c r="CO240" s="376"/>
      <c r="CP240" s="257"/>
      <c r="CQ240" s="196"/>
      <c r="CR240" s="191"/>
      <c r="CS240" s="257">
        <f t="shared" si="16"/>
        <v>0</v>
      </c>
      <c r="CT240" s="196"/>
      <c r="CU240" s="317"/>
      <c r="CV240" s="391">
        <f t="shared" si="17"/>
        <v>0</v>
      </c>
      <c r="CW240" s="41"/>
      <c r="CX240" s="41"/>
      <c r="CY240" s="256"/>
      <c r="CZ240" s="308"/>
      <c r="DA240" s="308"/>
      <c r="DB240" s="420"/>
      <c r="DC240" s="41"/>
      <c r="DD240" s="41"/>
      <c r="DE240" s="256"/>
      <c r="DF240" s="41"/>
      <c r="DG240" s="41"/>
      <c r="DH240" s="391"/>
      <c r="DI240" s="41"/>
      <c r="DJ240" s="41"/>
      <c r="DK240" s="203"/>
      <c r="DL240" s="256"/>
      <c r="DM240" s="41"/>
      <c r="DN240" s="41"/>
      <c r="DO240" s="41"/>
      <c r="DP240" s="420"/>
      <c r="DQ240" s="41"/>
      <c r="DR240" s="41"/>
      <c r="DS240" s="203"/>
      <c r="DT240" s="256"/>
      <c r="DU240" s="46"/>
      <c r="DV240" s="46"/>
      <c r="DW240" s="196"/>
      <c r="DX240" s="391"/>
      <c r="DY240" s="41"/>
      <c r="DZ240" s="41"/>
      <c r="EA240" s="41"/>
      <c r="EB240" s="69"/>
      <c r="EC240" s="41"/>
      <c r="ED240" s="41"/>
      <c r="EE240" s="41"/>
      <c r="EF240" s="420"/>
      <c r="EG240" s="41"/>
      <c r="EH240" s="41"/>
      <c r="EI240" s="41"/>
      <c r="EJ240" s="256"/>
      <c r="EK240" s="41"/>
      <c r="EL240" s="41"/>
      <c r="EM240" s="41"/>
      <c r="EN240" s="391"/>
    </row>
    <row r="241" spans="1:144" ht="25.5">
      <c r="A241" s="45">
        <v>234</v>
      </c>
      <c r="B241" s="53" t="s">
        <v>301</v>
      </c>
      <c r="C241" s="45">
        <v>3</v>
      </c>
      <c r="D241" s="53" t="s">
        <v>293</v>
      </c>
      <c r="E241" s="54">
        <v>20</v>
      </c>
      <c r="F241" s="56">
        <v>7</v>
      </c>
      <c r="G241" s="397">
        <f>60719.148/1000</f>
        <v>60.719148000000004</v>
      </c>
      <c r="H241" s="59">
        <v>0</v>
      </c>
      <c r="I241" s="59">
        <v>60719.148000000001</v>
      </c>
      <c r="J241" s="398">
        <v>78.360128000000003</v>
      </c>
      <c r="K241" s="414">
        <f t="shared" si="18"/>
        <v>139.07927599999999</v>
      </c>
      <c r="L241" s="397"/>
      <c r="M241" s="397"/>
      <c r="N241" s="397">
        <f t="shared" si="15"/>
        <v>139.07927599999999</v>
      </c>
      <c r="O241" s="399">
        <f t="shared" si="19"/>
        <v>0</v>
      </c>
      <c r="P241" s="369"/>
      <c r="Q241" s="46"/>
      <c r="R241" s="218"/>
      <c r="S241" s="257"/>
      <c r="T241" s="196"/>
      <c r="U241" s="46"/>
      <c r="V241" s="46"/>
      <c r="W241" s="257"/>
      <c r="X241" s="46"/>
      <c r="Y241" s="46"/>
      <c r="Z241" s="46"/>
      <c r="AA241" s="257"/>
      <c r="AB241" s="196"/>
      <c r="AC241" s="46"/>
      <c r="AD241" s="167"/>
      <c r="AE241" s="257"/>
      <c r="AF241" s="196"/>
      <c r="AG241" s="46"/>
      <c r="AH241" s="46"/>
      <c r="AI241" s="196"/>
      <c r="AJ241" s="400"/>
      <c r="AK241" s="196"/>
      <c r="AL241" s="46"/>
      <c r="AM241" s="218"/>
      <c r="AN241" s="257"/>
      <c r="AO241" s="196"/>
      <c r="AP241" s="46"/>
      <c r="AQ241" s="257"/>
      <c r="AR241" s="196"/>
      <c r="AS241" s="46"/>
      <c r="AT241" s="257"/>
      <c r="AU241" s="196"/>
      <c r="AV241" s="46"/>
      <c r="AW241" s="257"/>
      <c r="AX241" s="196"/>
      <c r="AY241" s="46"/>
      <c r="AZ241" s="257"/>
      <c r="BA241" s="46"/>
      <c r="BB241" s="46"/>
      <c r="BC241" s="46"/>
      <c r="BD241" s="46"/>
      <c r="BE241" s="46"/>
      <c r="BF241" s="257"/>
      <c r="BG241" s="46"/>
      <c r="BH241" s="46"/>
      <c r="BI241" s="46"/>
      <c r="BJ241" s="196"/>
      <c r="BK241" s="46"/>
      <c r="BL241" s="46"/>
      <c r="BM241" s="46"/>
      <c r="BN241" s="46"/>
      <c r="BO241" s="257"/>
      <c r="BP241" s="196"/>
      <c r="BQ241" s="191"/>
      <c r="BR241" s="257"/>
      <c r="BS241" s="46"/>
      <c r="BT241" s="46"/>
      <c r="BU241" s="257"/>
      <c r="BV241" s="196"/>
      <c r="BW241" s="46"/>
      <c r="BX241" s="46"/>
      <c r="BY241" s="46"/>
      <c r="BZ241" s="46"/>
      <c r="CA241" s="257"/>
      <c r="CB241" s="196"/>
      <c r="CC241" s="46"/>
      <c r="CD241" s="257"/>
      <c r="CE241" s="46"/>
      <c r="CF241" s="46"/>
      <c r="CG241" s="257"/>
      <c r="CH241" s="46"/>
      <c r="CI241" s="46"/>
      <c r="CJ241" s="46"/>
      <c r="CK241" s="46"/>
      <c r="CL241" s="46"/>
      <c r="CM241" s="257"/>
      <c r="CN241" s="46"/>
      <c r="CO241" s="376"/>
      <c r="CP241" s="257"/>
      <c r="CQ241" s="196"/>
      <c r="CR241" s="191"/>
      <c r="CS241" s="257">
        <f t="shared" si="16"/>
        <v>0</v>
      </c>
      <c r="CT241" s="196"/>
      <c r="CU241" s="317"/>
      <c r="CV241" s="391">
        <f t="shared" si="17"/>
        <v>0</v>
      </c>
      <c r="CW241" s="41"/>
      <c r="CX241" s="41"/>
      <c r="CY241" s="256"/>
      <c r="CZ241" s="308"/>
      <c r="DA241" s="308"/>
      <c r="DB241" s="420"/>
      <c r="DC241" s="41"/>
      <c r="DD241" s="41"/>
      <c r="DE241" s="256"/>
      <c r="DF241" s="41"/>
      <c r="DG241" s="41"/>
      <c r="DH241" s="391"/>
      <c r="DI241" s="41"/>
      <c r="DJ241" s="41"/>
      <c r="DK241" s="203"/>
      <c r="DL241" s="256"/>
      <c r="DM241" s="41"/>
      <c r="DN241" s="41"/>
      <c r="DO241" s="41"/>
      <c r="DP241" s="420"/>
      <c r="DQ241" s="41"/>
      <c r="DR241" s="41"/>
      <c r="DS241" s="203"/>
      <c r="DT241" s="256"/>
      <c r="DU241" s="46"/>
      <c r="DV241" s="46"/>
      <c r="DW241" s="196"/>
      <c r="DX241" s="391"/>
      <c r="DY241" s="41"/>
      <c r="DZ241" s="41"/>
      <c r="EA241" s="41"/>
      <c r="EB241" s="69"/>
      <c r="EC241" s="41"/>
      <c r="ED241" s="41"/>
      <c r="EE241" s="41"/>
      <c r="EF241" s="420"/>
      <c r="EG241" s="41"/>
      <c r="EH241" s="41"/>
      <c r="EI241" s="41"/>
      <c r="EJ241" s="256"/>
      <c r="EK241" s="41"/>
      <c r="EL241" s="41"/>
      <c r="EM241" s="41"/>
      <c r="EN241" s="391"/>
    </row>
    <row r="242" spans="1:144" ht="25.5">
      <c r="A242" s="45">
        <v>235</v>
      </c>
      <c r="B242" s="53" t="s">
        <v>301</v>
      </c>
      <c r="C242" s="45">
        <v>3</v>
      </c>
      <c r="D242" s="53" t="s">
        <v>295</v>
      </c>
      <c r="E242" s="54">
        <v>3</v>
      </c>
      <c r="F242" s="56">
        <v>5</v>
      </c>
      <c r="G242" s="397">
        <f>212216.004/1000</f>
        <v>212.216004</v>
      </c>
      <c r="H242" s="59">
        <v>212216.00400000002</v>
      </c>
      <c r="I242" s="59">
        <v>0</v>
      </c>
      <c r="J242" s="398">
        <v>-307.23325400000004</v>
      </c>
      <c r="K242" s="414">
        <f t="shared" si="18"/>
        <v>-95.017250000000047</v>
      </c>
      <c r="L242" s="397"/>
      <c r="M242" s="397"/>
      <c r="N242" s="397">
        <f t="shared" si="15"/>
        <v>-95.017250000000047</v>
      </c>
      <c r="O242" s="399">
        <f t="shared" si="19"/>
        <v>0</v>
      </c>
      <c r="P242" s="369"/>
      <c r="Q242" s="46"/>
      <c r="R242" s="218"/>
      <c r="S242" s="257"/>
      <c r="T242" s="196"/>
      <c r="U242" s="46"/>
      <c r="V242" s="46"/>
      <c r="W242" s="257"/>
      <c r="X242" s="46"/>
      <c r="Y242" s="46"/>
      <c r="Z242" s="46"/>
      <c r="AA242" s="257"/>
      <c r="AB242" s="196"/>
      <c r="AC242" s="46"/>
      <c r="AD242" s="167"/>
      <c r="AE242" s="257"/>
      <c r="AF242" s="196"/>
      <c r="AG242" s="46"/>
      <c r="AH242" s="46"/>
      <c r="AI242" s="196"/>
      <c r="AJ242" s="400"/>
      <c r="AK242" s="196"/>
      <c r="AL242" s="46"/>
      <c r="AM242" s="218"/>
      <c r="AN242" s="257"/>
      <c r="AO242" s="196"/>
      <c r="AP242" s="46"/>
      <c r="AQ242" s="257"/>
      <c r="AR242" s="196"/>
      <c r="AS242" s="46"/>
      <c r="AT242" s="257"/>
      <c r="AU242" s="196"/>
      <c r="AV242" s="46"/>
      <c r="AW242" s="257"/>
      <c r="AX242" s="196"/>
      <c r="AY242" s="46"/>
      <c r="AZ242" s="257"/>
      <c r="BA242" s="46"/>
      <c r="BB242" s="46"/>
      <c r="BC242" s="46"/>
      <c r="BD242" s="46"/>
      <c r="BE242" s="46"/>
      <c r="BF242" s="257"/>
      <c r="BG242" s="46"/>
      <c r="BH242" s="46"/>
      <c r="BI242" s="46"/>
      <c r="BJ242" s="196"/>
      <c r="BK242" s="46"/>
      <c r="BL242" s="46"/>
      <c r="BM242" s="46"/>
      <c r="BN242" s="46"/>
      <c r="BO242" s="257"/>
      <c r="BP242" s="196"/>
      <c r="BQ242" s="46"/>
      <c r="BR242" s="257"/>
      <c r="BS242" s="46"/>
      <c r="BT242" s="46"/>
      <c r="BU242" s="257"/>
      <c r="BV242" s="196"/>
      <c r="BW242" s="46"/>
      <c r="BX242" s="46"/>
      <c r="BY242" s="46"/>
      <c r="BZ242" s="46"/>
      <c r="CA242" s="257"/>
      <c r="CB242" s="196"/>
      <c r="CC242" s="46"/>
      <c r="CD242" s="257"/>
      <c r="CE242" s="46"/>
      <c r="CF242" s="46"/>
      <c r="CG242" s="257"/>
      <c r="CH242" s="46"/>
      <c r="CI242" s="46"/>
      <c r="CJ242" s="46"/>
      <c r="CK242" s="46"/>
      <c r="CL242" s="46"/>
      <c r="CM242" s="257"/>
      <c r="CN242" s="46"/>
      <c r="CO242" s="376"/>
      <c r="CP242" s="257"/>
      <c r="CQ242" s="196"/>
      <c r="CR242" s="523"/>
      <c r="CS242" s="257">
        <f t="shared" si="16"/>
        <v>0</v>
      </c>
      <c r="CT242" s="218"/>
      <c r="CU242" s="317"/>
      <c r="CV242" s="391">
        <f t="shared" si="17"/>
        <v>0</v>
      </c>
      <c r="CW242" s="41"/>
      <c r="CX242" s="41"/>
      <c r="CY242" s="256"/>
      <c r="CZ242" s="308"/>
      <c r="DA242" s="308"/>
      <c r="DB242" s="420"/>
      <c r="DC242" s="41"/>
      <c r="DD242" s="41"/>
      <c r="DE242" s="256"/>
      <c r="DF242" s="41"/>
      <c r="DG242" s="41"/>
      <c r="DH242" s="391"/>
      <c r="DI242" s="41"/>
      <c r="DJ242" s="41"/>
      <c r="DK242" s="203"/>
      <c r="DL242" s="256"/>
      <c r="DM242" s="41"/>
      <c r="DN242" s="41"/>
      <c r="DO242" s="41"/>
      <c r="DP242" s="420"/>
      <c r="DQ242" s="41"/>
      <c r="DR242" s="41"/>
      <c r="DS242" s="203"/>
      <c r="DT242" s="256"/>
      <c r="DU242" s="46"/>
      <c r="DV242" s="46"/>
      <c r="DW242" s="196"/>
      <c r="DX242" s="391"/>
      <c r="DY242" s="41"/>
      <c r="DZ242" s="41"/>
      <c r="EA242" s="41"/>
      <c r="EB242" s="69"/>
      <c r="EC242" s="41"/>
      <c r="ED242" s="41"/>
      <c r="EE242" s="41"/>
      <c r="EF242" s="420"/>
      <c r="EG242" s="41"/>
      <c r="EH242" s="41"/>
      <c r="EI242" s="41"/>
      <c r="EJ242" s="256"/>
      <c r="EK242" s="41"/>
      <c r="EL242" s="41"/>
      <c r="EM242" s="41"/>
      <c r="EN242" s="391"/>
    </row>
    <row r="243" spans="1:144" ht="45">
      <c r="A243" s="45">
        <v>236</v>
      </c>
      <c r="B243" s="53" t="s">
        <v>301</v>
      </c>
      <c r="C243" s="45">
        <v>3</v>
      </c>
      <c r="D243" s="53" t="s">
        <v>295</v>
      </c>
      <c r="E243" s="54">
        <v>4</v>
      </c>
      <c r="F243" s="56">
        <v>5</v>
      </c>
      <c r="G243" s="397">
        <f>210361.536/1000</f>
        <v>210.361536</v>
      </c>
      <c r="H243" s="59">
        <v>210361.53599999996</v>
      </c>
      <c r="I243" s="59">
        <v>0</v>
      </c>
      <c r="J243" s="398">
        <v>561.0752</v>
      </c>
      <c r="K243" s="414">
        <f t="shared" si="18"/>
        <v>771.436736</v>
      </c>
      <c r="L243" s="397"/>
      <c r="M243" s="397"/>
      <c r="N243" s="397">
        <f t="shared" si="15"/>
        <v>771.436736</v>
      </c>
      <c r="O243" s="399">
        <f t="shared" si="19"/>
        <v>350</v>
      </c>
      <c r="P243" s="369" t="s">
        <v>254</v>
      </c>
      <c r="Q243" s="46">
        <v>2</v>
      </c>
      <c r="R243" s="218" t="s">
        <v>775</v>
      </c>
      <c r="S243" s="257">
        <f>2*70000+2*25000</f>
        <v>190000</v>
      </c>
      <c r="T243" s="196"/>
      <c r="U243" s="46"/>
      <c r="V243" s="46"/>
      <c r="W243" s="257"/>
      <c r="X243" s="46"/>
      <c r="Y243" s="46"/>
      <c r="Z243" s="46"/>
      <c r="AA243" s="257"/>
      <c r="AB243" s="196"/>
      <c r="AC243" s="46"/>
      <c r="AD243" s="167"/>
      <c r="AE243" s="257"/>
      <c r="AF243" s="196"/>
      <c r="AG243" s="46"/>
      <c r="AH243" s="46"/>
      <c r="AI243" s="196"/>
      <c r="AJ243" s="400"/>
      <c r="AK243" s="196"/>
      <c r="AL243" s="46"/>
      <c r="AM243" s="218"/>
      <c r="AN243" s="257"/>
      <c r="AO243" s="248" t="s">
        <v>250</v>
      </c>
      <c r="AP243" s="46">
        <v>20</v>
      </c>
      <c r="AQ243" s="257">
        <f>AP243*2500</f>
        <v>50000</v>
      </c>
      <c r="AR243" s="248"/>
      <c r="AS243" s="46"/>
      <c r="AT243" s="257"/>
      <c r="AU243" s="196"/>
      <c r="AV243" s="46"/>
      <c r="AW243" s="257"/>
      <c r="AX243" s="196"/>
      <c r="AY243" s="46"/>
      <c r="AZ243" s="257"/>
      <c r="BA243" s="46"/>
      <c r="BB243" s="46"/>
      <c r="BC243" s="46"/>
      <c r="BD243" s="46">
        <v>8</v>
      </c>
      <c r="BE243" s="46">
        <v>20</v>
      </c>
      <c r="BF243" s="257">
        <v>50000</v>
      </c>
      <c r="BG243" s="46"/>
      <c r="BH243" s="46"/>
      <c r="BI243" s="46"/>
      <c r="BJ243" s="196"/>
      <c r="BK243" s="46"/>
      <c r="BL243" s="46"/>
      <c r="BM243" s="46"/>
      <c r="BN243" s="46"/>
      <c r="BO243" s="257"/>
      <c r="BP243" s="248"/>
      <c r="BQ243" s="191"/>
      <c r="BR243" s="257"/>
      <c r="BS243" s="46"/>
      <c r="BT243" s="46"/>
      <c r="BU243" s="257"/>
      <c r="BV243" s="196"/>
      <c r="BW243" s="46"/>
      <c r="BX243" s="257"/>
      <c r="BY243" s="46"/>
      <c r="BZ243" s="46"/>
      <c r="CA243" s="257"/>
      <c r="CB243" s="196"/>
      <c r="CC243" s="46"/>
      <c r="CD243" s="257"/>
      <c r="CE243" s="46"/>
      <c r="CF243" s="46"/>
      <c r="CG243" s="257"/>
      <c r="CH243" s="46"/>
      <c r="CI243" s="46"/>
      <c r="CJ243" s="46"/>
      <c r="CK243" s="46"/>
      <c r="CL243" s="46"/>
      <c r="CM243" s="257"/>
      <c r="CN243" s="46">
        <v>8</v>
      </c>
      <c r="CO243" s="376" t="s">
        <v>726</v>
      </c>
      <c r="CP243" s="257">
        <v>60000</v>
      </c>
      <c r="CQ243" s="196"/>
      <c r="CR243" s="286"/>
      <c r="CS243" s="257">
        <f t="shared" si="16"/>
        <v>0</v>
      </c>
      <c r="CT243" s="218"/>
      <c r="CU243" s="317"/>
      <c r="CV243" s="391">
        <f t="shared" si="17"/>
        <v>0</v>
      </c>
      <c r="CW243" s="41"/>
      <c r="CX243" s="41"/>
      <c r="CY243" s="256"/>
      <c r="CZ243" s="308"/>
      <c r="DA243" s="308"/>
      <c r="DB243" s="420"/>
      <c r="DC243" s="41"/>
      <c r="DD243" s="41"/>
      <c r="DE243" s="256"/>
      <c r="DF243" s="41"/>
      <c r="DG243" s="41"/>
      <c r="DH243" s="391"/>
      <c r="DI243" s="41"/>
      <c r="DJ243" s="41"/>
      <c r="DK243" s="203"/>
      <c r="DL243" s="256"/>
      <c r="DM243" s="41"/>
      <c r="DN243" s="41"/>
      <c r="DO243" s="41"/>
      <c r="DP243" s="420"/>
      <c r="DQ243" s="41"/>
      <c r="DR243" s="41"/>
      <c r="DS243" s="203"/>
      <c r="DT243" s="256"/>
      <c r="DU243" s="46"/>
      <c r="DV243" s="46"/>
      <c r="DW243" s="196"/>
      <c r="DX243" s="391"/>
      <c r="DY243" s="41"/>
      <c r="DZ243" s="41"/>
      <c r="EA243" s="41"/>
      <c r="EB243" s="69"/>
      <c r="EC243" s="41"/>
      <c r="ED243" s="41"/>
      <c r="EE243" s="41"/>
      <c r="EF243" s="420"/>
      <c r="EG243" s="41"/>
      <c r="EH243" s="41"/>
      <c r="EI243" s="41"/>
      <c r="EJ243" s="256"/>
      <c r="EK243" s="41"/>
      <c r="EL243" s="41"/>
      <c r="EM243" s="41"/>
      <c r="EN243" s="391"/>
    </row>
    <row r="244" spans="1:144" ht="25.5">
      <c r="A244" s="45">
        <v>237</v>
      </c>
      <c r="B244" s="53" t="s">
        <v>301</v>
      </c>
      <c r="C244" s="45">
        <v>3</v>
      </c>
      <c r="D244" s="53" t="s">
        <v>741</v>
      </c>
      <c r="E244" s="54">
        <v>1</v>
      </c>
      <c r="F244" s="56">
        <v>7</v>
      </c>
      <c r="G244" s="397">
        <f>77460.3144/1000</f>
        <v>77.460314400000001</v>
      </c>
      <c r="H244" s="59">
        <v>0</v>
      </c>
      <c r="I244" s="59">
        <v>77460.314399999988</v>
      </c>
      <c r="J244" s="398">
        <v>199.76846039999998</v>
      </c>
      <c r="K244" s="414">
        <f t="shared" si="18"/>
        <v>277.2287748</v>
      </c>
      <c r="L244" s="397"/>
      <c r="M244" s="397"/>
      <c r="N244" s="397">
        <f t="shared" si="15"/>
        <v>277.2287748</v>
      </c>
      <c r="O244" s="399">
        <f t="shared" si="19"/>
        <v>277</v>
      </c>
      <c r="P244" s="369" t="s">
        <v>1012</v>
      </c>
      <c r="Q244" s="46"/>
      <c r="R244" s="218"/>
      <c r="S244" s="257"/>
      <c r="T244" s="196"/>
      <c r="U244" s="46"/>
      <c r="V244" s="46"/>
      <c r="W244" s="257"/>
      <c r="X244" s="46"/>
      <c r="Y244" s="46"/>
      <c r="Z244" s="46"/>
      <c r="AA244" s="257"/>
      <c r="AB244" s="196"/>
      <c r="AC244" s="46"/>
      <c r="AD244" s="167"/>
      <c r="AE244" s="257"/>
      <c r="AF244" s="196"/>
      <c r="AG244" s="46"/>
      <c r="AH244" s="46"/>
      <c r="AI244" s="196"/>
      <c r="AJ244" s="400"/>
      <c r="AK244" s="196"/>
      <c r="AL244" s="46"/>
      <c r="AM244" s="218"/>
      <c r="AN244" s="257"/>
      <c r="AO244" s="196"/>
      <c r="AP244" s="46"/>
      <c r="AQ244" s="257"/>
      <c r="AR244" s="196"/>
      <c r="AS244" s="46"/>
      <c r="AT244" s="257"/>
      <c r="AU244" s="196"/>
      <c r="AV244" s="46"/>
      <c r="AW244" s="257"/>
      <c r="AX244" s="196"/>
      <c r="AY244" s="46"/>
      <c r="AZ244" s="257"/>
      <c r="BA244" s="46"/>
      <c r="BB244" s="46"/>
      <c r="BC244" s="46"/>
      <c r="BD244" s="46"/>
      <c r="BE244" s="46"/>
      <c r="BF244" s="257"/>
      <c r="BG244" s="46"/>
      <c r="BH244" s="46"/>
      <c r="BI244" s="46"/>
      <c r="BJ244" s="196"/>
      <c r="BK244" s="46"/>
      <c r="BL244" s="46"/>
      <c r="BM244" s="46"/>
      <c r="BN244" s="46"/>
      <c r="BO244" s="257"/>
      <c r="BP244" s="196"/>
      <c r="BQ244" s="191"/>
      <c r="BR244" s="257"/>
      <c r="BS244" s="46"/>
      <c r="BT244" s="46"/>
      <c r="BU244" s="257"/>
      <c r="BV244" s="196"/>
      <c r="BW244" s="46"/>
      <c r="BX244" s="257"/>
      <c r="BY244" s="46"/>
      <c r="BZ244" s="46"/>
      <c r="CA244" s="257"/>
      <c r="CB244" s="196"/>
      <c r="CC244" s="46"/>
      <c r="CD244" s="257"/>
      <c r="CE244" s="46"/>
      <c r="CF244" s="46"/>
      <c r="CG244" s="257"/>
      <c r="CH244" s="46"/>
      <c r="CI244" s="46"/>
      <c r="CJ244" s="46"/>
      <c r="CK244" s="46"/>
      <c r="CL244" s="46"/>
      <c r="CM244" s="257"/>
      <c r="CN244" s="46"/>
      <c r="CO244" s="376"/>
      <c r="CP244" s="257"/>
      <c r="CQ244" s="196"/>
      <c r="CR244" s="190" t="s">
        <v>554</v>
      </c>
      <c r="CS244" s="257">
        <f>CY244+DE244+DL244+DT244+EB244+EJ244+277000</f>
        <v>277000</v>
      </c>
      <c r="CT244" s="196"/>
      <c r="CU244" s="317"/>
      <c r="CV244" s="391">
        <f t="shared" si="17"/>
        <v>0</v>
      </c>
      <c r="CW244" s="41"/>
      <c r="CX244" s="41"/>
      <c r="CY244" s="256"/>
      <c r="CZ244" s="308"/>
      <c r="DA244" s="308"/>
      <c r="DB244" s="420"/>
      <c r="DC244" s="41"/>
      <c r="DD244" s="41"/>
      <c r="DE244" s="256"/>
      <c r="DF244" s="41"/>
      <c r="DG244" s="41"/>
      <c r="DH244" s="391"/>
      <c r="DI244" s="41"/>
      <c r="DJ244" s="41"/>
      <c r="DK244" s="203"/>
      <c r="DL244" s="256"/>
      <c r="DM244" s="41"/>
      <c r="DN244" s="41"/>
      <c r="DO244" s="41"/>
      <c r="DP244" s="420"/>
      <c r="DQ244" s="41"/>
      <c r="DR244" s="41"/>
      <c r="DS244" s="203"/>
      <c r="DT244" s="256"/>
      <c r="DU244" s="46"/>
      <c r="DV244" s="46"/>
      <c r="DW244" s="196"/>
      <c r="DX244" s="391"/>
      <c r="DY244" s="41"/>
      <c r="DZ244" s="41"/>
      <c r="EA244" s="41"/>
      <c r="EB244" s="69"/>
      <c r="EC244" s="41"/>
      <c r="ED244" s="41"/>
      <c r="EE244" s="41"/>
      <c r="EF244" s="420"/>
      <c r="EG244" s="41"/>
      <c r="EH244" s="41"/>
      <c r="EI244" s="41"/>
      <c r="EJ244" s="256"/>
      <c r="EK244" s="41"/>
      <c r="EL244" s="41"/>
      <c r="EM244" s="41"/>
      <c r="EN244" s="391"/>
    </row>
    <row r="245" spans="1:144" ht="25.5">
      <c r="A245" s="45">
        <v>238</v>
      </c>
      <c r="B245" s="53" t="s">
        <v>301</v>
      </c>
      <c r="C245" s="45">
        <v>3</v>
      </c>
      <c r="D245" s="53" t="s">
        <v>741</v>
      </c>
      <c r="E245" s="54">
        <v>2</v>
      </c>
      <c r="F245" s="56">
        <v>7</v>
      </c>
      <c r="G245" s="397">
        <f>55490.148/1000</f>
        <v>55.490147999999998</v>
      </c>
      <c r="H245" s="59">
        <v>0</v>
      </c>
      <c r="I245" s="59">
        <v>55490.148000000001</v>
      </c>
      <c r="J245" s="398">
        <v>195.15713999999997</v>
      </c>
      <c r="K245" s="414">
        <f t="shared" si="18"/>
        <v>250.64728799999997</v>
      </c>
      <c r="L245" s="397"/>
      <c r="M245" s="397"/>
      <c r="N245" s="397">
        <f t="shared" si="15"/>
        <v>250.64728799999997</v>
      </c>
      <c r="O245" s="399">
        <f t="shared" si="19"/>
        <v>250</v>
      </c>
      <c r="P245" s="369" t="s">
        <v>1012</v>
      </c>
      <c r="Q245" s="46"/>
      <c r="R245" s="218"/>
      <c r="S245" s="257"/>
      <c r="T245" s="196"/>
      <c r="U245" s="46"/>
      <c r="V245" s="46"/>
      <c r="W245" s="257"/>
      <c r="X245" s="46"/>
      <c r="Y245" s="46"/>
      <c r="Z245" s="46"/>
      <c r="AA245" s="257"/>
      <c r="AB245" s="196"/>
      <c r="AC245" s="46"/>
      <c r="AD245" s="167"/>
      <c r="AE245" s="257"/>
      <c r="AF245" s="196"/>
      <c r="AG245" s="46"/>
      <c r="AH245" s="46"/>
      <c r="AI245" s="196"/>
      <c r="AJ245" s="400"/>
      <c r="AK245" s="196"/>
      <c r="AL245" s="46"/>
      <c r="AM245" s="218"/>
      <c r="AN245" s="257"/>
      <c r="AO245" s="196"/>
      <c r="AP245" s="46"/>
      <c r="AQ245" s="257"/>
      <c r="AR245" s="196"/>
      <c r="AS245" s="46"/>
      <c r="AT245" s="257"/>
      <c r="AU245" s="196"/>
      <c r="AV245" s="46"/>
      <c r="AW245" s="257"/>
      <c r="AX245" s="196"/>
      <c r="AY245" s="46"/>
      <c r="AZ245" s="257"/>
      <c r="BA245" s="46"/>
      <c r="BB245" s="46"/>
      <c r="BC245" s="46"/>
      <c r="BD245" s="46"/>
      <c r="BE245" s="46"/>
      <c r="BF245" s="257"/>
      <c r="BG245" s="46"/>
      <c r="BH245" s="46"/>
      <c r="BI245" s="46"/>
      <c r="BJ245" s="196"/>
      <c r="BK245" s="46"/>
      <c r="BL245" s="46"/>
      <c r="BM245" s="46"/>
      <c r="BN245" s="46"/>
      <c r="BO245" s="257"/>
      <c r="BP245" s="196"/>
      <c r="BQ245" s="191"/>
      <c r="BR245" s="257"/>
      <c r="BS245" s="46"/>
      <c r="BT245" s="46"/>
      <c r="BU245" s="257"/>
      <c r="BV245" s="196"/>
      <c r="BW245" s="46"/>
      <c r="BX245" s="46"/>
      <c r="BY245" s="46"/>
      <c r="BZ245" s="46"/>
      <c r="CA245" s="257"/>
      <c r="CB245" s="196"/>
      <c r="CC245" s="46"/>
      <c r="CD245" s="257"/>
      <c r="CE245" s="46"/>
      <c r="CF245" s="46"/>
      <c r="CG245" s="257"/>
      <c r="CH245" s="46"/>
      <c r="CI245" s="46"/>
      <c r="CJ245" s="46"/>
      <c r="CK245" s="46"/>
      <c r="CL245" s="46"/>
      <c r="CM245" s="257"/>
      <c r="CN245" s="46"/>
      <c r="CO245" s="376"/>
      <c r="CP245" s="257"/>
      <c r="CQ245" s="196"/>
      <c r="CR245" s="190" t="s">
        <v>554</v>
      </c>
      <c r="CS245" s="257">
        <f>CY245+DE245+DL245+DT245+EB245+EJ245+250000</f>
        <v>250000</v>
      </c>
      <c r="CT245" s="196"/>
      <c r="CU245" s="317"/>
      <c r="CV245" s="391">
        <f t="shared" si="17"/>
        <v>0</v>
      </c>
      <c r="CW245" s="41"/>
      <c r="CX245" s="41"/>
      <c r="CY245" s="256"/>
      <c r="CZ245" s="308"/>
      <c r="DA245" s="308"/>
      <c r="DB245" s="420"/>
      <c r="DC245" s="41"/>
      <c r="DD245" s="41"/>
      <c r="DE245" s="256"/>
      <c r="DF245" s="41"/>
      <c r="DG245" s="41"/>
      <c r="DH245" s="391"/>
      <c r="DI245" s="41"/>
      <c r="DJ245" s="41"/>
      <c r="DK245" s="203"/>
      <c r="DL245" s="256"/>
      <c r="DM245" s="41"/>
      <c r="DN245" s="41"/>
      <c r="DO245" s="41"/>
      <c r="DP245" s="420"/>
      <c r="DQ245" s="41"/>
      <c r="DR245" s="41"/>
      <c r="DS245" s="203"/>
      <c r="DT245" s="256"/>
      <c r="DU245" s="46"/>
      <c r="DV245" s="46"/>
      <c r="DW245" s="196"/>
      <c r="DX245" s="391"/>
      <c r="DY245" s="41"/>
      <c r="DZ245" s="41"/>
      <c r="EA245" s="41"/>
      <c r="EB245" s="69"/>
      <c r="EC245" s="41"/>
      <c r="ED245" s="41"/>
      <c r="EE245" s="41"/>
      <c r="EF245" s="420"/>
      <c r="EG245" s="41"/>
      <c r="EH245" s="41"/>
      <c r="EI245" s="41"/>
      <c r="EJ245" s="256"/>
      <c r="EK245" s="41"/>
      <c r="EL245" s="41"/>
      <c r="EM245" s="41"/>
      <c r="EN245" s="391"/>
    </row>
    <row r="246" spans="1:144" ht="25.5">
      <c r="A246" s="45">
        <v>239</v>
      </c>
      <c r="B246" s="53" t="s">
        <v>301</v>
      </c>
      <c r="C246" s="45">
        <v>3</v>
      </c>
      <c r="D246" s="53" t="s">
        <v>741</v>
      </c>
      <c r="E246" s="54">
        <v>3</v>
      </c>
      <c r="F246" s="56">
        <v>7</v>
      </c>
      <c r="G246" s="397">
        <f>78079.428/1000</f>
        <v>78.079427999999993</v>
      </c>
      <c r="H246" s="59">
        <v>0</v>
      </c>
      <c r="I246" s="59">
        <v>78079.428000000014</v>
      </c>
      <c r="J246" s="398">
        <v>267.27471800000001</v>
      </c>
      <c r="K246" s="414">
        <f t="shared" si="18"/>
        <v>345.35414600000001</v>
      </c>
      <c r="L246" s="397"/>
      <c r="M246" s="397"/>
      <c r="N246" s="397">
        <f t="shared" ref="N246:N261" si="20">K246-L246</f>
        <v>345.35414600000001</v>
      </c>
      <c r="O246" s="399">
        <f t="shared" si="19"/>
        <v>345</v>
      </c>
      <c r="P246" s="369" t="s">
        <v>1012</v>
      </c>
      <c r="Q246" s="46"/>
      <c r="R246" s="218"/>
      <c r="S246" s="257"/>
      <c r="T246" s="196"/>
      <c r="U246" s="46"/>
      <c r="V246" s="46"/>
      <c r="W246" s="257"/>
      <c r="X246" s="46"/>
      <c r="Y246" s="46"/>
      <c r="Z246" s="46"/>
      <c r="AA246" s="257"/>
      <c r="AB246" s="196"/>
      <c r="AC246" s="46"/>
      <c r="AD246" s="167"/>
      <c r="AE246" s="257"/>
      <c r="AF246" s="196"/>
      <c r="AG246" s="46"/>
      <c r="AH246" s="46"/>
      <c r="AI246" s="196"/>
      <c r="AJ246" s="400"/>
      <c r="AK246" s="196"/>
      <c r="AL246" s="46"/>
      <c r="AM246" s="218"/>
      <c r="AN246" s="257"/>
      <c r="AO246" s="196"/>
      <c r="AP246" s="46"/>
      <c r="AQ246" s="257"/>
      <c r="AR246" s="196"/>
      <c r="AS246" s="46"/>
      <c r="AT246" s="257"/>
      <c r="AU246" s="196"/>
      <c r="AV246" s="46"/>
      <c r="AW246" s="257"/>
      <c r="AX246" s="196"/>
      <c r="AY246" s="46"/>
      <c r="AZ246" s="257"/>
      <c r="BA246" s="46"/>
      <c r="BB246" s="46"/>
      <c r="BC246" s="46"/>
      <c r="BD246" s="46"/>
      <c r="BE246" s="46"/>
      <c r="BF246" s="257"/>
      <c r="BG246" s="46"/>
      <c r="BH246" s="46"/>
      <c r="BI246" s="46"/>
      <c r="BJ246" s="196"/>
      <c r="BK246" s="46"/>
      <c r="BL246" s="46"/>
      <c r="BM246" s="46"/>
      <c r="BN246" s="46"/>
      <c r="BO246" s="257"/>
      <c r="BP246" s="196"/>
      <c r="BQ246" s="191"/>
      <c r="BR246" s="257"/>
      <c r="BS246" s="46"/>
      <c r="BT246" s="46"/>
      <c r="BU246" s="257"/>
      <c r="BV246" s="196"/>
      <c r="BW246" s="46"/>
      <c r="BX246" s="46"/>
      <c r="BY246" s="46"/>
      <c r="BZ246" s="46"/>
      <c r="CA246" s="257"/>
      <c r="CB246" s="196"/>
      <c r="CC246" s="46"/>
      <c r="CD246" s="257"/>
      <c r="CE246" s="46"/>
      <c r="CF246" s="46"/>
      <c r="CG246" s="257"/>
      <c r="CH246" s="46"/>
      <c r="CI246" s="46"/>
      <c r="CJ246" s="46"/>
      <c r="CK246" s="46"/>
      <c r="CL246" s="46"/>
      <c r="CM246" s="257"/>
      <c r="CN246" s="46"/>
      <c r="CO246" s="376"/>
      <c r="CP246" s="257"/>
      <c r="CQ246" s="196"/>
      <c r="CR246" s="190" t="s">
        <v>554</v>
      </c>
      <c r="CS246" s="257">
        <f>CY246+DE246+DL246+DT246+EB246+EJ246+345000</f>
        <v>345000</v>
      </c>
      <c r="CT246" s="196"/>
      <c r="CU246" s="317"/>
      <c r="CV246" s="391">
        <f t="shared" si="17"/>
        <v>0</v>
      </c>
      <c r="CW246" s="41"/>
      <c r="CX246" s="41"/>
      <c r="CY246" s="256"/>
      <c r="CZ246" s="308"/>
      <c r="DA246" s="308"/>
      <c r="DB246" s="420"/>
      <c r="DC246" s="41"/>
      <c r="DD246" s="41"/>
      <c r="DE246" s="256"/>
      <c r="DF246" s="41"/>
      <c r="DG246" s="41"/>
      <c r="DH246" s="391"/>
      <c r="DI246" s="41"/>
      <c r="DJ246" s="41"/>
      <c r="DK246" s="203"/>
      <c r="DL246" s="256"/>
      <c r="DM246" s="41"/>
      <c r="DN246" s="41"/>
      <c r="DO246" s="41"/>
      <c r="DP246" s="420"/>
      <c r="DQ246" s="41"/>
      <c r="DR246" s="41"/>
      <c r="DS246" s="203"/>
      <c r="DT246" s="256"/>
      <c r="DU246" s="46"/>
      <c r="DV246" s="46"/>
      <c r="DW246" s="196"/>
      <c r="DX246" s="391"/>
      <c r="DY246" s="41"/>
      <c r="DZ246" s="41"/>
      <c r="EA246" s="41"/>
      <c r="EB246" s="69"/>
      <c r="EC246" s="41"/>
      <c r="ED246" s="41"/>
      <c r="EE246" s="41"/>
      <c r="EF246" s="420"/>
      <c r="EG246" s="41"/>
      <c r="EH246" s="41"/>
      <c r="EI246" s="41"/>
      <c r="EJ246" s="256"/>
      <c r="EK246" s="41"/>
      <c r="EL246" s="41"/>
      <c r="EM246" s="41"/>
      <c r="EN246" s="391"/>
    </row>
    <row r="247" spans="1:144" ht="25.5">
      <c r="A247" s="45">
        <v>240</v>
      </c>
      <c r="B247" s="53" t="s">
        <v>301</v>
      </c>
      <c r="C247" s="45">
        <v>3</v>
      </c>
      <c r="D247" s="53" t="s">
        <v>741</v>
      </c>
      <c r="E247" s="54">
        <v>4</v>
      </c>
      <c r="F247" s="56">
        <v>7</v>
      </c>
      <c r="G247" s="397">
        <f>55354.194/1000</f>
        <v>55.354194</v>
      </c>
      <c r="H247" s="59">
        <v>0</v>
      </c>
      <c r="I247" s="59">
        <v>55354.194000000003</v>
      </c>
      <c r="J247" s="398">
        <v>215.46611999999999</v>
      </c>
      <c r="K247" s="414">
        <f t="shared" si="18"/>
        <v>270.820314</v>
      </c>
      <c r="L247" s="397"/>
      <c r="M247" s="397"/>
      <c r="N247" s="397">
        <f t="shared" si="20"/>
        <v>270.820314</v>
      </c>
      <c r="O247" s="399">
        <f t="shared" si="19"/>
        <v>270</v>
      </c>
      <c r="P247" s="369" t="s">
        <v>1012</v>
      </c>
      <c r="Q247" s="46"/>
      <c r="R247" s="218"/>
      <c r="S247" s="257"/>
      <c r="T247" s="196"/>
      <c r="U247" s="46"/>
      <c r="V247" s="46"/>
      <c r="W247" s="257"/>
      <c r="X247" s="46"/>
      <c r="Y247" s="46"/>
      <c r="Z247" s="46"/>
      <c r="AA247" s="257"/>
      <c r="AB247" s="196"/>
      <c r="AC247" s="46"/>
      <c r="AD247" s="167"/>
      <c r="AE247" s="257"/>
      <c r="AF247" s="196"/>
      <c r="AG247" s="46"/>
      <c r="AH247" s="46"/>
      <c r="AI247" s="196"/>
      <c r="AJ247" s="400"/>
      <c r="AK247" s="196"/>
      <c r="AL247" s="46"/>
      <c r="AM247" s="218"/>
      <c r="AN247" s="257"/>
      <c r="AO247" s="196"/>
      <c r="AP247" s="46"/>
      <c r="AQ247" s="257"/>
      <c r="AR247" s="196"/>
      <c r="AS247" s="46"/>
      <c r="AT247" s="257"/>
      <c r="AU247" s="196"/>
      <c r="AV247" s="46"/>
      <c r="AW247" s="257"/>
      <c r="AX247" s="196"/>
      <c r="AY247" s="46"/>
      <c r="AZ247" s="257"/>
      <c r="BA247" s="46"/>
      <c r="BB247" s="46"/>
      <c r="BC247" s="46"/>
      <c r="BD247" s="46"/>
      <c r="BE247" s="46"/>
      <c r="BF247" s="257"/>
      <c r="BG247" s="46"/>
      <c r="BH247" s="46"/>
      <c r="BI247" s="46"/>
      <c r="BJ247" s="196"/>
      <c r="BK247" s="46"/>
      <c r="BL247" s="46"/>
      <c r="BM247" s="46"/>
      <c r="BN247" s="46"/>
      <c r="BO247" s="257"/>
      <c r="BP247" s="196"/>
      <c r="BQ247" s="191"/>
      <c r="BR247" s="257"/>
      <c r="BS247" s="46"/>
      <c r="BT247" s="46"/>
      <c r="BU247" s="257"/>
      <c r="BV247" s="196"/>
      <c r="BW247" s="46"/>
      <c r="BX247" s="46"/>
      <c r="BY247" s="46"/>
      <c r="BZ247" s="46"/>
      <c r="CA247" s="257"/>
      <c r="CB247" s="196"/>
      <c r="CC247" s="46"/>
      <c r="CD247" s="257"/>
      <c r="CE247" s="46"/>
      <c r="CF247" s="46"/>
      <c r="CG247" s="257"/>
      <c r="CH247" s="46"/>
      <c r="CI247" s="46"/>
      <c r="CJ247" s="46"/>
      <c r="CK247" s="46"/>
      <c r="CL247" s="46"/>
      <c r="CM247" s="257"/>
      <c r="CN247" s="46"/>
      <c r="CO247" s="376"/>
      <c r="CP247" s="257"/>
      <c r="CQ247" s="196"/>
      <c r="CR247" s="190" t="s">
        <v>554</v>
      </c>
      <c r="CS247" s="257">
        <f>CY247+DE247+DL247+DT247+EB247+EJ247+270000</f>
        <v>270000</v>
      </c>
      <c r="CT247" s="196"/>
      <c r="CU247" s="317"/>
      <c r="CV247" s="391">
        <f t="shared" si="17"/>
        <v>0</v>
      </c>
      <c r="CW247" s="41"/>
      <c r="CX247" s="41"/>
      <c r="CY247" s="256"/>
      <c r="CZ247" s="308"/>
      <c r="DA247" s="308"/>
      <c r="DB247" s="420"/>
      <c r="DC247" s="41"/>
      <c r="DD247" s="41"/>
      <c r="DE247" s="256"/>
      <c r="DF247" s="41"/>
      <c r="DG247" s="41"/>
      <c r="DH247" s="391"/>
      <c r="DI247" s="41"/>
      <c r="DJ247" s="41"/>
      <c r="DK247" s="203"/>
      <c r="DL247" s="256"/>
      <c r="DM247" s="41"/>
      <c r="DN247" s="41"/>
      <c r="DO247" s="41"/>
      <c r="DP247" s="420"/>
      <c r="DQ247" s="41"/>
      <c r="DR247" s="41"/>
      <c r="DS247" s="203"/>
      <c r="DT247" s="256"/>
      <c r="DU247" s="46"/>
      <c r="DV247" s="46"/>
      <c r="DW247" s="196"/>
      <c r="DX247" s="391"/>
      <c r="DY247" s="41"/>
      <c r="DZ247" s="41"/>
      <c r="EA247" s="41"/>
      <c r="EB247" s="69"/>
      <c r="EC247" s="41"/>
      <c r="ED247" s="41"/>
      <c r="EE247" s="41"/>
      <c r="EF247" s="420"/>
      <c r="EG247" s="41"/>
      <c r="EH247" s="41"/>
      <c r="EI247" s="41"/>
      <c r="EJ247" s="256"/>
      <c r="EK247" s="41"/>
      <c r="EL247" s="41"/>
      <c r="EM247" s="41"/>
      <c r="EN247" s="391"/>
    </row>
    <row r="248" spans="1:144" ht="25.5">
      <c r="A248" s="45">
        <v>241</v>
      </c>
      <c r="B248" s="53" t="s">
        <v>301</v>
      </c>
      <c r="C248" s="45">
        <v>3</v>
      </c>
      <c r="D248" s="53" t="s">
        <v>741</v>
      </c>
      <c r="E248" s="54">
        <v>5</v>
      </c>
      <c r="F248" s="56">
        <v>7</v>
      </c>
      <c r="G248" s="397">
        <f>79524.7236/1000</f>
        <v>79.524723600000002</v>
      </c>
      <c r="H248" s="59">
        <v>0</v>
      </c>
      <c r="I248" s="59">
        <v>79524.723599999998</v>
      </c>
      <c r="J248" s="398">
        <v>148.23084399999999</v>
      </c>
      <c r="K248" s="414">
        <f t="shared" si="18"/>
        <v>227.75556760000001</v>
      </c>
      <c r="L248" s="397"/>
      <c r="M248" s="397"/>
      <c r="N248" s="397">
        <f t="shared" si="20"/>
        <v>227.75556760000001</v>
      </c>
      <c r="O248" s="399">
        <f t="shared" si="19"/>
        <v>220</v>
      </c>
      <c r="P248" s="369" t="s">
        <v>1012</v>
      </c>
      <c r="Q248" s="46"/>
      <c r="R248" s="218"/>
      <c r="S248" s="257"/>
      <c r="T248" s="196"/>
      <c r="U248" s="46"/>
      <c r="V248" s="46"/>
      <c r="W248" s="257"/>
      <c r="X248" s="46"/>
      <c r="Y248" s="46"/>
      <c r="Z248" s="46"/>
      <c r="AA248" s="257"/>
      <c r="AB248" s="196"/>
      <c r="AC248" s="46"/>
      <c r="AD248" s="167"/>
      <c r="AE248" s="257"/>
      <c r="AF248" s="196"/>
      <c r="AG248" s="46"/>
      <c r="AH248" s="46"/>
      <c r="AI248" s="196"/>
      <c r="AJ248" s="400"/>
      <c r="AK248" s="196"/>
      <c r="AL248" s="46"/>
      <c r="AM248" s="218"/>
      <c r="AN248" s="257"/>
      <c r="AO248" s="196"/>
      <c r="AP248" s="46"/>
      <c r="AQ248" s="257"/>
      <c r="AR248" s="196"/>
      <c r="AS248" s="46"/>
      <c r="AT248" s="257"/>
      <c r="AU248" s="196"/>
      <c r="AV248" s="46"/>
      <c r="AW248" s="257"/>
      <c r="AX248" s="196"/>
      <c r="AY248" s="46"/>
      <c r="AZ248" s="257"/>
      <c r="BA248" s="46"/>
      <c r="BB248" s="46"/>
      <c r="BC248" s="46"/>
      <c r="BD248" s="46"/>
      <c r="BE248" s="46"/>
      <c r="BF248" s="257"/>
      <c r="BG248" s="46"/>
      <c r="BH248" s="46"/>
      <c r="BI248" s="46"/>
      <c r="BJ248" s="196"/>
      <c r="BK248" s="46"/>
      <c r="BL248" s="46"/>
      <c r="BM248" s="46"/>
      <c r="BN248" s="46"/>
      <c r="BO248" s="257"/>
      <c r="BP248" s="196"/>
      <c r="BQ248" s="191"/>
      <c r="BR248" s="257"/>
      <c r="BS248" s="46"/>
      <c r="BT248" s="46"/>
      <c r="BU248" s="257"/>
      <c r="BV248" s="196"/>
      <c r="BW248" s="46"/>
      <c r="BX248" s="46"/>
      <c r="BY248" s="46"/>
      <c r="BZ248" s="46"/>
      <c r="CA248" s="257"/>
      <c r="CB248" s="196"/>
      <c r="CC248" s="46"/>
      <c r="CD248" s="257"/>
      <c r="CE248" s="46"/>
      <c r="CF248" s="46"/>
      <c r="CG248" s="257"/>
      <c r="CH248" s="46"/>
      <c r="CI248" s="46"/>
      <c r="CJ248" s="46"/>
      <c r="CK248" s="46"/>
      <c r="CL248" s="46"/>
      <c r="CM248" s="257"/>
      <c r="CN248" s="46"/>
      <c r="CO248" s="376"/>
      <c r="CP248" s="257"/>
      <c r="CQ248" s="196"/>
      <c r="CR248" s="190" t="s">
        <v>554</v>
      </c>
      <c r="CS248" s="257">
        <f>CY248+DE248+DL248+DT248+EB248+EJ248+220000</f>
        <v>220000</v>
      </c>
      <c r="CT248" s="196"/>
      <c r="CU248" s="317"/>
      <c r="CV248" s="391">
        <f t="shared" si="17"/>
        <v>0</v>
      </c>
      <c r="CW248" s="41"/>
      <c r="CX248" s="41"/>
      <c r="CY248" s="256"/>
      <c r="CZ248" s="308"/>
      <c r="DA248" s="308"/>
      <c r="DB248" s="420"/>
      <c r="DC248" s="41"/>
      <c r="DD248" s="41"/>
      <c r="DE248" s="256"/>
      <c r="DF248" s="41"/>
      <c r="DG248" s="41"/>
      <c r="DH248" s="391"/>
      <c r="DI248" s="41"/>
      <c r="DJ248" s="41"/>
      <c r="DK248" s="203"/>
      <c r="DL248" s="256"/>
      <c r="DM248" s="41"/>
      <c r="DN248" s="41"/>
      <c r="DO248" s="41"/>
      <c r="DP248" s="420"/>
      <c r="DQ248" s="41"/>
      <c r="DR248" s="41"/>
      <c r="DS248" s="203"/>
      <c r="DT248" s="256"/>
      <c r="DU248" s="46"/>
      <c r="DV248" s="46"/>
      <c r="DW248" s="196"/>
      <c r="DX248" s="391"/>
      <c r="DY248" s="41"/>
      <c r="DZ248" s="41"/>
      <c r="EA248" s="41"/>
      <c r="EB248" s="69"/>
      <c r="EC248" s="41"/>
      <c r="ED248" s="41"/>
      <c r="EE248" s="41"/>
      <c r="EF248" s="420"/>
      <c r="EG248" s="41"/>
      <c r="EH248" s="41"/>
      <c r="EI248" s="41"/>
      <c r="EJ248" s="256"/>
      <c r="EK248" s="41"/>
      <c r="EL248" s="41"/>
      <c r="EM248" s="41"/>
      <c r="EN248" s="391"/>
    </row>
    <row r="249" spans="1:144" ht="25.5">
      <c r="A249" s="45">
        <v>242</v>
      </c>
      <c r="B249" s="53" t="s">
        <v>301</v>
      </c>
      <c r="C249" s="45">
        <v>3</v>
      </c>
      <c r="D249" s="53" t="s">
        <v>741</v>
      </c>
      <c r="E249" s="54">
        <v>6</v>
      </c>
      <c r="F249" s="56">
        <v>7</v>
      </c>
      <c r="G249" s="397">
        <f>62517.924/1000</f>
        <v>62.517924000000001</v>
      </c>
      <c r="H249" s="59">
        <v>0</v>
      </c>
      <c r="I249" s="59">
        <v>62517.924000000014</v>
      </c>
      <c r="J249" s="398">
        <v>234.79082399999999</v>
      </c>
      <c r="K249" s="414">
        <f t="shared" si="18"/>
        <v>297.30874799999998</v>
      </c>
      <c r="L249" s="397"/>
      <c r="M249" s="397"/>
      <c r="N249" s="397">
        <f t="shared" si="20"/>
        <v>297.30874799999998</v>
      </c>
      <c r="O249" s="399">
        <f t="shared" si="19"/>
        <v>290</v>
      </c>
      <c r="P249" s="369" t="s">
        <v>1012</v>
      </c>
      <c r="Q249" s="46"/>
      <c r="R249" s="218"/>
      <c r="S249" s="257"/>
      <c r="T249" s="196"/>
      <c r="U249" s="46"/>
      <c r="V249" s="46"/>
      <c r="W249" s="257"/>
      <c r="X249" s="46"/>
      <c r="Y249" s="46"/>
      <c r="Z249" s="46"/>
      <c r="AA249" s="257"/>
      <c r="AB249" s="196"/>
      <c r="AC249" s="46"/>
      <c r="AD249" s="167"/>
      <c r="AE249" s="257"/>
      <c r="AF249" s="196"/>
      <c r="AG249" s="46"/>
      <c r="AH249" s="46"/>
      <c r="AI249" s="196"/>
      <c r="AJ249" s="400"/>
      <c r="AK249" s="196"/>
      <c r="AL249" s="46"/>
      <c r="AM249" s="218"/>
      <c r="AN249" s="257"/>
      <c r="AO249" s="196"/>
      <c r="AP249" s="46"/>
      <c r="AQ249" s="257"/>
      <c r="AR249" s="196"/>
      <c r="AS249" s="46"/>
      <c r="AT249" s="257"/>
      <c r="AU249" s="196"/>
      <c r="AV249" s="46"/>
      <c r="AW249" s="257"/>
      <c r="AX249" s="196"/>
      <c r="AY249" s="46"/>
      <c r="AZ249" s="257"/>
      <c r="BA249" s="46"/>
      <c r="BB249" s="46"/>
      <c r="BC249" s="46"/>
      <c r="BD249" s="46"/>
      <c r="BE249" s="46"/>
      <c r="BF249" s="257"/>
      <c r="BG249" s="46"/>
      <c r="BH249" s="46"/>
      <c r="BI249" s="46"/>
      <c r="BJ249" s="196"/>
      <c r="BK249" s="46"/>
      <c r="BL249" s="46"/>
      <c r="BM249" s="46"/>
      <c r="BN249" s="46"/>
      <c r="BO249" s="257"/>
      <c r="BP249" s="196"/>
      <c r="BQ249" s="191"/>
      <c r="BR249" s="257"/>
      <c r="BS249" s="46"/>
      <c r="BT249" s="46"/>
      <c r="BU249" s="257"/>
      <c r="BV249" s="196"/>
      <c r="BW249" s="46"/>
      <c r="BX249" s="46"/>
      <c r="BY249" s="46"/>
      <c r="BZ249" s="46"/>
      <c r="CA249" s="257"/>
      <c r="CB249" s="196"/>
      <c r="CC249" s="46"/>
      <c r="CD249" s="257"/>
      <c r="CE249" s="46"/>
      <c r="CF249" s="46"/>
      <c r="CG249" s="257"/>
      <c r="CH249" s="46"/>
      <c r="CI249" s="46"/>
      <c r="CJ249" s="46"/>
      <c r="CK249" s="46"/>
      <c r="CL249" s="46"/>
      <c r="CM249" s="257"/>
      <c r="CN249" s="46"/>
      <c r="CO249" s="376"/>
      <c r="CP249" s="257"/>
      <c r="CQ249" s="196"/>
      <c r="CR249" s="190" t="s">
        <v>554</v>
      </c>
      <c r="CS249" s="257">
        <f>CY249+DE249+DL249+DT249+EB249+EJ249+290000</f>
        <v>290000</v>
      </c>
      <c r="CT249" s="196"/>
      <c r="CU249" s="317"/>
      <c r="CV249" s="391">
        <f t="shared" si="17"/>
        <v>0</v>
      </c>
      <c r="CW249" s="41"/>
      <c r="CX249" s="41"/>
      <c r="CY249" s="256"/>
      <c r="CZ249" s="308"/>
      <c r="DA249" s="308"/>
      <c r="DB249" s="420"/>
      <c r="DC249" s="41"/>
      <c r="DD249" s="41"/>
      <c r="DE249" s="256"/>
      <c r="DF249" s="41"/>
      <c r="DG249" s="41"/>
      <c r="DH249" s="391"/>
      <c r="DI249" s="41"/>
      <c r="DJ249" s="41"/>
      <c r="DK249" s="203"/>
      <c r="DL249" s="256"/>
      <c r="DM249" s="41"/>
      <c r="DN249" s="41"/>
      <c r="DO249" s="41"/>
      <c r="DP249" s="420"/>
      <c r="DQ249" s="41"/>
      <c r="DR249" s="41"/>
      <c r="DS249" s="203"/>
      <c r="DT249" s="256"/>
      <c r="DU249" s="46"/>
      <c r="DV249" s="46"/>
      <c r="DW249" s="196"/>
      <c r="DX249" s="391"/>
      <c r="DY249" s="41"/>
      <c r="DZ249" s="41"/>
      <c r="EA249" s="41"/>
      <c r="EB249" s="69"/>
      <c r="EC249" s="41"/>
      <c r="ED249" s="41"/>
      <c r="EE249" s="41"/>
      <c r="EF249" s="420"/>
      <c r="EG249" s="41"/>
      <c r="EH249" s="41"/>
      <c r="EI249" s="41"/>
      <c r="EJ249" s="256"/>
      <c r="EK249" s="41"/>
      <c r="EL249" s="41"/>
      <c r="EM249" s="41"/>
      <c r="EN249" s="391"/>
    </row>
    <row r="250" spans="1:144" ht="25.5">
      <c r="A250" s="45">
        <v>243</v>
      </c>
      <c r="B250" s="53" t="s">
        <v>301</v>
      </c>
      <c r="C250" s="45">
        <v>3</v>
      </c>
      <c r="D250" s="53" t="s">
        <v>742</v>
      </c>
      <c r="E250" s="54">
        <v>4</v>
      </c>
      <c r="F250" s="56">
        <v>7</v>
      </c>
      <c r="G250" s="397">
        <f>44028.18/1000</f>
        <v>44.028179999999999</v>
      </c>
      <c r="H250" s="59">
        <v>0</v>
      </c>
      <c r="I250" s="59">
        <v>44028.18</v>
      </c>
      <c r="J250" s="398">
        <v>173.25372999999999</v>
      </c>
      <c r="K250" s="414">
        <f t="shared" si="18"/>
        <v>217.28190999999998</v>
      </c>
      <c r="L250" s="397"/>
      <c r="M250" s="397"/>
      <c r="N250" s="397">
        <f t="shared" si="20"/>
        <v>217.28190999999998</v>
      </c>
      <c r="O250" s="399">
        <f t="shared" si="19"/>
        <v>217</v>
      </c>
      <c r="P250" s="369" t="s">
        <v>1012</v>
      </c>
      <c r="Q250" s="46"/>
      <c r="R250" s="218"/>
      <c r="S250" s="257"/>
      <c r="T250" s="196"/>
      <c r="U250" s="46"/>
      <c r="V250" s="46"/>
      <c r="W250" s="257"/>
      <c r="X250" s="46"/>
      <c r="Y250" s="46"/>
      <c r="Z250" s="46"/>
      <c r="AA250" s="257"/>
      <c r="AB250" s="196"/>
      <c r="AC250" s="46"/>
      <c r="AD250" s="167"/>
      <c r="AE250" s="257"/>
      <c r="AF250" s="196"/>
      <c r="AG250" s="46"/>
      <c r="AH250" s="46"/>
      <c r="AI250" s="196"/>
      <c r="AJ250" s="400"/>
      <c r="AK250" s="196"/>
      <c r="AL250" s="46"/>
      <c r="AM250" s="218"/>
      <c r="AN250" s="257"/>
      <c r="AO250" s="196"/>
      <c r="AP250" s="46"/>
      <c r="AQ250" s="257"/>
      <c r="AR250" s="196"/>
      <c r="AS250" s="46"/>
      <c r="AT250" s="257"/>
      <c r="AU250" s="196"/>
      <c r="AV250" s="46"/>
      <c r="AW250" s="257"/>
      <c r="AX250" s="196"/>
      <c r="AY250" s="46"/>
      <c r="AZ250" s="257"/>
      <c r="BA250" s="46"/>
      <c r="BB250" s="46"/>
      <c r="BC250" s="46"/>
      <c r="BD250" s="46"/>
      <c r="BE250" s="46"/>
      <c r="BF250" s="257"/>
      <c r="BG250" s="46"/>
      <c r="BH250" s="46"/>
      <c r="BI250" s="46"/>
      <c r="BJ250" s="196"/>
      <c r="BK250" s="46"/>
      <c r="BL250" s="46"/>
      <c r="BM250" s="46"/>
      <c r="BN250" s="46"/>
      <c r="BO250" s="257"/>
      <c r="BP250" s="196"/>
      <c r="BQ250" s="46"/>
      <c r="BR250" s="257"/>
      <c r="BS250" s="46"/>
      <c r="BT250" s="46"/>
      <c r="BU250" s="257"/>
      <c r="BV250" s="196"/>
      <c r="BW250" s="46"/>
      <c r="BX250" s="46"/>
      <c r="BY250" s="46"/>
      <c r="BZ250" s="46"/>
      <c r="CA250" s="257"/>
      <c r="CB250" s="196"/>
      <c r="CC250" s="46"/>
      <c r="CD250" s="257"/>
      <c r="CE250" s="46"/>
      <c r="CF250" s="46"/>
      <c r="CG250" s="257"/>
      <c r="CH250" s="46"/>
      <c r="CI250" s="46"/>
      <c r="CJ250" s="46"/>
      <c r="CK250" s="46"/>
      <c r="CL250" s="46"/>
      <c r="CM250" s="257"/>
      <c r="CN250" s="46"/>
      <c r="CO250" s="376"/>
      <c r="CP250" s="257"/>
      <c r="CQ250" s="196"/>
      <c r="CR250" s="190" t="s">
        <v>521</v>
      </c>
      <c r="CS250" s="257">
        <f>CY250+DE250+DL250+DT250+EB250+EJ250+217000</f>
        <v>217000</v>
      </c>
      <c r="CT250" s="196"/>
      <c r="CU250" s="317"/>
      <c r="CV250" s="391">
        <f t="shared" si="17"/>
        <v>0</v>
      </c>
      <c r="CW250" s="41"/>
      <c r="CX250" s="41"/>
      <c r="CY250" s="256"/>
      <c r="CZ250" s="308"/>
      <c r="DA250" s="308"/>
      <c r="DB250" s="420"/>
      <c r="DC250" s="41"/>
      <c r="DD250" s="41"/>
      <c r="DE250" s="256"/>
      <c r="DF250" s="41"/>
      <c r="DG250" s="41"/>
      <c r="DH250" s="391"/>
      <c r="DI250" s="41"/>
      <c r="DJ250" s="41"/>
      <c r="DK250" s="203"/>
      <c r="DL250" s="256"/>
      <c r="DM250" s="41"/>
      <c r="DN250" s="41"/>
      <c r="DO250" s="41"/>
      <c r="DP250" s="420"/>
      <c r="DQ250" s="41"/>
      <c r="DR250" s="41"/>
      <c r="DS250" s="203"/>
      <c r="DT250" s="256"/>
      <c r="DU250" s="46"/>
      <c r="DV250" s="46"/>
      <c r="DW250" s="196"/>
      <c r="DX250" s="391"/>
      <c r="DY250" s="41"/>
      <c r="DZ250" s="41"/>
      <c r="EA250" s="41"/>
      <c r="EB250" s="69"/>
      <c r="EC250" s="41"/>
      <c r="ED250" s="41"/>
      <c r="EE250" s="41"/>
      <c r="EF250" s="420"/>
      <c r="EG250" s="41"/>
      <c r="EH250" s="41"/>
      <c r="EI250" s="41"/>
      <c r="EJ250" s="256"/>
      <c r="EK250" s="41"/>
      <c r="EL250" s="41"/>
      <c r="EM250" s="41"/>
      <c r="EN250" s="391"/>
    </row>
    <row r="251" spans="1:144" ht="25.5">
      <c r="A251" s="45">
        <v>244</v>
      </c>
      <c r="B251" s="53" t="s">
        <v>301</v>
      </c>
      <c r="C251" s="45">
        <v>3</v>
      </c>
      <c r="D251" s="53" t="s">
        <v>742</v>
      </c>
      <c r="E251" s="54">
        <v>5</v>
      </c>
      <c r="F251" s="56">
        <v>7</v>
      </c>
      <c r="G251" s="397">
        <f>41727.42/1000</f>
        <v>41.727419999999995</v>
      </c>
      <c r="H251" s="59">
        <v>0</v>
      </c>
      <c r="I251" s="59">
        <v>41727.42</v>
      </c>
      <c r="J251" s="398">
        <v>189.13582</v>
      </c>
      <c r="K251" s="414">
        <f t="shared" si="18"/>
        <v>230.86323999999999</v>
      </c>
      <c r="L251" s="397"/>
      <c r="M251" s="397"/>
      <c r="N251" s="397">
        <f t="shared" si="20"/>
        <v>230.86323999999999</v>
      </c>
      <c r="O251" s="399">
        <f t="shared" si="19"/>
        <v>230</v>
      </c>
      <c r="P251" s="369" t="s">
        <v>1012</v>
      </c>
      <c r="Q251" s="46"/>
      <c r="R251" s="218"/>
      <c r="S251" s="257"/>
      <c r="T251" s="196"/>
      <c r="U251" s="46"/>
      <c r="V251" s="46"/>
      <c r="W251" s="257"/>
      <c r="X251" s="46"/>
      <c r="Y251" s="46"/>
      <c r="Z251" s="46"/>
      <c r="AA251" s="257"/>
      <c r="AB251" s="196"/>
      <c r="AC251" s="46"/>
      <c r="AD251" s="167"/>
      <c r="AE251" s="257"/>
      <c r="AF251" s="196"/>
      <c r="AG251" s="46"/>
      <c r="AH251" s="46"/>
      <c r="AI251" s="196"/>
      <c r="AJ251" s="400"/>
      <c r="AK251" s="196"/>
      <c r="AL251" s="46"/>
      <c r="AM251" s="218"/>
      <c r="AN251" s="257"/>
      <c r="AO251" s="196"/>
      <c r="AP251" s="46"/>
      <c r="AQ251" s="257"/>
      <c r="AR251" s="196"/>
      <c r="AS251" s="46"/>
      <c r="AT251" s="257"/>
      <c r="AU251" s="196"/>
      <c r="AV251" s="46"/>
      <c r="AW251" s="257"/>
      <c r="AX251" s="196"/>
      <c r="AY251" s="46"/>
      <c r="AZ251" s="257"/>
      <c r="BA251" s="46"/>
      <c r="BB251" s="46"/>
      <c r="BC251" s="46"/>
      <c r="BD251" s="46"/>
      <c r="BE251" s="46"/>
      <c r="BF251" s="257"/>
      <c r="BG251" s="46"/>
      <c r="BH251" s="46"/>
      <c r="BI251" s="46"/>
      <c r="BJ251" s="196"/>
      <c r="BK251" s="46"/>
      <c r="BL251" s="46"/>
      <c r="BM251" s="46"/>
      <c r="BN251" s="46"/>
      <c r="BO251" s="257"/>
      <c r="BP251" s="196"/>
      <c r="BQ251" s="46"/>
      <c r="BR251" s="257"/>
      <c r="BS251" s="46"/>
      <c r="BT251" s="46"/>
      <c r="BU251" s="257"/>
      <c r="BV251" s="196"/>
      <c r="BW251" s="46"/>
      <c r="BX251" s="46"/>
      <c r="BY251" s="46"/>
      <c r="BZ251" s="46"/>
      <c r="CA251" s="257"/>
      <c r="CB251" s="196"/>
      <c r="CC251" s="46"/>
      <c r="CD251" s="257"/>
      <c r="CE251" s="46"/>
      <c r="CF251" s="46"/>
      <c r="CG251" s="257"/>
      <c r="CH251" s="46"/>
      <c r="CI251" s="46"/>
      <c r="CJ251" s="46"/>
      <c r="CK251" s="46"/>
      <c r="CL251" s="46"/>
      <c r="CM251" s="257"/>
      <c r="CN251" s="46"/>
      <c r="CO251" s="376"/>
      <c r="CP251" s="257"/>
      <c r="CQ251" s="196"/>
      <c r="CR251" s="190" t="s">
        <v>521</v>
      </c>
      <c r="CS251" s="257">
        <f>CY251+DE251+DL251+DT251+EB251+EJ251+230000</f>
        <v>230000</v>
      </c>
      <c r="CT251" s="196"/>
      <c r="CU251" s="317"/>
      <c r="CV251" s="391">
        <f t="shared" si="17"/>
        <v>0</v>
      </c>
      <c r="CW251" s="41"/>
      <c r="CX251" s="41"/>
      <c r="CY251" s="256"/>
      <c r="CZ251" s="308"/>
      <c r="DA251" s="308"/>
      <c r="DB251" s="420"/>
      <c r="DC251" s="41"/>
      <c r="DD251" s="41"/>
      <c r="DE251" s="256"/>
      <c r="DF251" s="41"/>
      <c r="DG251" s="41"/>
      <c r="DH251" s="391"/>
      <c r="DI251" s="41"/>
      <c r="DJ251" s="41"/>
      <c r="DK251" s="203"/>
      <c r="DL251" s="256"/>
      <c r="DM251" s="41"/>
      <c r="DN251" s="41"/>
      <c r="DO251" s="41"/>
      <c r="DP251" s="420"/>
      <c r="DQ251" s="41"/>
      <c r="DR251" s="41"/>
      <c r="DS251" s="203"/>
      <c r="DT251" s="256"/>
      <c r="DU251" s="46"/>
      <c r="DV251" s="46"/>
      <c r="DW251" s="196"/>
      <c r="DX251" s="391"/>
      <c r="DY251" s="41"/>
      <c r="DZ251" s="41"/>
      <c r="EA251" s="41"/>
      <c r="EB251" s="69"/>
      <c r="EC251" s="41"/>
      <c r="ED251" s="41"/>
      <c r="EE251" s="41"/>
      <c r="EF251" s="420"/>
      <c r="EG251" s="41"/>
      <c r="EH251" s="41"/>
      <c r="EI251" s="41"/>
      <c r="EJ251" s="256"/>
      <c r="EK251" s="41"/>
      <c r="EL251" s="41"/>
      <c r="EM251" s="41"/>
      <c r="EN251" s="391"/>
    </row>
    <row r="252" spans="1:144" ht="25.5">
      <c r="A252" s="45">
        <v>245</v>
      </c>
      <c r="B252" s="53" t="s">
        <v>301</v>
      </c>
      <c r="C252" s="45">
        <v>3</v>
      </c>
      <c r="D252" s="53" t="s">
        <v>742</v>
      </c>
      <c r="E252" s="54">
        <v>6</v>
      </c>
      <c r="F252" s="56">
        <v>7</v>
      </c>
      <c r="G252" s="397">
        <f>36958.572/1000</f>
        <v>36.958571999999997</v>
      </c>
      <c r="H252" s="59">
        <v>0</v>
      </c>
      <c r="I252" s="59">
        <v>36958.572</v>
      </c>
      <c r="J252" s="398">
        <v>166.61840999999998</v>
      </c>
      <c r="K252" s="414">
        <f t="shared" si="18"/>
        <v>203.57698199999999</v>
      </c>
      <c r="L252" s="397"/>
      <c r="M252" s="397"/>
      <c r="N252" s="397">
        <f t="shared" si="20"/>
        <v>203.57698199999999</v>
      </c>
      <c r="O252" s="399">
        <f t="shared" si="19"/>
        <v>200</v>
      </c>
      <c r="P252" s="369" t="s">
        <v>1012</v>
      </c>
      <c r="Q252" s="46"/>
      <c r="R252" s="218"/>
      <c r="S252" s="257"/>
      <c r="T252" s="196"/>
      <c r="U252" s="46"/>
      <c r="V252" s="46"/>
      <c r="W252" s="257"/>
      <c r="X252" s="46"/>
      <c r="Y252" s="46"/>
      <c r="Z252" s="46"/>
      <c r="AA252" s="257"/>
      <c r="AB252" s="196"/>
      <c r="AC252" s="46"/>
      <c r="AD252" s="167"/>
      <c r="AE252" s="257"/>
      <c r="AF252" s="196"/>
      <c r="AG252" s="46"/>
      <c r="AH252" s="46"/>
      <c r="AI252" s="196"/>
      <c r="AJ252" s="400"/>
      <c r="AK252" s="196"/>
      <c r="AL252" s="46"/>
      <c r="AM252" s="218"/>
      <c r="AN252" s="257"/>
      <c r="AO252" s="196"/>
      <c r="AP252" s="46"/>
      <c r="AQ252" s="257"/>
      <c r="AR252" s="196"/>
      <c r="AS252" s="46"/>
      <c r="AT252" s="257"/>
      <c r="AU252" s="196"/>
      <c r="AV252" s="46"/>
      <c r="AW252" s="257"/>
      <c r="AX252" s="196"/>
      <c r="AY252" s="46"/>
      <c r="AZ252" s="257"/>
      <c r="BA252" s="46"/>
      <c r="BB252" s="46"/>
      <c r="BC252" s="46"/>
      <c r="BD252" s="46"/>
      <c r="BE252" s="46"/>
      <c r="BF252" s="257"/>
      <c r="BG252" s="46"/>
      <c r="BH252" s="46"/>
      <c r="BI252" s="46"/>
      <c r="BJ252" s="196"/>
      <c r="BK252" s="46"/>
      <c r="BL252" s="46"/>
      <c r="BM252" s="46"/>
      <c r="BN252" s="46"/>
      <c r="BO252" s="257"/>
      <c r="BP252" s="196"/>
      <c r="BQ252" s="46"/>
      <c r="BR252" s="257"/>
      <c r="BS252" s="46"/>
      <c r="BT252" s="46"/>
      <c r="BU252" s="257"/>
      <c r="BV252" s="196"/>
      <c r="BW252" s="46"/>
      <c r="BX252" s="46"/>
      <c r="BY252" s="46"/>
      <c r="BZ252" s="46"/>
      <c r="CA252" s="257"/>
      <c r="CB252" s="196"/>
      <c r="CC252" s="46"/>
      <c r="CD252" s="257"/>
      <c r="CE252" s="46"/>
      <c r="CF252" s="46"/>
      <c r="CG252" s="257"/>
      <c r="CH252" s="46"/>
      <c r="CI252" s="46"/>
      <c r="CJ252" s="46"/>
      <c r="CK252" s="46"/>
      <c r="CL252" s="46"/>
      <c r="CM252" s="257"/>
      <c r="CN252" s="46"/>
      <c r="CO252" s="376"/>
      <c r="CP252" s="257"/>
      <c r="CQ252" s="196"/>
      <c r="CR252" s="191" t="s">
        <v>521</v>
      </c>
      <c r="CS252" s="257">
        <f>CY252+DE252+DL252+DT252+EB252+EJ252+200000</f>
        <v>200000</v>
      </c>
      <c r="CT252" s="196"/>
      <c r="CU252" s="317"/>
      <c r="CV252" s="391">
        <f t="shared" si="17"/>
        <v>0</v>
      </c>
      <c r="CW252" s="41"/>
      <c r="CX252" s="41"/>
      <c r="CY252" s="256"/>
      <c r="CZ252" s="308"/>
      <c r="DA252" s="308"/>
      <c r="DB252" s="420"/>
      <c r="DC252" s="41"/>
      <c r="DD252" s="41"/>
      <c r="DE252" s="256"/>
      <c r="DF252" s="41"/>
      <c r="DG252" s="41"/>
      <c r="DH252" s="391"/>
      <c r="DI252" s="41"/>
      <c r="DJ252" s="41"/>
      <c r="DK252" s="203"/>
      <c r="DL252" s="256"/>
      <c r="DM252" s="41"/>
      <c r="DN252" s="41"/>
      <c r="DO252" s="41"/>
      <c r="DP252" s="420"/>
      <c r="DQ252" s="41"/>
      <c r="DR252" s="41"/>
      <c r="DS252" s="203"/>
      <c r="DT252" s="256"/>
      <c r="DU252" s="46"/>
      <c r="DV252" s="46"/>
      <c r="DW252" s="196"/>
      <c r="DX252" s="391"/>
      <c r="DY252" s="41"/>
      <c r="DZ252" s="41"/>
      <c r="EA252" s="41"/>
      <c r="EB252" s="69"/>
      <c r="EC252" s="41"/>
      <c r="ED252" s="41"/>
      <c r="EE252" s="41"/>
      <c r="EF252" s="420"/>
      <c r="EG252" s="41"/>
      <c r="EH252" s="41"/>
      <c r="EI252" s="41"/>
      <c r="EJ252" s="256"/>
      <c r="EK252" s="41"/>
      <c r="EL252" s="41"/>
      <c r="EM252" s="41"/>
      <c r="EN252" s="391"/>
    </row>
    <row r="253" spans="1:144" ht="25.5">
      <c r="A253" s="45">
        <v>246</v>
      </c>
      <c r="B253" s="53" t="s">
        <v>301</v>
      </c>
      <c r="C253" s="45">
        <v>3</v>
      </c>
      <c r="D253" s="53" t="s">
        <v>742</v>
      </c>
      <c r="E253" s="54">
        <v>7</v>
      </c>
      <c r="F253" s="56">
        <v>7</v>
      </c>
      <c r="G253" s="397">
        <f>42103.908/1000</f>
        <v>42.103908000000004</v>
      </c>
      <c r="H253" s="59">
        <v>0</v>
      </c>
      <c r="I253" s="59">
        <v>42103.907999999996</v>
      </c>
      <c r="J253" s="398">
        <v>180.82547</v>
      </c>
      <c r="K253" s="414">
        <f t="shared" si="18"/>
        <v>222.92937799999999</v>
      </c>
      <c r="L253" s="397"/>
      <c r="M253" s="397"/>
      <c r="N253" s="397">
        <f t="shared" si="20"/>
        <v>222.92937799999999</v>
      </c>
      <c r="O253" s="399">
        <f t="shared" si="19"/>
        <v>220</v>
      </c>
      <c r="P253" s="369" t="s">
        <v>1012</v>
      </c>
      <c r="Q253" s="46"/>
      <c r="R253" s="218"/>
      <c r="S253" s="257"/>
      <c r="T253" s="196"/>
      <c r="U253" s="46"/>
      <c r="V253" s="46"/>
      <c r="W253" s="257"/>
      <c r="X253" s="46"/>
      <c r="Y253" s="46"/>
      <c r="Z253" s="46"/>
      <c r="AA253" s="257"/>
      <c r="AB253" s="196"/>
      <c r="AC253" s="46"/>
      <c r="AD253" s="167"/>
      <c r="AE253" s="257"/>
      <c r="AF253" s="196"/>
      <c r="AG253" s="46"/>
      <c r="AH253" s="46"/>
      <c r="AI253" s="196"/>
      <c r="AJ253" s="400"/>
      <c r="AK253" s="196"/>
      <c r="AL253" s="46"/>
      <c r="AM253" s="218"/>
      <c r="AN253" s="257"/>
      <c r="AO253" s="196"/>
      <c r="AP253" s="46"/>
      <c r="AQ253" s="257"/>
      <c r="AR253" s="196"/>
      <c r="AS253" s="46"/>
      <c r="AT253" s="257"/>
      <c r="AU253" s="196"/>
      <c r="AV253" s="46"/>
      <c r="AW253" s="257"/>
      <c r="AX253" s="196"/>
      <c r="AY253" s="46"/>
      <c r="AZ253" s="257"/>
      <c r="BA253" s="46"/>
      <c r="BB253" s="46"/>
      <c r="BC253" s="46"/>
      <c r="BD253" s="46"/>
      <c r="BE253" s="46"/>
      <c r="BF253" s="257"/>
      <c r="BG253" s="46"/>
      <c r="BH253" s="46"/>
      <c r="BI253" s="46"/>
      <c r="BJ253" s="196"/>
      <c r="BK253" s="46"/>
      <c r="BL253" s="46"/>
      <c r="BM253" s="46"/>
      <c r="BN253" s="46"/>
      <c r="BO253" s="257"/>
      <c r="BP253" s="196"/>
      <c r="BQ253" s="191"/>
      <c r="BR253" s="257"/>
      <c r="BS253" s="46"/>
      <c r="BT253" s="46"/>
      <c r="BU253" s="257"/>
      <c r="BV253" s="196"/>
      <c r="BW253" s="46"/>
      <c r="BX253" s="46"/>
      <c r="BY253" s="46"/>
      <c r="BZ253" s="46"/>
      <c r="CA253" s="257"/>
      <c r="CB253" s="196"/>
      <c r="CC253" s="46"/>
      <c r="CD253" s="257"/>
      <c r="CE253" s="46"/>
      <c r="CF253" s="46"/>
      <c r="CG253" s="257"/>
      <c r="CH253" s="46"/>
      <c r="CI253" s="46"/>
      <c r="CJ253" s="46"/>
      <c r="CK253" s="46"/>
      <c r="CL253" s="46"/>
      <c r="CM253" s="257"/>
      <c r="CN253" s="46"/>
      <c r="CO253" s="376"/>
      <c r="CP253" s="257"/>
      <c r="CQ253" s="196"/>
      <c r="CR253" s="190" t="s">
        <v>521</v>
      </c>
      <c r="CS253" s="257">
        <f>CY253+DE253+DL253+DT253+EB253+EJ253+220000</f>
        <v>220000</v>
      </c>
      <c r="CT253" s="196"/>
      <c r="CU253" s="317"/>
      <c r="CV253" s="391">
        <f t="shared" si="17"/>
        <v>0</v>
      </c>
      <c r="CW253" s="41"/>
      <c r="CX253" s="41"/>
      <c r="CY253" s="256"/>
      <c r="CZ253" s="308"/>
      <c r="DA253" s="308"/>
      <c r="DB253" s="420"/>
      <c r="DC253" s="41"/>
      <c r="DD253" s="41"/>
      <c r="DE253" s="256"/>
      <c r="DF253" s="41"/>
      <c r="DG253" s="41"/>
      <c r="DH253" s="391"/>
      <c r="DI253" s="41"/>
      <c r="DJ253" s="41"/>
      <c r="DK253" s="203"/>
      <c r="DL253" s="256"/>
      <c r="DM253" s="41"/>
      <c r="DN253" s="41"/>
      <c r="DO253" s="41"/>
      <c r="DP253" s="420"/>
      <c r="DQ253" s="41"/>
      <c r="DR253" s="41"/>
      <c r="DS253" s="203"/>
      <c r="DT253" s="256"/>
      <c r="DU253" s="46"/>
      <c r="DV253" s="46"/>
      <c r="DW253" s="196"/>
      <c r="DX253" s="391"/>
      <c r="DY253" s="41"/>
      <c r="DZ253" s="41"/>
      <c r="EA253" s="41"/>
      <c r="EB253" s="69"/>
      <c r="EC253" s="41"/>
      <c r="ED253" s="41"/>
      <c r="EE253" s="41"/>
      <c r="EF253" s="420"/>
      <c r="EG253" s="41"/>
      <c r="EH253" s="41"/>
      <c r="EI253" s="41"/>
      <c r="EJ253" s="256"/>
      <c r="EK253" s="41"/>
      <c r="EL253" s="41"/>
      <c r="EM253" s="41"/>
      <c r="EN253" s="391"/>
    </row>
    <row r="254" spans="1:144" ht="25.5">
      <c r="A254" s="45">
        <v>247</v>
      </c>
      <c r="B254" s="53" t="s">
        <v>301</v>
      </c>
      <c r="C254" s="45">
        <v>3</v>
      </c>
      <c r="D254" s="53" t="s">
        <v>298</v>
      </c>
      <c r="E254" s="54">
        <v>2</v>
      </c>
      <c r="F254" s="56">
        <v>5</v>
      </c>
      <c r="G254" s="397">
        <f>237167.3304/1000</f>
        <v>237.1673304</v>
      </c>
      <c r="H254" s="59">
        <v>237167.33039999998</v>
      </c>
      <c r="I254" s="59">
        <v>0</v>
      </c>
      <c r="J254" s="398">
        <v>160.09514000000001</v>
      </c>
      <c r="K254" s="414">
        <f t="shared" si="18"/>
        <v>397.26247039999998</v>
      </c>
      <c r="L254" s="397"/>
      <c r="M254" s="397"/>
      <c r="N254" s="397">
        <f t="shared" si="20"/>
        <v>397.26247039999998</v>
      </c>
      <c r="O254" s="399">
        <f t="shared" si="19"/>
        <v>0</v>
      </c>
      <c r="P254" s="369" t="s">
        <v>582</v>
      </c>
      <c r="Q254" s="46"/>
      <c r="R254" s="218"/>
      <c r="S254" s="257"/>
      <c r="T254" s="196"/>
      <c r="U254" s="46"/>
      <c r="V254" s="46"/>
      <c r="W254" s="257"/>
      <c r="X254" s="46"/>
      <c r="Y254" s="46"/>
      <c r="Z254" s="46"/>
      <c r="AA254" s="257"/>
      <c r="AB254" s="196"/>
      <c r="AC254" s="46"/>
      <c r="AD254" s="167"/>
      <c r="AE254" s="257"/>
      <c r="AF254" s="196"/>
      <c r="AG254" s="46"/>
      <c r="AH254" s="46"/>
      <c r="AI254" s="196"/>
      <c r="AJ254" s="400"/>
      <c r="AK254" s="196"/>
      <c r="AL254" s="46"/>
      <c r="AM254" s="218"/>
      <c r="AN254" s="257"/>
      <c r="AO254" s="218"/>
      <c r="AP254" s="167"/>
      <c r="AQ254" s="524"/>
      <c r="AR254" s="196"/>
      <c r="AS254" s="46"/>
      <c r="AT254" s="257"/>
      <c r="AU254" s="196"/>
      <c r="AV254" s="46"/>
      <c r="AW254" s="257"/>
      <c r="AX254" s="196"/>
      <c r="AY254" s="46"/>
      <c r="AZ254" s="257"/>
      <c r="BA254" s="46"/>
      <c r="BB254" s="46"/>
      <c r="BC254" s="46"/>
      <c r="BD254" s="46"/>
      <c r="BE254" s="46"/>
      <c r="BF254" s="257"/>
      <c r="BG254" s="46"/>
      <c r="BH254" s="46"/>
      <c r="BI254" s="46"/>
      <c r="BJ254" s="196"/>
      <c r="BK254" s="46"/>
      <c r="BL254" s="46"/>
      <c r="BM254" s="46"/>
      <c r="BN254" s="46"/>
      <c r="BO254" s="257"/>
      <c r="BP254" s="196"/>
      <c r="BQ254" s="191"/>
      <c r="BR254" s="257"/>
      <c r="BS254" s="46"/>
      <c r="BT254" s="46"/>
      <c r="BU254" s="257"/>
      <c r="BV254" s="196"/>
      <c r="BW254" s="46"/>
      <c r="BX254" s="46"/>
      <c r="BY254" s="46"/>
      <c r="BZ254" s="46"/>
      <c r="CA254" s="257"/>
      <c r="CB254" s="196"/>
      <c r="CC254" s="46"/>
      <c r="CD254" s="257"/>
      <c r="CE254" s="46"/>
      <c r="CF254" s="46"/>
      <c r="CG254" s="257"/>
      <c r="CH254" s="46"/>
      <c r="CI254" s="46"/>
      <c r="CJ254" s="46"/>
      <c r="CK254" s="46"/>
      <c r="CL254" s="46"/>
      <c r="CM254" s="257"/>
      <c r="CN254" s="46"/>
      <c r="CO254" s="376"/>
      <c r="CP254" s="257"/>
      <c r="CQ254" s="196"/>
      <c r="CR254" s="286"/>
      <c r="CS254" s="257">
        <f t="shared" si="16"/>
        <v>0</v>
      </c>
      <c r="CT254" s="196"/>
      <c r="CU254" s="317"/>
      <c r="CV254" s="391">
        <f t="shared" si="17"/>
        <v>0</v>
      </c>
      <c r="CW254" s="41"/>
      <c r="CX254" s="41"/>
      <c r="CY254" s="256"/>
      <c r="CZ254" s="308"/>
      <c r="DA254" s="308"/>
      <c r="DB254" s="420"/>
      <c r="DC254" s="41"/>
      <c r="DD254" s="41"/>
      <c r="DE254" s="256"/>
      <c r="DF254" s="41"/>
      <c r="DG254" s="41"/>
      <c r="DH254" s="391"/>
      <c r="DI254" s="41"/>
      <c r="DJ254" s="41"/>
      <c r="DK254" s="203"/>
      <c r="DL254" s="256"/>
      <c r="DM254" s="41"/>
      <c r="DN254" s="41"/>
      <c r="DO254" s="41"/>
      <c r="DP254" s="420"/>
      <c r="DQ254" s="41"/>
      <c r="DR254" s="41"/>
      <c r="DS254" s="203"/>
      <c r="DT254" s="256"/>
      <c r="DU254" s="46"/>
      <c r="DV254" s="46"/>
      <c r="DW254" s="196"/>
      <c r="DX254" s="391"/>
      <c r="DY254" s="41"/>
      <c r="DZ254" s="41"/>
      <c r="EA254" s="41"/>
      <c r="EB254" s="69"/>
      <c r="EC254" s="41"/>
      <c r="ED254" s="41"/>
      <c r="EE254" s="41"/>
      <c r="EF254" s="420"/>
      <c r="EG254" s="41"/>
      <c r="EH254" s="41"/>
      <c r="EI254" s="41"/>
      <c r="EJ254" s="256"/>
      <c r="EK254" s="41"/>
      <c r="EL254" s="41"/>
      <c r="EM254" s="41"/>
      <c r="EN254" s="391"/>
    </row>
    <row r="255" spans="1:144" ht="25.5">
      <c r="A255" s="45">
        <v>248</v>
      </c>
      <c r="B255" s="53" t="s">
        <v>301</v>
      </c>
      <c r="C255" s="45">
        <v>3</v>
      </c>
      <c r="D255" s="53" t="s">
        <v>588</v>
      </c>
      <c r="E255" s="54">
        <v>1</v>
      </c>
      <c r="F255" s="56">
        <v>7</v>
      </c>
      <c r="G255" s="397">
        <f>40922.154/1000</f>
        <v>40.922153999999999</v>
      </c>
      <c r="H255" s="59">
        <v>0</v>
      </c>
      <c r="I255" s="59">
        <v>40922.154000000002</v>
      </c>
      <c r="J255" s="398">
        <v>179.79205999999999</v>
      </c>
      <c r="K255" s="414">
        <f t="shared" si="18"/>
        <v>220.714214</v>
      </c>
      <c r="L255" s="397"/>
      <c r="M255" s="397"/>
      <c r="N255" s="397">
        <f t="shared" si="20"/>
        <v>220.714214</v>
      </c>
      <c r="O255" s="399">
        <f t="shared" si="19"/>
        <v>156</v>
      </c>
      <c r="P255" s="369" t="s">
        <v>1012</v>
      </c>
      <c r="Q255" s="46"/>
      <c r="R255" s="218"/>
      <c r="S255" s="257"/>
      <c r="T255" s="196"/>
      <c r="U255" s="46"/>
      <c r="V255" s="46"/>
      <c r="W255" s="257"/>
      <c r="X255" s="46"/>
      <c r="Y255" s="46"/>
      <c r="Z255" s="46"/>
      <c r="AA255" s="257"/>
      <c r="AB255" s="196"/>
      <c r="AC255" s="46"/>
      <c r="AD255" s="167"/>
      <c r="AE255" s="257"/>
      <c r="AF255" s="196" t="s">
        <v>249</v>
      </c>
      <c r="AG255" s="46" t="s">
        <v>335</v>
      </c>
      <c r="AH255" s="46">
        <v>120</v>
      </c>
      <c r="AI255" s="196" t="s">
        <v>552</v>
      </c>
      <c r="AJ255" s="400">
        <f>AH255*1300</f>
        <v>156000</v>
      </c>
      <c r="AK255" s="196"/>
      <c r="AL255" s="46"/>
      <c r="AM255" s="218"/>
      <c r="AN255" s="257"/>
      <c r="AO255" s="196"/>
      <c r="AP255" s="46"/>
      <c r="AQ255" s="257"/>
      <c r="AR255" s="196"/>
      <c r="AS255" s="46"/>
      <c r="AT255" s="257"/>
      <c r="AU255" s="196"/>
      <c r="AV255" s="46"/>
      <c r="AW255" s="257"/>
      <c r="AX255" s="196"/>
      <c r="AY255" s="46"/>
      <c r="AZ255" s="257"/>
      <c r="BA255" s="46"/>
      <c r="BB255" s="46"/>
      <c r="BC255" s="46"/>
      <c r="BD255" s="46"/>
      <c r="BE255" s="46"/>
      <c r="BF255" s="257"/>
      <c r="BG255" s="46"/>
      <c r="BH255" s="46"/>
      <c r="BI255" s="46"/>
      <c r="BJ255" s="196"/>
      <c r="BK255" s="46"/>
      <c r="BL255" s="46"/>
      <c r="BM255" s="46"/>
      <c r="BN255" s="46"/>
      <c r="BO255" s="257"/>
      <c r="BP255" s="196"/>
      <c r="BQ255" s="46"/>
      <c r="BR255" s="257"/>
      <c r="BS255" s="46"/>
      <c r="BT255" s="46"/>
      <c r="BU255" s="257"/>
      <c r="BV255" s="196"/>
      <c r="BW255" s="46"/>
      <c r="BX255" s="46"/>
      <c r="BY255" s="46"/>
      <c r="BZ255" s="46"/>
      <c r="CA255" s="257"/>
      <c r="CB255" s="196"/>
      <c r="CC255" s="46"/>
      <c r="CD255" s="257"/>
      <c r="CE255" s="46"/>
      <c r="CF255" s="46"/>
      <c r="CG255" s="257"/>
      <c r="CH255" s="46"/>
      <c r="CI255" s="46"/>
      <c r="CJ255" s="46"/>
      <c r="CK255" s="46"/>
      <c r="CL255" s="46"/>
      <c r="CM255" s="257"/>
      <c r="CN255" s="46"/>
      <c r="CO255" s="376"/>
      <c r="CP255" s="257"/>
      <c r="CQ255" s="196"/>
      <c r="CR255" s="191"/>
      <c r="CS255" s="257">
        <f t="shared" si="16"/>
        <v>0</v>
      </c>
      <c r="CT255" s="196"/>
      <c r="CU255" s="317"/>
      <c r="CV255" s="391">
        <f t="shared" si="17"/>
        <v>0</v>
      </c>
      <c r="CW255" s="41"/>
      <c r="CX255" s="41"/>
      <c r="CY255" s="256"/>
      <c r="CZ255" s="308"/>
      <c r="DA255" s="308"/>
      <c r="DB255" s="420"/>
      <c r="DC255" s="41"/>
      <c r="DD255" s="41"/>
      <c r="DE255" s="256"/>
      <c r="DF255" s="41"/>
      <c r="DG255" s="41"/>
      <c r="DH255" s="391"/>
      <c r="DI255" s="41"/>
      <c r="DJ255" s="41"/>
      <c r="DK255" s="203"/>
      <c r="DL255" s="256"/>
      <c r="DM255" s="41"/>
      <c r="DN255" s="41"/>
      <c r="DO255" s="41"/>
      <c r="DP255" s="420"/>
      <c r="DQ255" s="41"/>
      <c r="DR255" s="41"/>
      <c r="DS255" s="203"/>
      <c r="DT255" s="256"/>
      <c r="DU255" s="46"/>
      <c r="DV255" s="46"/>
      <c r="DW255" s="196"/>
      <c r="DX255" s="391"/>
      <c r="DY255" s="41"/>
      <c r="DZ255" s="41"/>
      <c r="EA255" s="41"/>
      <c r="EB255" s="69"/>
      <c r="EC255" s="41"/>
      <c r="ED255" s="41"/>
      <c r="EE255" s="41"/>
      <c r="EF255" s="420"/>
      <c r="EG255" s="41"/>
      <c r="EH255" s="41"/>
      <c r="EI255" s="41"/>
      <c r="EJ255" s="256"/>
      <c r="EK255" s="41"/>
      <c r="EL255" s="41"/>
      <c r="EM255" s="41"/>
      <c r="EN255" s="391"/>
    </row>
    <row r="256" spans="1:144" ht="25.5">
      <c r="A256" s="45">
        <v>249</v>
      </c>
      <c r="B256" s="53" t="s">
        <v>301</v>
      </c>
      <c r="C256" s="45">
        <v>3</v>
      </c>
      <c r="D256" s="53" t="s">
        <v>588</v>
      </c>
      <c r="E256" s="54">
        <v>2</v>
      </c>
      <c r="F256" s="56">
        <v>7</v>
      </c>
      <c r="G256" s="397">
        <f>40880.322/1000</f>
        <v>40.880322</v>
      </c>
      <c r="H256" s="59">
        <v>0</v>
      </c>
      <c r="I256" s="59">
        <v>40880.321999999993</v>
      </c>
      <c r="J256" s="398">
        <v>179.87548999999999</v>
      </c>
      <c r="K256" s="414">
        <f t="shared" si="18"/>
        <v>220.75581199999999</v>
      </c>
      <c r="L256" s="397"/>
      <c r="M256" s="397"/>
      <c r="N256" s="397">
        <f t="shared" si="20"/>
        <v>220.75581199999999</v>
      </c>
      <c r="O256" s="399">
        <f t="shared" si="19"/>
        <v>156</v>
      </c>
      <c r="P256" s="369" t="s">
        <v>1012</v>
      </c>
      <c r="Q256" s="46"/>
      <c r="R256" s="218"/>
      <c r="S256" s="257"/>
      <c r="T256" s="196"/>
      <c r="U256" s="46"/>
      <c r="V256" s="46"/>
      <c r="W256" s="257"/>
      <c r="X256" s="46"/>
      <c r="Y256" s="46"/>
      <c r="Z256" s="46"/>
      <c r="AA256" s="257"/>
      <c r="AB256" s="196"/>
      <c r="AC256" s="46"/>
      <c r="AD256" s="167"/>
      <c r="AE256" s="257"/>
      <c r="AF256" s="196" t="s">
        <v>229</v>
      </c>
      <c r="AG256" s="46" t="s">
        <v>335</v>
      </c>
      <c r="AH256" s="46">
        <v>120</v>
      </c>
      <c r="AI256" s="196" t="s">
        <v>552</v>
      </c>
      <c r="AJ256" s="400">
        <f t="shared" ref="AJ256:AJ261" si="21">AH256*1300</f>
        <v>156000</v>
      </c>
      <c r="AK256" s="196"/>
      <c r="AL256" s="46"/>
      <c r="AM256" s="218"/>
      <c r="AN256" s="257"/>
      <c r="AO256" s="196"/>
      <c r="AP256" s="46"/>
      <c r="AQ256" s="257"/>
      <c r="AR256" s="196"/>
      <c r="AS256" s="46"/>
      <c r="AT256" s="257"/>
      <c r="AU256" s="196"/>
      <c r="AV256" s="46"/>
      <c r="AW256" s="257"/>
      <c r="AX256" s="196"/>
      <c r="AY256" s="46"/>
      <c r="AZ256" s="257"/>
      <c r="BA256" s="46"/>
      <c r="BB256" s="46"/>
      <c r="BC256" s="46"/>
      <c r="BD256" s="46"/>
      <c r="BE256" s="46"/>
      <c r="BF256" s="257"/>
      <c r="BG256" s="46"/>
      <c r="BH256" s="46"/>
      <c r="BI256" s="46"/>
      <c r="BJ256" s="196"/>
      <c r="BK256" s="46"/>
      <c r="BL256" s="46"/>
      <c r="BM256" s="46"/>
      <c r="BN256" s="46"/>
      <c r="BO256" s="257"/>
      <c r="BP256" s="196"/>
      <c r="BQ256" s="46"/>
      <c r="BR256" s="257"/>
      <c r="BS256" s="46"/>
      <c r="BT256" s="46"/>
      <c r="BU256" s="257"/>
      <c r="BV256" s="196"/>
      <c r="BW256" s="46"/>
      <c r="BX256" s="46"/>
      <c r="BY256" s="46"/>
      <c r="BZ256" s="46"/>
      <c r="CA256" s="257"/>
      <c r="CB256" s="196"/>
      <c r="CC256" s="46"/>
      <c r="CD256" s="257"/>
      <c r="CE256" s="46"/>
      <c r="CF256" s="46"/>
      <c r="CG256" s="257"/>
      <c r="CH256" s="46"/>
      <c r="CI256" s="46"/>
      <c r="CJ256" s="46"/>
      <c r="CK256" s="46"/>
      <c r="CL256" s="46"/>
      <c r="CM256" s="257"/>
      <c r="CN256" s="46"/>
      <c r="CO256" s="376"/>
      <c r="CP256" s="257"/>
      <c r="CQ256" s="196"/>
      <c r="CR256" s="191"/>
      <c r="CS256" s="257">
        <f t="shared" si="16"/>
        <v>0</v>
      </c>
      <c r="CT256" s="196"/>
      <c r="CU256" s="317"/>
      <c r="CV256" s="391">
        <f t="shared" si="17"/>
        <v>0</v>
      </c>
      <c r="CW256" s="41"/>
      <c r="CX256" s="41"/>
      <c r="CY256" s="256"/>
      <c r="CZ256" s="308"/>
      <c r="DA256" s="308"/>
      <c r="DB256" s="420"/>
      <c r="DC256" s="41"/>
      <c r="DD256" s="41"/>
      <c r="DE256" s="256"/>
      <c r="DF256" s="41"/>
      <c r="DG256" s="41"/>
      <c r="DH256" s="391"/>
      <c r="DI256" s="41"/>
      <c r="DJ256" s="41"/>
      <c r="DK256" s="203"/>
      <c r="DL256" s="256"/>
      <c r="DM256" s="41"/>
      <c r="DN256" s="41"/>
      <c r="DO256" s="41"/>
      <c r="DP256" s="420"/>
      <c r="DQ256" s="41"/>
      <c r="DR256" s="41"/>
      <c r="DS256" s="203"/>
      <c r="DT256" s="256"/>
      <c r="DU256" s="46"/>
      <c r="DV256" s="46"/>
      <c r="DW256" s="196"/>
      <c r="DX256" s="391"/>
      <c r="DY256" s="41"/>
      <c r="DZ256" s="41"/>
      <c r="EA256" s="41"/>
      <c r="EB256" s="69"/>
      <c r="EC256" s="41"/>
      <c r="ED256" s="41"/>
      <c r="EE256" s="41"/>
      <c r="EF256" s="420"/>
      <c r="EG256" s="41"/>
      <c r="EH256" s="41"/>
      <c r="EI256" s="41"/>
      <c r="EJ256" s="256"/>
      <c r="EK256" s="41"/>
      <c r="EL256" s="41"/>
      <c r="EM256" s="41"/>
      <c r="EN256" s="391"/>
    </row>
    <row r="257" spans="1:144" ht="25.5">
      <c r="A257" s="45">
        <v>250</v>
      </c>
      <c r="B257" s="53" t="s">
        <v>301</v>
      </c>
      <c r="C257" s="45">
        <v>3</v>
      </c>
      <c r="D257" s="53" t="s">
        <v>588</v>
      </c>
      <c r="E257" s="54">
        <v>3</v>
      </c>
      <c r="F257" s="56">
        <v>7</v>
      </c>
      <c r="G257" s="397">
        <f>39761.316/1000</f>
        <v>39.761316000000001</v>
      </c>
      <c r="H257" s="59">
        <v>0</v>
      </c>
      <c r="I257" s="59">
        <v>39761.315999999999</v>
      </c>
      <c r="J257" s="398">
        <v>164.77391</v>
      </c>
      <c r="K257" s="414">
        <f t="shared" si="18"/>
        <v>204.53522599999999</v>
      </c>
      <c r="L257" s="397"/>
      <c r="M257" s="397"/>
      <c r="N257" s="397">
        <f t="shared" si="20"/>
        <v>204.53522599999999</v>
      </c>
      <c r="O257" s="399">
        <f t="shared" si="19"/>
        <v>156</v>
      </c>
      <c r="P257" s="369" t="s">
        <v>1012</v>
      </c>
      <c r="Q257" s="46"/>
      <c r="R257" s="218"/>
      <c r="S257" s="257"/>
      <c r="T257" s="196"/>
      <c r="U257" s="46"/>
      <c r="V257" s="46"/>
      <c r="W257" s="257"/>
      <c r="X257" s="46"/>
      <c r="Y257" s="46"/>
      <c r="Z257" s="46"/>
      <c r="AA257" s="257"/>
      <c r="AB257" s="196"/>
      <c r="AC257" s="46"/>
      <c r="AD257" s="167"/>
      <c r="AE257" s="257"/>
      <c r="AF257" s="196" t="s">
        <v>229</v>
      </c>
      <c r="AG257" s="46" t="s">
        <v>335</v>
      </c>
      <c r="AH257" s="46">
        <v>120</v>
      </c>
      <c r="AI257" s="196" t="s">
        <v>552</v>
      </c>
      <c r="AJ257" s="400">
        <f t="shared" si="21"/>
        <v>156000</v>
      </c>
      <c r="AK257" s="196"/>
      <c r="AL257" s="46"/>
      <c r="AM257" s="218"/>
      <c r="AN257" s="257"/>
      <c r="AO257" s="196"/>
      <c r="AP257" s="46"/>
      <c r="AQ257" s="257"/>
      <c r="AR257" s="196"/>
      <c r="AS257" s="46"/>
      <c r="AT257" s="257"/>
      <c r="AU257" s="196"/>
      <c r="AV257" s="46"/>
      <c r="AW257" s="257"/>
      <c r="AX257" s="196"/>
      <c r="AY257" s="46"/>
      <c r="AZ257" s="257"/>
      <c r="BA257" s="46"/>
      <c r="BB257" s="46"/>
      <c r="BC257" s="46"/>
      <c r="BD257" s="46"/>
      <c r="BE257" s="46"/>
      <c r="BF257" s="257"/>
      <c r="BG257" s="46"/>
      <c r="BH257" s="46"/>
      <c r="BI257" s="46"/>
      <c r="BJ257" s="196"/>
      <c r="BK257" s="46"/>
      <c r="BL257" s="46"/>
      <c r="BM257" s="46"/>
      <c r="BN257" s="46"/>
      <c r="BO257" s="257"/>
      <c r="BP257" s="196"/>
      <c r="BQ257" s="190"/>
      <c r="BR257" s="257"/>
      <c r="BS257" s="46"/>
      <c r="BT257" s="46"/>
      <c r="BU257" s="257"/>
      <c r="BV257" s="196"/>
      <c r="BW257" s="46"/>
      <c r="BX257" s="46"/>
      <c r="BY257" s="46"/>
      <c r="BZ257" s="46"/>
      <c r="CA257" s="257"/>
      <c r="CB257" s="196"/>
      <c r="CC257" s="46"/>
      <c r="CD257" s="257"/>
      <c r="CE257" s="46"/>
      <c r="CF257" s="46"/>
      <c r="CG257" s="257"/>
      <c r="CH257" s="46"/>
      <c r="CI257" s="46"/>
      <c r="CJ257" s="46"/>
      <c r="CK257" s="46"/>
      <c r="CL257" s="46"/>
      <c r="CM257" s="257"/>
      <c r="CN257" s="46"/>
      <c r="CO257" s="376"/>
      <c r="CP257" s="257"/>
      <c r="CQ257" s="196"/>
      <c r="CR257" s="190"/>
      <c r="CS257" s="257">
        <f t="shared" si="16"/>
        <v>0</v>
      </c>
      <c r="CT257" s="196"/>
      <c r="CU257" s="317"/>
      <c r="CV257" s="391">
        <f t="shared" si="17"/>
        <v>0</v>
      </c>
      <c r="CW257" s="41"/>
      <c r="CX257" s="41"/>
      <c r="CY257" s="256"/>
      <c r="CZ257" s="308"/>
      <c r="DA257" s="308"/>
      <c r="DB257" s="420"/>
      <c r="DC257" s="41"/>
      <c r="DD257" s="41"/>
      <c r="DE257" s="256"/>
      <c r="DF257" s="41"/>
      <c r="DG257" s="41"/>
      <c r="DH257" s="391"/>
      <c r="DI257" s="41"/>
      <c r="DJ257" s="41"/>
      <c r="DK257" s="203"/>
      <c r="DL257" s="256"/>
      <c r="DM257" s="41"/>
      <c r="DN257" s="41"/>
      <c r="DO257" s="41"/>
      <c r="DP257" s="420"/>
      <c r="DQ257" s="41"/>
      <c r="DR257" s="41"/>
      <c r="DS257" s="203"/>
      <c r="DT257" s="256"/>
      <c r="DU257" s="46"/>
      <c r="DV257" s="46"/>
      <c r="DW257" s="196"/>
      <c r="DX257" s="391"/>
      <c r="DY257" s="41"/>
      <c r="DZ257" s="41"/>
      <c r="EA257" s="41"/>
      <c r="EB257" s="69"/>
      <c r="EC257" s="41"/>
      <c r="ED257" s="41"/>
      <c r="EE257" s="41"/>
      <c r="EF257" s="420"/>
      <c r="EG257" s="41"/>
      <c r="EH257" s="41"/>
      <c r="EI257" s="41"/>
      <c r="EJ257" s="256"/>
      <c r="EK257" s="41"/>
      <c r="EL257" s="41"/>
      <c r="EM257" s="41"/>
      <c r="EN257" s="391"/>
    </row>
    <row r="258" spans="1:144" ht="25.5">
      <c r="A258" s="45">
        <v>251</v>
      </c>
      <c r="B258" s="53" t="s">
        <v>301</v>
      </c>
      <c r="C258" s="45">
        <v>3</v>
      </c>
      <c r="D258" s="53" t="s">
        <v>588</v>
      </c>
      <c r="E258" s="54">
        <v>4</v>
      </c>
      <c r="F258" s="56">
        <v>7</v>
      </c>
      <c r="G258" s="397">
        <f>11420.136/1000</f>
        <v>11.420136000000001</v>
      </c>
      <c r="H258" s="59">
        <v>0</v>
      </c>
      <c r="I258" s="59">
        <v>11420.136</v>
      </c>
      <c r="J258" s="398">
        <v>45.762526000000001</v>
      </c>
      <c r="K258" s="414">
        <f t="shared" si="18"/>
        <v>57.182662000000001</v>
      </c>
      <c r="L258" s="397"/>
      <c r="M258" s="397"/>
      <c r="N258" s="397">
        <f t="shared" si="20"/>
        <v>57.182662000000001</v>
      </c>
      <c r="O258" s="399">
        <f t="shared" si="19"/>
        <v>52</v>
      </c>
      <c r="P258" s="369" t="s">
        <v>1012</v>
      </c>
      <c r="Q258" s="46"/>
      <c r="R258" s="218"/>
      <c r="S258" s="257"/>
      <c r="T258" s="196"/>
      <c r="U258" s="46"/>
      <c r="V258" s="46"/>
      <c r="W258" s="257"/>
      <c r="X258" s="46"/>
      <c r="Y258" s="46"/>
      <c r="Z258" s="46"/>
      <c r="AA258" s="257"/>
      <c r="AB258" s="196"/>
      <c r="AC258" s="46"/>
      <c r="AD258" s="167"/>
      <c r="AE258" s="257"/>
      <c r="AF258" s="196" t="s">
        <v>249</v>
      </c>
      <c r="AG258" s="46" t="s">
        <v>335</v>
      </c>
      <c r="AH258" s="46">
        <v>40</v>
      </c>
      <c r="AI258" s="196" t="s">
        <v>552</v>
      </c>
      <c r="AJ258" s="400">
        <f t="shared" si="21"/>
        <v>52000</v>
      </c>
      <c r="AK258" s="196"/>
      <c r="AL258" s="46"/>
      <c r="AM258" s="218"/>
      <c r="AN258" s="257"/>
      <c r="AO258" s="196"/>
      <c r="AP258" s="46"/>
      <c r="AQ258" s="257"/>
      <c r="AR258" s="196"/>
      <c r="AS258" s="46"/>
      <c r="AT258" s="257"/>
      <c r="AU258" s="196"/>
      <c r="AV258" s="46"/>
      <c r="AW258" s="257"/>
      <c r="AX258" s="196"/>
      <c r="AY258" s="46"/>
      <c r="AZ258" s="257"/>
      <c r="BA258" s="46"/>
      <c r="BB258" s="46"/>
      <c r="BC258" s="46"/>
      <c r="BD258" s="46"/>
      <c r="BE258" s="46"/>
      <c r="BF258" s="257"/>
      <c r="BG258" s="46"/>
      <c r="BH258" s="46"/>
      <c r="BI258" s="46"/>
      <c r="BJ258" s="196"/>
      <c r="BK258" s="46"/>
      <c r="BL258" s="46"/>
      <c r="BM258" s="46"/>
      <c r="BN258" s="46"/>
      <c r="BO258" s="257"/>
      <c r="BP258" s="196"/>
      <c r="BQ258" s="46"/>
      <c r="BR258" s="257"/>
      <c r="BS258" s="46"/>
      <c r="BT258" s="46"/>
      <c r="BU258" s="257"/>
      <c r="BV258" s="196"/>
      <c r="BW258" s="46"/>
      <c r="BX258" s="46"/>
      <c r="BY258" s="46"/>
      <c r="BZ258" s="46"/>
      <c r="CA258" s="257"/>
      <c r="CB258" s="196"/>
      <c r="CC258" s="46"/>
      <c r="CD258" s="257"/>
      <c r="CE258" s="46"/>
      <c r="CF258" s="46"/>
      <c r="CG258" s="257"/>
      <c r="CH258" s="46"/>
      <c r="CI258" s="46"/>
      <c r="CJ258" s="46"/>
      <c r="CK258" s="46"/>
      <c r="CL258" s="46"/>
      <c r="CM258" s="257"/>
      <c r="CN258" s="46"/>
      <c r="CO258" s="376"/>
      <c r="CP258" s="257"/>
      <c r="CQ258" s="196"/>
      <c r="CR258" s="190"/>
      <c r="CS258" s="257">
        <f t="shared" si="16"/>
        <v>0</v>
      </c>
      <c r="CT258" s="196"/>
      <c r="CU258" s="317"/>
      <c r="CV258" s="391">
        <f t="shared" si="17"/>
        <v>0</v>
      </c>
      <c r="CW258" s="41"/>
      <c r="CX258" s="41"/>
      <c r="CY258" s="256"/>
      <c r="CZ258" s="308"/>
      <c r="DA258" s="308"/>
      <c r="DB258" s="420"/>
      <c r="DC258" s="41"/>
      <c r="DD258" s="41"/>
      <c r="DE258" s="256"/>
      <c r="DF258" s="41"/>
      <c r="DG258" s="41"/>
      <c r="DH258" s="391"/>
      <c r="DI258" s="41"/>
      <c r="DJ258" s="41"/>
      <c r="DK258" s="203"/>
      <c r="DL258" s="256"/>
      <c r="DM258" s="41"/>
      <c r="DN258" s="41"/>
      <c r="DO258" s="41"/>
      <c r="DP258" s="420"/>
      <c r="DQ258" s="41"/>
      <c r="DR258" s="41"/>
      <c r="DS258" s="203"/>
      <c r="DT258" s="256"/>
      <c r="DU258" s="46"/>
      <c r="DV258" s="46"/>
      <c r="DW258" s="196"/>
      <c r="DX258" s="391"/>
      <c r="DY258" s="41"/>
      <c r="DZ258" s="41"/>
      <c r="EA258" s="41"/>
      <c r="EB258" s="69"/>
      <c r="EC258" s="41"/>
      <c r="ED258" s="41"/>
      <c r="EE258" s="41"/>
      <c r="EF258" s="420"/>
      <c r="EG258" s="41"/>
      <c r="EH258" s="41"/>
      <c r="EI258" s="41"/>
      <c r="EJ258" s="256"/>
      <c r="EK258" s="41"/>
      <c r="EL258" s="41"/>
      <c r="EM258" s="41"/>
      <c r="EN258" s="391"/>
    </row>
    <row r="259" spans="1:144" ht="25.5">
      <c r="A259" s="45">
        <v>252</v>
      </c>
      <c r="B259" s="53" t="s">
        <v>301</v>
      </c>
      <c r="C259" s="45">
        <v>3</v>
      </c>
      <c r="D259" s="53" t="s">
        <v>588</v>
      </c>
      <c r="E259" s="54">
        <v>5</v>
      </c>
      <c r="F259" s="56">
        <v>7</v>
      </c>
      <c r="G259" s="397">
        <f>11817.54/1000</f>
        <v>11.817540000000001</v>
      </c>
      <c r="H259" s="59">
        <v>0</v>
      </c>
      <c r="I259" s="59">
        <v>11817.539999999999</v>
      </c>
      <c r="J259" s="398">
        <v>47.449120000000001</v>
      </c>
      <c r="K259" s="414">
        <f t="shared" si="18"/>
        <v>59.266660000000002</v>
      </c>
      <c r="L259" s="397"/>
      <c r="M259" s="397"/>
      <c r="N259" s="397">
        <f t="shared" si="20"/>
        <v>59.266660000000002</v>
      </c>
      <c r="O259" s="399">
        <f t="shared" si="19"/>
        <v>52</v>
      </c>
      <c r="P259" s="369" t="s">
        <v>1012</v>
      </c>
      <c r="Q259" s="46"/>
      <c r="R259" s="218"/>
      <c r="S259" s="257"/>
      <c r="T259" s="196"/>
      <c r="U259" s="46"/>
      <c r="V259" s="46"/>
      <c r="W259" s="257"/>
      <c r="X259" s="46"/>
      <c r="Y259" s="46"/>
      <c r="Z259" s="46"/>
      <c r="AA259" s="257"/>
      <c r="AB259" s="196"/>
      <c r="AC259" s="46"/>
      <c r="AD259" s="167"/>
      <c r="AE259" s="257"/>
      <c r="AF259" s="196" t="s">
        <v>250</v>
      </c>
      <c r="AG259" s="46" t="s">
        <v>335</v>
      </c>
      <c r="AH259" s="46">
        <v>40</v>
      </c>
      <c r="AI259" s="196" t="s">
        <v>552</v>
      </c>
      <c r="AJ259" s="400">
        <f t="shared" si="21"/>
        <v>52000</v>
      </c>
      <c r="AK259" s="196"/>
      <c r="AL259" s="46"/>
      <c r="AM259" s="218"/>
      <c r="AN259" s="257"/>
      <c r="AO259" s="196"/>
      <c r="AP259" s="46"/>
      <c r="AQ259" s="257"/>
      <c r="AR259" s="196"/>
      <c r="AS259" s="46"/>
      <c r="AT259" s="257"/>
      <c r="AU259" s="196"/>
      <c r="AV259" s="46"/>
      <c r="AW259" s="257"/>
      <c r="AX259" s="196"/>
      <c r="AY259" s="46"/>
      <c r="AZ259" s="257"/>
      <c r="BA259" s="46"/>
      <c r="BB259" s="46"/>
      <c r="BC259" s="46"/>
      <c r="BD259" s="46"/>
      <c r="BE259" s="46"/>
      <c r="BF259" s="257"/>
      <c r="BG259" s="46"/>
      <c r="BH259" s="46"/>
      <c r="BI259" s="46"/>
      <c r="BJ259" s="196"/>
      <c r="BK259" s="46"/>
      <c r="BL259" s="46"/>
      <c r="BM259" s="46"/>
      <c r="BN259" s="46"/>
      <c r="BO259" s="257"/>
      <c r="BP259" s="196"/>
      <c r="BQ259" s="46"/>
      <c r="BR259" s="257"/>
      <c r="BS259" s="46"/>
      <c r="BT259" s="46"/>
      <c r="BU259" s="257"/>
      <c r="BV259" s="196"/>
      <c r="BW259" s="46"/>
      <c r="BX259" s="46"/>
      <c r="BY259" s="46"/>
      <c r="BZ259" s="46"/>
      <c r="CA259" s="257"/>
      <c r="CB259" s="196"/>
      <c r="CC259" s="46"/>
      <c r="CD259" s="257"/>
      <c r="CE259" s="46"/>
      <c r="CF259" s="46"/>
      <c r="CG259" s="257"/>
      <c r="CH259" s="46"/>
      <c r="CI259" s="46"/>
      <c r="CJ259" s="46"/>
      <c r="CK259" s="46"/>
      <c r="CL259" s="46"/>
      <c r="CM259" s="257"/>
      <c r="CN259" s="46"/>
      <c r="CO259" s="376"/>
      <c r="CP259" s="257"/>
      <c r="CQ259" s="196"/>
      <c r="CR259" s="191"/>
      <c r="CS259" s="257">
        <f t="shared" si="16"/>
        <v>0</v>
      </c>
      <c r="CT259" s="196"/>
      <c r="CU259" s="317"/>
      <c r="CV259" s="391">
        <f t="shared" si="17"/>
        <v>0</v>
      </c>
      <c r="CW259" s="41"/>
      <c r="CX259" s="41"/>
      <c r="CY259" s="256"/>
      <c r="CZ259" s="308"/>
      <c r="DA259" s="308"/>
      <c r="DB259" s="420"/>
      <c r="DC259" s="41"/>
      <c r="DD259" s="41"/>
      <c r="DE259" s="256"/>
      <c r="DF259" s="41"/>
      <c r="DG259" s="41"/>
      <c r="DH259" s="391"/>
      <c r="DI259" s="41"/>
      <c r="DJ259" s="41"/>
      <c r="DK259" s="203"/>
      <c r="DL259" s="256"/>
      <c r="DM259" s="41"/>
      <c r="DN259" s="41"/>
      <c r="DO259" s="41"/>
      <c r="DP259" s="420"/>
      <c r="DQ259" s="41"/>
      <c r="DR259" s="41"/>
      <c r="DS259" s="203"/>
      <c r="DT259" s="256"/>
      <c r="DU259" s="46"/>
      <c r="DV259" s="46"/>
      <c r="DW259" s="196"/>
      <c r="DX259" s="391"/>
      <c r="DY259" s="41"/>
      <c r="DZ259" s="41"/>
      <c r="EA259" s="41"/>
      <c r="EB259" s="69"/>
      <c r="EC259" s="41"/>
      <c r="ED259" s="41"/>
      <c r="EE259" s="41"/>
      <c r="EF259" s="420"/>
      <c r="EG259" s="41"/>
      <c r="EH259" s="41"/>
      <c r="EI259" s="41"/>
      <c r="EJ259" s="256"/>
      <c r="EK259" s="41"/>
      <c r="EL259" s="41"/>
      <c r="EM259" s="41"/>
      <c r="EN259" s="391"/>
    </row>
    <row r="260" spans="1:144" ht="25.5">
      <c r="A260" s="45">
        <v>253</v>
      </c>
      <c r="B260" s="53" t="s">
        <v>301</v>
      </c>
      <c r="C260" s="45">
        <v>3</v>
      </c>
      <c r="D260" s="53" t="s">
        <v>588</v>
      </c>
      <c r="E260" s="54">
        <v>6</v>
      </c>
      <c r="F260" s="56">
        <v>7</v>
      </c>
      <c r="G260" s="397">
        <f>18311.958/1000</f>
        <v>18.311957999999997</v>
      </c>
      <c r="H260" s="59">
        <v>0</v>
      </c>
      <c r="I260" s="59">
        <v>18311.957999999999</v>
      </c>
      <c r="J260" s="398">
        <v>80.639300000000006</v>
      </c>
      <c r="K260" s="414">
        <f t="shared" si="18"/>
        <v>98.951257999999996</v>
      </c>
      <c r="L260" s="397"/>
      <c r="M260" s="397"/>
      <c r="N260" s="397">
        <f t="shared" si="20"/>
        <v>98.951257999999996</v>
      </c>
      <c r="O260" s="399">
        <f t="shared" si="19"/>
        <v>78</v>
      </c>
      <c r="P260" s="369" t="s">
        <v>1012</v>
      </c>
      <c r="Q260" s="46"/>
      <c r="R260" s="218"/>
      <c r="S260" s="257"/>
      <c r="T260" s="196"/>
      <c r="U260" s="46"/>
      <c r="V260" s="46"/>
      <c r="W260" s="257"/>
      <c r="X260" s="46"/>
      <c r="Y260" s="46"/>
      <c r="Z260" s="46"/>
      <c r="AA260" s="257"/>
      <c r="AB260" s="196"/>
      <c r="AC260" s="46"/>
      <c r="AD260" s="167"/>
      <c r="AE260" s="257"/>
      <c r="AF260" s="196" t="s">
        <v>250</v>
      </c>
      <c r="AG260" s="46" t="s">
        <v>335</v>
      </c>
      <c r="AH260" s="46">
        <v>60</v>
      </c>
      <c r="AI260" s="196" t="s">
        <v>552</v>
      </c>
      <c r="AJ260" s="400">
        <f t="shared" si="21"/>
        <v>78000</v>
      </c>
      <c r="AK260" s="196"/>
      <c r="AL260" s="46"/>
      <c r="AM260" s="218"/>
      <c r="AN260" s="257"/>
      <c r="AO260" s="196"/>
      <c r="AP260" s="46"/>
      <c r="AQ260" s="257"/>
      <c r="AR260" s="196"/>
      <c r="AS260" s="46"/>
      <c r="AT260" s="257"/>
      <c r="AU260" s="196"/>
      <c r="AV260" s="46"/>
      <c r="AW260" s="257"/>
      <c r="AX260" s="196"/>
      <c r="AY260" s="46"/>
      <c r="AZ260" s="257"/>
      <c r="BA260" s="46"/>
      <c r="BB260" s="46"/>
      <c r="BC260" s="46"/>
      <c r="BD260" s="46"/>
      <c r="BE260" s="46"/>
      <c r="BF260" s="257"/>
      <c r="BG260" s="46"/>
      <c r="BH260" s="46"/>
      <c r="BI260" s="46"/>
      <c r="BJ260" s="196"/>
      <c r="BK260" s="46"/>
      <c r="BL260" s="46"/>
      <c r="BM260" s="46"/>
      <c r="BN260" s="46"/>
      <c r="BO260" s="257"/>
      <c r="BP260" s="196"/>
      <c r="BQ260" s="46"/>
      <c r="BR260" s="257"/>
      <c r="BS260" s="46"/>
      <c r="BT260" s="46"/>
      <c r="BU260" s="257"/>
      <c r="BV260" s="196"/>
      <c r="BW260" s="46"/>
      <c r="BX260" s="46"/>
      <c r="BY260" s="46"/>
      <c r="BZ260" s="46"/>
      <c r="CA260" s="257"/>
      <c r="CB260" s="196"/>
      <c r="CC260" s="46"/>
      <c r="CD260" s="257"/>
      <c r="CE260" s="46"/>
      <c r="CF260" s="46"/>
      <c r="CG260" s="257"/>
      <c r="CH260" s="46"/>
      <c r="CI260" s="46"/>
      <c r="CJ260" s="46"/>
      <c r="CK260" s="46"/>
      <c r="CL260" s="46"/>
      <c r="CM260" s="257"/>
      <c r="CN260" s="46"/>
      <c r="CO260" s="376"/>
      <c r="CP260" s="257"/>
      <c r="CQ260" s="196"/>
      <c r="CR260" s="191"/>
      <c r="CS260" s="257">
        <f t="shared" si="16"/>
        <v>0</v>
      </c>
      <c r="CT260" s="196"/>
      <c r="CU260" s="317"/>
      <c r="CV260" s="391">
        <f t="shared" si="17"/>
        <v>0</v>
      </c>
      <c r="CW260" s="41"/>
      <c r="CX260" s="41"/>
      <c r="CY260" s="256"/>
      <c r="CZ260" s="308"/>
      <c r="DA260" s="308"/>
      <c r="DB260" s="420"/>
      <c r="DC260" s="41"/>
      <c r="DD260" s="41"/>
      <c r="DE260" s="256"/>
      <c r="DF260" s="41"/>
      <c r="DG260" s="41"/>
      <c r="DH260" s="391"/>
      <c r="DI260" s="41"/>
      <c r="DJ260" s="41"/>
      <c r="DK260" s="203"/>
      <c r="DL260" s="256"/>
      <c r="DM260" s="41"/>
      <c r="DN260" s="41"/>
      <c r="DO260" s="41"/>
      <c r="DP260" s="420"/>
      <c r="DQ260" s="41"/>
      <c r="DR260" s="41"/>
      <c r="DS260" s="203"/>
      <c r="DT260" s="256"/>
      <c r="DU260" s="46"/>
      <c r="DV260" s="46"/>
      <c r="DW260" s="196"/>
      <c r="DX260" s="391"/>
      <c r="DY260" s="41"/>
      <c r="DZ260" s="41"/>
      <c r="EA260" s="41"/>
      <c r="EB260" s="69"/>
      <c r="EC260" s="41"/>
      <c r="ED260" s="41"/>
      <c r="EE260" s="41"/>
      <c r="EF260" s="420"/>
      <c r="EG260" s="41"/>
      <c r="EH260" s="41"/>
      <c r="EI260" s="41"/>
      <c r="EJ260" s="256"/>
      <c r="EK260" s="41"/>
      <c r="EL260" s="41"/>
      <c r="EM260" s="41"/>
      <c r="EN260" s="391"/>
    </row>
    <row r="261" spans="1:144" ht="25.5">
      <c r="A261" s="45">
        <v>254</v>
      </c>
      <c r="B261" s="53" t="s">
        <v>301</v>
      </c>
      <c r="C261" s="45">
        <v>3</v>
      </c>
      <c r="D261" s="53" t="s">
        <v>588</v>
      </c>
      <c r="E261" s="54">
        <v>7</v>
      </c>
      <c r="F261" s="56">
        <v>7</v>
      </c>
      <c r="G261" s="397">
        <f>46318.482/1000</f>
        <v>46.318482000000003</v>
      </c>
      <c r="H261" s="59">
        <v>0</v>
      </c>
      <c r="I261" s="59">
        <v>46318.481999999996</v>
      </c>
      <c r="J261" s="398">
        <v>202.01379999999997</v>
      </c>
      <c r="K261" s="414">
        <f t="shared" si="18"/>
        <v>248.33228199999996</v>
      </c>
      <c r="L261" s="397"/>
      <c r="M261" s="397"/>
      <c r="N261" s="397">
        <f t="shared" si="20"/>
        <v>248.33228199999996</v>
      </c>
      <c r="O261" s="399">
        <f t="shared" si="19"/>
        <v>156</v>
      </c>
      <c r="P261" s="369" t="s">
        <v>1012</v>
      </c>
      <c r="Q261" s="46"/>
      <c r="R261" s="218"/>
      <c r="S261" s="257"/>
      <c r="T261" s="196"/>
      <c r="U261" s="46"/>
      <c r="V261" s="46"/>
      <c r="W261" s="257"/>
      <c r="X261" s="46"/>
      <c r="Y261" s="46"/>
      <c r="Z261" s="46"/>
      <c r="AA261" s="257"/>
      <c r="AB261" s="196"/>
      <c r="AC261" s="46"/>
      <c r="AD261" s="167"/>
      <c r="AE261" s="257"/>
      <c r="AF261" s="196" t="s">
        <v>250</v>
      </c>
      <c r="AG261" s="46" t="s">
        <v>335</v>
      </c>
      <c r="AH261" s="46">
        <v>120</v>
      </c>
      <c r="AI261" s="196" t="s">
        <v>552</v>
      </c>
      <c r="AJ261" s="400">
        <f t="shared" si="21"/>
        <v>156000</v>
      </c>
      <c r="AK261" s="196"/>
      <c r="AL261" s="46"/>
      <c r="AM261" s="218"/>
      <c r="AN261" s="257"/>
      <c r="AO261" s="196"/>
      <c r="AP261" s="46"/>
      <c r="AQ261" s="257"/>
      <c r="AR261" s="196"/>
      <c r="AS261" s="46"/>
      <c r="AT261" s="257"/>
      <c r="AU261" s="196"/>
      <c r="AV261" s="46"/>
      <c r="AW261" s="257"/>
      <c r="AX261" s="196"/>
      <c r="AY261" s="46"/>
      <c r="AZ261" s="257"/>
      <c r="BA261" s="46"/>
      <c r="BB261" s="46"/>
      <c r="BC261" s="46"/>
      <c r="BD261" s="46"/>
      <c r="BE261" s="46"/>
      <c r="BF261" s="257"/>
      <c r="BG261" s="46"/>
      <c r="BH261" s="46"/>
      <c r="BI261" s="46"/>
      <c r="BJ261" s="196"/>
      <c r="BK261" s="46"/>
      <c r="BL261" s="46"/>
      <c r="BM261" s="46"/>
      <c r="BN261" s="46"/>
      <c r="BO261" s="257"/>
      <c r="BP261" s="196"/>
      <c r="BQ261" s="46"/>
      <c r="BR261" s="257"/>
      <c r="BS261" s="46"/>
      <c r="BT261" s="46"/>
      <c r="BU261" s="257"/>
      <c r="BV261" s="196"/>
      <c r="BW261" s="46"/>
      <c r="BX261" s="46"/>
      <c r="BY261" s="46"/>
      <c r="BZ261" s="46"/>
      <c r="CA261" s="257"/>
      <c r="CB261" s="196"/>
      <c r="CC261" s="46"/>
      <c r="CD261" s="257"/>
      <c r="CE261" s="46"/>
      <c r="CF261" s="46"/>
      <c r="CG261" s="257"/>
      <c r="CH261" s="46"/>
      <c r="CI261" s="46"/>
      <c r="CJ261" s="46"/>
      <c r="CK261" s="46"/>
      <c r="CL261" s="46"/>
      <c r="CM261" s="257"/>
      <c r="CN261" s="46"/>
      <c r="CO261" s="376"/>
      <c r="CP261" s="257"/>
      <c r="CQ261" s="196"/>
      <c r="CR261" s="190"/>
      <c r="CS261" s="257">
        <f t="shared" si="16"/>
        <v>0</v>
      </c>
      <c r="CT261" s="196"/>
      <c r="CU261" s="317"/>
      <c r="CV261" s="391">
        <f t="shared" si="17"/>
        <v>0</v>
      </c>
      <c r="CW261" s="41"/>
      <c r="CX261" s="41"/>
      <c r="CY261" s="256"/>
      <c r="CZ261" s="308"/>
      <c r="DA261" s="308"/>
      <c r="DB261" s="420"/>
      <c r="DC261" s="41"/>
      <c r="DD261" s="41"/>
      <c r="DE261" s="256"/>
      <c r="DF261" s="41"/>
      <c r="DG261" s="41"/>
      <c r="DH261" s="391"/>
      <c r="DI261" s="41"/>
      <c r="DJ261" s="41"/>
      <c r="DK261" s="203"/>
      <c r="DL261" s="256"/>
      <c r="DM261" s="41"/>
      <c r="DN261" s="41"/>
      <c r="DO261" s="41"/>
      <c r="DP261" s="420"/>
      <c r="DQ261" s="41"/>
      <c r="DR261" s="41"/>
      <c r="DS261" s="203"/>
      <c r="DT261" s="256"/>
      <c r="DU261" s="46"/>
      <c r="DV261" s="46"/>
      <c r="DW261" s="196"/>
      <c r="DX261" s="391"/>
      <c r="DY261" s="41"/>
      <c r="DZ261" s="41"/>
      <c r="EA261" s="41"/>
      <c r="EB261" s="69"/>
      <c r="EC261" s="41"/>
      <c r="ED261" s="41"/>
      <c r="EE261" s="41"/>
      <c r="EF261" s="420"/>
      <c r="EG261" s="41"/>
      <c r="EH261" s="41"/>
      <c r="EI261" s="41"/>
      <c r="EJ261" s="256"/>
      <c r="EK261" s="41"/>
      <c r="EL261" s="41"/>
      <c r="EM261" s="41"/>
      <c r="EN261" s="391"/>
    </row>
    <row r="262" spans="1:144" s="50" customFormat="1">
      <c r="A262" s="179"/>
      <c r="B262" s="179"/>
      <c r="C262" s="179"/>
      <c r="D262" s="192" t="s">
        <v>209</v>
      </c>
      <c r="E262" s="179"/>
      <c r="F262" s="179"/>
      <c r="G262" s="495">
        <f t="shared" ref="G262:N262" si="22">SUM(G8:G261)</f>
        <v>30502.227934799987</v>
      </c>
      <c r="H262" s="181">
        <f t="shared" si="22"/>
        <v>24466298.3136</v>
      </c>
      <c r="I262" s="181">
        <f t="shared" si="22"/>
        <v>6035929.6211999962</v>
      </c>
      <c r="J262" s="495">
        <f t="shared" si="22"/>
        <v>43827.398767499981</v>
      </c>
      <c r="K262" s="495">
        <f t="shared" si="22"/>
        <v>74329.626702300025</v>
      </c>
      <c r="L262" s="495">
        <f t="shared" si="22"/>
        <v>0</v>
      </c>
      <c r="M262" s="495">
        <f t="shared" si="22"/>
        <v>0</v>
      </c>
      <c r="N262" s="495">
        <f t="shared" si="22"/>
        <v>74002.206702300027</v>
      </c>
      <c r="O262" s="537">
        <f>SUM(O8:O261)</f>
        <v>56713.133890000005</v>
      </c>
      <c r="P262" s="198"/>
      <c r="Q262" s="181">
        <f>SUM(Q8:Q261)</f>
        <v>92</v>
      </c>
      <c r="R262" s="198"/>
      <c r="S262" s="253">
        <f>SUM(S8:S261)</f>
        <v>13164600</v>
      </c>
      <c r="T262" s="198"/>
      <c r="U262" s="181">
        <f t="shared" ref="U262:AA262" si="23">SUM(U8:U261)</f>
        <v>0</v>
      </c>
      <c r="V262" s="181">
        <f t="shared" si="23"/>
        <v>0</v>
      </c>
      <c r="W262" s="253">
        <f t="shared" si="23"/>
        <v>0</v>
      </c>
      <c r="X262" s="253">
        <f t="shared" si="23"/>
        <v>0</v>
      </c>
      <c r="Y262" s="253">
        <f t="shared" si="23"/>
        <v>0</v>
      </c>
      <c r="Z262" s="253">
        <f t="shared" si="23"/>
        <v>0</v>
      </c>
      <c r="AA262" s="253">
        <f t="shared" si="23"/>
        <v>0</v>
      </c>
      <c r="AB262" s="198"/>
      <c r="AC262" s="181">
        <f>SUM(AC8:AC261)</f>
        <v>1113</v>
      </c>
      <c r="AD262" s="198"/>
      <c r="AE262" s="253">
        <f>SUM(AE8:AE261)</f>
        <v>834750</v>
      </c>
      <c r="AF262" s="198"/>
      <c r="AG262" s="181">
        <f>SUM(AG8:AG261)</f>
        <v>0</v>
      </c>
      <c r="AH262" s="181">
        <f>SUM(AH8:AH261)</f>
        <v>6448</v>
      </c>
      <c r="AI262" s="198"/>
      <c r="AJ262" s="400">
        <f>SUM(AJ8:AJ261)</f>
        <v>9440400</v>
      </c>
      <c r="AK262" s="198"/>
      <c r="AL262" s="181">
        <f>SUM(AL8:AL261)</f>
        <v>0</v>
      </c>
      <c r="AM262" s="538"/>
      <c r="AN262" s="253">
        <f>SUM(AN8:AN261)</f>
        <v>0</v>
      </c>
      <c r="AO262" s="198"/>
      <c r="AP262" s="181">
        <f>SUM(AP8:AP261)</f>
        <v>564</v>
      </c>
      <c r="AQ262" s="253">
        <f>SUM(AQ8:AQ261)</f>
        <v>1597400</v>
      </c>
      <c r="AR262" s="198"/>
      <c r="AS262" s="181">
        <f>SUM(AS8:AS261)</f>
        <v>130</v>
      </c>
      <c r="AT262" s="253">
        <f>SUM(AT8:AT261)</f>
        <v>732500</v>
      </c>
      <c r="AU262" s="198"/>
      <c r="AV262" s="181">
        <f>SUM(AV8:AV261)</f>
        <v>1728</v>
      </c>
      <c r="AW262" s="253">
        <f>SUM(AW8:AW261)</f>
        <v>6414000</v>
      </c>
      <c r="AX262" s="198"/>
      <c r="AY262" s="181">
        <f>SUM(AY8:AY261)</f>
        <v>539</v>
      </c>
      <c r="AZ262" s="253">
        <f>SUM(AZ8:AZ261)</f>
        <v>947700</v>
      </c>
      <c r="BA262" s="181"/>
      <c r="BB262" s="181">
        <f>SUM(BB8:BB261)</f>
        <v>0</v>
      </c>
      <c r="BC262" s="181">
        <f>SUM(BC8:BC261)</f>
        <v>0</v>
      </c>
      <c r="BD262" s="181"/>
      <c r="BE262" s="181">
        <f>SUM(BE8:BE261)</f>
        <v>20</v>
      </c>
      <c r="BF262" s="253">
        <f>SUM(BF8:BF261)</f>
        <v>50000</v>
      </c>
      <c r="BG262" s="46"/>
      <c r="BH262" s="46">
        <f>SUM(BH8:BH261)</f>
        <v>0</v>
      </c>
      <c r="BI262" s="46">
        <f>SUM(BI8:BI261)</f>
        <v>0</v>
      </c>
      <c r="BJ262" s="198"/>
      <c r="BK262" s="181">
        <f>SUM(BK8:BK261)</f>
        <v>0</v>
      </c>
      <c r="BL262" s="253">
        <f>SUM(BL8:BL261)</f>
        <v>0</v>
      </c>
      <c r="BM262" s="46">
        <f>SUM(BM8:BM261)</f>
        <v>0</v>
      </c>
      <c r="BN262" s="46">
        <f>SUM(BN8:BN261)</f>
        <v>0</v>
      </c>
      <c r="BO262" s="257">
        <f>SUM(BO8:BO261)</f>
        <v>0</v>
      </c>
      <c r="BP262" s="198"/>
      <c r="BQ262" s="446">
        <f>SUM(BQ8:BQ261)</f>
        <v>215</v>
      </c>
      <c r="BR262" s="253">
        <f>SUM(BR8:BR261)</f>
        <v>2801100</v>
      </c>
      <c r="BS262" s="181">
        <f>SUM(BS8:BS261)</f>
        <v>0</v>
      </c>
      <c r="BT262" s="181">
        <f>SUM(BT8:BT261)</f>
        <v>0</v>
      </c>
      <c r="BU262" s="253">
        <f>SUM(BU8:BU261)</f>
        <v>0</v>
      </c>
      <c r="BV262" s="198"/>
      <c r="BW262" s="181">
        <f>SUM(BW8:BW261)</f>
        <v>0</v>
      </c>
      <c r="BX262" s="253">
        <f>SUM(BX8:BX261)</f>
        <v>0</v>
      </c>
      <c r="BY262" s="181">
        <f>SUM(BY8:BY261)</f>
        <v>0</v>
      </c>
      <c r="BZ262" s="181">
        <f>SUM(BZ8:BZ261)</f>
        <v>0</v>
      </c>
      <c r="CA262" s="253">
        <f>SUM(CA8:CA261)</f>
        <v>0</v>
      </c>
      <c r="CB262" s="198"/>
      <c r="CC262" s="181">
        <f t="shared" ref="CC262:CP262" si="24">SUM(CC8:CC261)</f>
        <v>1666</v>
      </c>
      <c r="CD262" s="253">
        <f t="shared" si="24"/>
        <v>2998800</v>
      </c>
      <c r="CE262" s="181">
        <f t="shared" si="24"/>
        <v>0</v>
      </c>
      <c r="CF262" s="181">
        <f t="shared" si="24"/>
        <v>0</v>
      </c>
      <c r="CG262" s="253">
        <f t="shared" si="24"/>
        <v>0</v>
      </c>
      <c r="CH262" s="181">
        <f t="shared" si="24"/>
        <v>0</v>
      </c>
      <c r="CI262" s="181">
        <f t="shared" si="24"/>
        <v>0</v>
      </c>
      <c r="CJ262" s="181">
        <f t="shared" si="24"/>
        <v>0</v>
      </c>
      <c r="CK262" s="181">
        <f t="shared" si="24"/>
        <v>0</v>
      </c>
      <c r="CL262" s="181">
        <f t="shared" si="24"/>
        <v>0</v>
      </c>
      <c r="CM262" s="253">
        <f t="shared" si="24"/>
        <v>0</v>
      </c>
      <c r="CN262" s="181"/>
      <c r="CO262" s="539"/>
      <c r="CP262" s="253">
        <f t="shared" si="24"/>
        <v>400000</v>
      </c>
      <c r="CQ262" s="198"/>
      <c r="CR262" s="540"/>
      <c r="CS262" s="257">
        <f t="shared" si="16"/>
        <v>8222400</v>
      </c>
      <c r="CT262" s="538">
        <f>SUM(CT8:CT261)</f>
        <v>0</v>
      </c>
      <c r="CU262" s="330">
        <f>SUM(CU8:CU261)</f>
        <v>0</v>
      </c>
      <c r="CV262" s="427">
        <f>SUM(CV8:CV261)</f>
        <v>79848.42</v>
      </c>
      <c r="CW262" s="49"/>
      <c r="CX262" s="49">
        <f>SUM(CX8:CX261)</f>
        <v>89</v>
      </c>
      <c r="CY262" s="244">
        <f>SUM(CY8:CY261)</f>
        <v>2225000</v>
      </c>
      <c r="CZ262" s="316">
        <f>SUM(CZ8:CZ261)</f>
        <v>1</v>
      </c>
      <c r="DA262" s="316">
        <f>SUM(DA8:DA261)</f>
        <v>3</v>
      </c>
      <c r="DB262" s="421">
        <f>SUM(DB8:DB261)</f>
        <v>20271.86</v>
      </c>
      <c r="DC262" s="49"/>
      <c r="DD262" s="49">
        <f>SUM(DD8:DD261)</f>
        <v>3828</v>
      </c>
      <c r="DE262" s="244">
        <f>SUM(DE8:DE261)</f>
        <v>3999400</v>
      </c>
      <c r="DF262" s="49">
        <f>SUM(DF8:DF261)</f>
        <v>0</v>
      </c>
      <c r="DG262" s="49">
        <f>SUM(DG8:DG261)</f>
        <v>0</v>
      </c>
      <c r="DH262" s="427">
        <f>SUM(DH8:DH261)</f>
        <v>0</v>
      </c>
      <c r="DI262" s="49"/>
      <c r="DJ262" s="49">
        <f t="shared" ref="DJ262:DX262" si="25">SUM(DJ8:DJ261)</f>
        <v>42</v>
      </c>
      <c r="DK262" s="204">
        <f t="shared" si="25"/>
        <v>3</v>
      </c>
      <c r="DL262" s="244">
        <f t="shared" si="25"/>
        <v>599000</v>
      </c>
      <c r="DM262" s="49">
        <f t="shared" si="25"/>
        <v>0</v>
      </c>
      <c r="DN262" s="49">
        <f t="shared" si="25"/>
        <v>0</v>
      </c>
      <c r="DO262" s="49">
        <f t="shared" si="25"/>
        <v>0</v>
      </c>
      <c r="DP262" s="421">
        <f t="shared" si="25"/>
        <v>0</v>
      </c>
      <c r="DQ262" s="49">
        <f t="shared" si="25"/>
        <v>137</v>
      </c>
      <c r="DR262" s="49">
        <f t="shared" si="25"/>
        <v>58</v>
      </c>
      <c r="DS262" s="204">
        <f t="shared" si="25"/>
        <v>2</v>
      </c>
      <c r="DT262" s="244">
        <f t="shared" si="25"/>
        <v>1119000</v>
      </c>
      <c r="DU262" s="181">
        <f t="shared" si="25"/>
        <v>0</v>
      </c>
      <c r="DV262" s="181">
        <f t="shared" si="25"/>
        <v>0</v>
      </c>
      <c r="DW262" s="198">
        <f t="shared" si="25"/>
        <v>0</v>
      </c>
      <c r="DX262" s="427">
        <f t="shared" si="25"/>
        <v>0</v>
      </c>
      <c r="DY262" s="49"/>
      <c r="DZ262" s="49">
        <f t="shared" ref="DZ262:EF262" si="26">SUM(DZ8:DZ261)</f>
        <v>6</v>
      </c>
      <c r="EA262" s="49">
        <f t="shared" si="26"/>
        <v>248.07</v>
      </c>
      <c r="EB262" s="49">
        <f t="shared" si="26"/>
        <v>150000</v>
      </c>
      <c r="EC262" s="49">
        <f t="shared" si="26"/>
        <v>0</v>
      </c>
      <c r="ED262" s="49">
        <f t="shared" si="26"/>
        <v>0</v>
      </c>
      <c r="EE262" s="49">
        <f t="shared" si="26"/>
        <v>0</v>
      </c>
      <c r="EF262" s="421">
        <f t="shared" si="26"/>
        <v>0</v>
      </c>
      <c r="EG262" s="49"/>
      <c r="EH262" s="49">
        <f>SUM(EH8:EH261)</f>
        <v>10</v>
      </c>
      <c r="EI262" s="49"/>
      <c r="EJ262" s="244">
        <f>SUM(EJ8:EJ261)</f>
        <v>130000</v>
      </c>
      <c r="EK262" s="49">
        <f>SUM(EK8:EK261)</f>
        <v>1</v>
      </c>
      <c r="EL262" s="49">
        <f>SUM(EL8:EL261)</f>
        <v>1</v>
      </c>
      <c r="EM262" s="49">
        <f>SUM(EM8:EM261)</f>
        <v>1</v>
      </c>
      <c r="EN262" s="427">
        <f>SUM(EN8:EN261)</f>
        <v>10057.75</v>
      </c>
    </row>
    <row r="263" spans="1:144" ht="55.15" customHeight="1">
      <c r="B263" s="408" t="s">
        <v>457</v>
      </c>
      <c r="C263" s="408"/>
      <c r="D263" s="408"/>
      <c r="L263" s="541" t="s">
        <v>424</v>
      </c>
      <c r="M263" s="541"/>
      <c r="R263" s="199"/>
      <c r="AD263" s="161"/>
      <c r="BL263" s="161"/>
      <c r="BX263" s="161"/>
      <c r="CT263" s="199"/>
      <c r="CY263" s="258"/>
      <c r="DE263" s="258"/>
      <c r="DF263" s="38"/>
      <c r="DG263" s="38"/>
      <c r="DL263" s="258"/>
      <c r="DT263" s="258"/>
      <c r="EB263" s="70"/>
      <c r="EJ263" s="258"/>
    </row>
    <row r="264" spans="1:144" ht="25.5">
      <c r="D264" s="172" t="s">
        <v>457</v>
      </c>
      <c r="K264" s="492" t="s">
        <v>602</v>
      </c>
      <c r="CY264" s="258"/>
      <c r="DE264" s="258"/>
      <c r="DL264" s="258"/>
      <c r="DT264" s="258"/>
      <c r="EB264" s="70"/>
      <c r="EJ264" s="258"/>
    </row>
    <row r="265" spans="1:144">
      <c r="A265" s="360"/>
      <c r="B265" s="172"/>
      <c r="C265" s="360"/>
      <c r="D265" s="172"/>
      <c r="E265" s="408"/>
      <c r="F265" s="408"/>
      <c r="G265" s="509"/>
      <c r="H265" s="546"/>
      <c r="I265" s="546"/>
      <c r="J265" s="251"/>
      <c r="K265" s="251"/>
      <c r="L265" s="509"/>
      <c r="M265" s="509"/>
      <c r="N265" s="509"/>
      <c r="O265" s="547"/>
      <c r="P265" s="200"/>
      <c r="Q265" s="174"/>
      <c r="R265" s="390"/>
      <c r="S265" s="510"/>
      <c r="T265" s="200"/>
      <c r="U265" s="174"/>
      <c r="V265" s="174"/>
      <c r="W265" s="510"/>
      <c r="X265" s="174"/>
      <c r="Y265" s="174"/>
      <c r="Z265" s="174"/>
      <c r="AA265" s="510"/>
      <c r="AB265" s="200"/>
      <c r="AC265" s="174"/>
      <c r="AD265" s="390"/>
      <c r="AE265" s="510"/>
      <c r="AF265" s="200"/>
      <c r="AG265" s="174"/>
      <c r="AH265" s="174"/>
      <c r="AI265" s="200"/>
      <c r="AJ265" s="548"/>
      <c r="AK265" s="200"/>
      <c r="AL265" s="174"/>
      <c r="AM265" s="390"/>
      <c r="AN265" s="510"/>
      <c r="AO265" s="200"/>
      <c r="AP265" s="174"/>
      <c r="AQ265" s="510"/>
      <c r="AR265" s="200"/>
      <c r="AS265" s="174"/>
      <c r="AT265" s="510"/>
      <c r="AU265" s="200"/>
      <c r="AV265" s="174"/>
      <c r="AW265" s="510"/>
      <c r="AX265" s="200"/>
      <c r="AY265" s="174"/>
      <c r="AZ265" s="510"/>
      <c r="BA265" s="174"/>
      <c r="BB265" s="174"/>
      <c r="BC265" s="174"/>
      <c r="BD265" s="174"/>
      <c r="BE265" s="174"/>
      <c r="BF265" s="510"/>
      <c r="BG265" s="174"/>
      <c r="BH265" s="174"/>
      <c r="BI265" s="174"/>
      <c r="BJ265" s="200"/>
      <c r="BK265" s="174"/>
      <c r="BL265" s="510"/>
      <c r="BM265" s="174"/>
      <c r="BN265" s="174"/>
      <c r="BO265" s="510"/>
      <c r="BP265" s="200"/>
      <c r="BQ265" s="447"/>
      <c r="BR265" s="510"/>
      <c r="BS265" s="174"/>
      <c r="BT265" s="174"/>
      <c r="BU265" s="510"/>
      <c r="BV265" s="200"/>
      <c r="BW265" s="174"/>
      <c r="BX265" s="510"/>
      <c r="BY265" s="174"/>
      <c r="BZ265" s="174"/>
      <c r="CA265" s="510"/>
      <c r="CB265" s="200"/>
      <c r="CC265" s="174"/>
      <c r="CD265" s="510"/>
      <c r="CE265" s="174"/>
      <c r="CF265" s="174"/>
      <c r="CG265" s="510"/>
      <c r="CH265" s="174"/>
      <c r="CI265" s="174"/>
      <c r="CJ265" s="174"/>
      <c r="CK265" s="174"/>
      <c r="CL265" s="174"/>
      <c r="CM265" s="510"/>
      <c r="CN265" s="174"/>
      <c r="CO265" s="549"/>
      <c r="CP265" s="510"/>
      <c r="CQ265" s="200"/>
      <c r="CR265" s="550"/>
      <c r="CS265" s="510"/>
      <c r="CT265" s="390"/>
      <c r="CU265" s="331"/>
      <c r="CV265" s="428"/>
      <c r="CW265" s="155"/>
      <c r="CX265" s="155"/>
      <c r="CY265" s="267"/>
      <c r="CZ265" s="323"/>
      <c r="DA265" s="323"/>
      <c r="DB265" s="423"/>
      <c r="DC265" s="155"/>
      <c r="DD265" s="155"/>
      <c r="DE265" s="267"/>
      <c r="DF265" s="323"/>
      <c r="DG265" s="323"/>
      <c r="DH265" s="428"/>
      <c r="DI265" s="155"/>
      <c r="DJ265" s="155"/>
      <c r="DK265" s="222"/>
      <c r="DL265" s="267"/>
      <c r="DM265" s="155"/>
      <c r="DN265" s="155"/>
      <c r="DO265" s="155"/>
      <c r="DP265" s="423"/>
      <c r="DQ265" s="155"/>
      <c r="DR265" s="155"/>
      <c r="DS265" s="222"/>
      <c r="DT265" s="267"/>
      <c r="DU265" s="174"/>
      <c r="DV265" s="174"/>
      <c r="DW265" s="200"/>
      <c r="DX265" s="428"/>
      <c r="DY265" s="155"/>
      <c r="DZ265" s="155"/>
      <c r="EA265" s="155"/>
      <c r="EB265" s="173"/>
      <c r="EC265" s="155"/>
      <c r="ED265" s="155"/>
      <c r="EE265" s="155"/>
      <c r="EF265" s="423"/>
      <c r="EG265" s="155"/>
      <c r="EH265" s="155"/>
      <c r="EI265" s="155"/>
      <c r="EJ265" s="267"/>
      <c r="EK265" s="155"/>
      <c r="EL265" s="155"/>
      <c r="EM265" s="155"/>
      <c r="EN265" s="428"/>
    </row>
    <row r="266" spans="1:144">
      <c r="A266" s="360"/>
      <c r="B266" s="172"/>
      <c r="C266" s="360"/>
      <c r="D266" s="172"/>
      <c r="E266" s="408"/>
      <c r="F266" s="408"/>
      <c r="G266" s="509"/>
      <c r="H266" s="546"/>
      <c r="I266" s="546"/>
      <c r="J266" s="251"/>
      <c r="K266" s="251"/>
      <c r="L266" s="509"/>
      <c r="M266" s="509"/>
      <c r="N266" s="509"/>
      <c r="O266" s="547"/>
      <c r="P266" s="200"/>
      <c r="Q266" s="174"/>
      <c r="R266" s="390"/>
      <c r="S266" s="510"/>
      <c r="T266" s="200"/>
      <c r="U266" s="174"/>
      <c r="V266" s="174"/>
      <c r="W266" s="510"/>
      <c r="X266" s="174"/>
      <c r="Y266" s="174"/>
      <c r="Z266" s="174"/>
      <c r="AA266" s="510"/>
      <c r="AB266" s="200"/>
      <c r="AC266" s="174"/>
      <c r="AD266" s="390"/>
      <c r="AE266" s="510"/>
      <c r="AF266" s="200"/>
      <c r="AG266" s="174"/>
      <c r="AH266" s="174"/>
      <c r="AI266" s="200"/>
      <c r="AJ266" s="548"/>
      <c r="AK266" s="200"/>
      <c r="AL266" s="174"/>
      <c r="AM266" s="390"/>
      <c r="AN266" s="510"/>
      <c r="AO266" s="200"/>
      <c r="AP266" s="174"/>
      <c r="AQ266" s="510"/>
      <c r="AR266" s="200"/>
      <c r="AS266" s="174"/>
      <c r="AT266" s="510"/>
      <c r="AU266" s="200"/>
      <c r="AV266" s="174"/>
      <c r="AW266" s="510"/>
      <c r="AX266" s="200"/>
      <c r="AY266" s="174"/>
      <c r="AZ266" s="510"/>
      <c r="BA266" s="174"/>
      <c r="BB266" s="174"/>
      <c r="BC266" s="174"/>
      <c r="BD266" s="174"/>
      <c r="BE266" s="174"/>
      <c r="BF266" s="510"/>
      <c r="BG266" s="174"/>
      <c r="BH266" s="174"/>
      <c r="BI266" s="174"/>
      <c r="BJ266" s="200"/>
      <c r="BK266" s="174"/>
      <c r="BL266" s="510"/>
      <c r="BM266" s="174"/>
      <c r="BN266" s="174"/>
      <c r="BO266" s="510"/>
      <c r="BP266" s="200"/>
      <c r="BQ266" s="447"/>
      <c r="BR266" s="510"/>
      <c r="BS266" s="174"/>
      <c r="BT266" s="174"/>
      <c r="BU266" s="510"/>
      <c r="BV266" s="200"/>
      <c r="BW266" s="174"/>
      <c r="BX266" s="510"/>
      <c r="BY266" s="174"/>
      <c r="BZ266" s="174"/>
      <c r="CA266" s="510"/>
      <c r="CB266" s="200"/>
      <c r="CC266" s="174"/>
      <c r="CD266" s="510"/>
      <c r="CE266" s="174"/>
      <c r="CF266" s="174"/>
      <c r="CG266" s="510"/>
      <c r="CH266" s="174"/>
      <c r="CI266" s="174"/>
      <c r="CJ266" s="174"/>
      <c r="CK266" s="174"/>
      <c r="CL266" s="174"/>
      <c r="CM266" s="510"/>
      <c r="CN266" s="174"/>
      <c r="CO266" s="549"/>
      <c r="CP266" s="510"/>
      <c r="CQ266" s="200"/>
      <c r="CR266" s="550"/>
      <c r="CS266" s="510"/>
      <c r="CT266" s="390"/>
      <c r="CU266" s="331"/>
      <c r="CV266" s="428"/>
      <c r="CW266" s="155"/>
      <c r="CX266" s="155"/>
      <c r="CY266" s="267"/>
      <c r="CZ266" s="323"/>
      <c r="DA266" s="323"/>
      <c r="DB266" s="423"/>
      <c r="DC266" s="155"/>
      <c r="DD266" s="155"/>
      <c r="DE266" s="267"/>
      <c r="DF266" s="323"/>
      <c r="DG266" s="323"/>
      <c r="DH266" s="428"/>
      <c r="DI266" s="155"/>
      <c r="DJ266" s="155"/>
      <c r="DK266" s="222"/>
      <c r="DL266" s="267"/>
      <c r="DM266" s="155"/>
      <c r="DN266" s="155"/>
      <c r="DO266" s="155"/>
      <c r="DP266" s="423"/>
      <c r="DQ266" s="155"/>
      <c r="DR266" s="155"/>
      <c r="DS266" s="222"/>
      <c r="DT266" s="267"/>
      <c r="DU266" s="174"/>
      <c r="DV266" s="174"/>
      <c r="DW266" s="200"/>
      <c r="DX266" s="428"/>
      <c r="DY266" s="155"/>
      <c r="DZ266" s="155"/>
      <c r="EA266" s="155"/>
      <c r="EB266" s="173"/>
      <c r="EC266" s="155"/>
      <c r="ED266" s="155"/>
      <c r="EE266" s="155"/>
      <c r="EF266" s="423"/>
      <c r="EG266" s="155"/>
      <c r="EH266" s="155"/>
      <c r="EI266" s="155"/>
      <c r="EJ266" s="267"/>
      <c r="EK266" s="155"/>
      <c r="EL266" s="155"/>
      <c r="EM266" s="155"/>
      <c r="EN266" s="428"/>
    </row>
    <row r="267" spans="1:144">
      <c r="A267" s="360"/>
      <c r="B267" s="172"/>
      <c r="C267" s="360"/>
      <c r="D267" s="172"/>
      <c r="E267" s="408"/>
      <c r="F267" s="408"/>
      <c r="G267" s="509"/>
      <c r="H267" s="546"/>
      <c r="I267" s="546"/>
      <c r="J267" s="251"/>
      <c r="K267" s="251"/>
      <c r="L267" s="509"/>
      <c r="M267" s="509"/>
      <c r="N267" s="509"/>
      <c r="O267" s="547"/>
      <c r="P267" s="200"/>
      <c r="Q267" s="174"/>
      <c r="R267" s="390"/>
      <c r="S267" s="510"/>
      <c r="T267" s="200"/>
      <c r="U267" s="174"/>
      <c r="V267" s="174"/>
      <c r="W267" s="510"/>
      <c r="X267" s="174"/>
      <c r="Y267" s="174"/>
      <c r="Z267" s="174"/>
      <c r="AA267" s="510"/>
      <c r="AB267" s="200"/>
      <c r="AC267" s="174"/>
      <c r="AD267" s="390"/>
      <c r="AE267" s="510"/>
      <c r="AF267" s="200"/>
      <c r="AG267" s="174"/>
      <c r="AH267" s="174"/>
      <c r="AI267" s="200"/>
      <c r="AJ267" s="548"/>
      <c r="AK267" s="200"/>
      <c r="AL267" s="174"/>
      <c r="AM267" s="390"/>
      <c r="AN267" s="510"/>
      <c r="AO267" s="200"/>
      <c r="AP267" s="174"/>
      <c r="AQ267" s="510"/>
      <c r="AR267" s="200"/>
      <c r="AS267" s="174"/>
      <c r="AT267" s="510"/>
      <c r="AU267" s="200"/>
      <c r="AV267" s="174"/>
      <c r="AW267" s="510"/>
      <c r="AX267" s="200"/>
      <c r="AY267" s="174"/>
      <c r="AZ267" s="510"/>
      <c r="BA267" s="174"/>
      <c r="BB267" s="174"/>
      <c r="BC267" s="174"/>
      <c r="BD267" s="174"/>
      <c r="BE267" s="174"/>
      <c r="BF267" s="510"/>
      <c r="BG267" s="174"/>
      <c r="BH267" s="174"/>
      <c r="BI267" s="174"/>
      <c r="BJ267" s="200"/>
      <c r="BK267" s="174"/>
      <c r="BL267" s="510"/>
      <c r="BM267" s="174"/>
      <c r="BN267" s="174"/>
      <c r="BO267" s="510"/>
      <c r="BP267" s="200"/>
      <c r="BQ267" s="447"/>
      <c r="BR267" s="510"/>
      <c r="BS267" s="174"/>
      <c r="BT267" s="174"/>
      <c r="BU267" s="510"/>
      <c r="BV267" s="200"/>
      <c r="BW267" s="174"/>
      <c r="BX267" s="510"/>
      <c r="BY267" s="174"/>
      <c r="BZ267" s="174"/>
      <c r="CA267" s="510"/>
      <c r="CB267" s="200"/>
      <c r="CC267" s="174"/>
      <c r="CD267" s="510"/>
      <c r="CE267" s="174"/>
      <c r="CF267" s="174"/>
      <c r="CG267" s="510"/>
      <c r="CH267" s="174"/>
      <c r="CI267" s="174"/>
      <c r="CJ267" s="174"/>
      <c r="CK267" s="174"/>
      <c r="CL267" s="174"/>
      <c r="CM267" s="510"/>
      <c r="CN267" s="174"/>
      <c r="CO267" s="549"/>
      <c r="CP267" s="510"/>
      <c r="CQ267" s="200"/>
      <c r="CR267" s="550"/>
      <c r="CS267" s="510"/>
      <c r="CT267" s="390"/>
      <c r="CU267" s="331"/>
      <c r="CV267" s="428"/>
      <c r="CW267" s="155"/>
      <c r="CX267" s="155"/>
      <c r="CY267" s="267"/>
      <c r="CZ267" s="323"/>
      <c r="DA267" s="323"/>
      <c r="DB267" s="423"/>
      <c r="DC267" s="155"/>
      <c r="DD267" s="155"/>
      <c r="DE267" s="267"/>
      <c r="DF267" s="323"/>
      <c r="DG267" s="323"/>
      <c r="DH267" s="428"/>
      <c r="DI267" s="155"/>
      <c r="DJ267" s="155"/>
      <c r="DK267" s="222"/>
      <c r="DL267" s="267"/>
      <c r="DM267" s="155"/>
      <c r="DN267" s="155"/>
      <c r="DO267" s="155"/>
      <c r="DP267" s="423"/>
      <c r="DQ267" s="155"/>
      <c r="DR267" s="155"/>
      <c r="DS267" s="222"/>
      <c r="DT267" s="267"/>
      <c r="DU267" s="174"/>
      <c r="DV267" s="174"/>
      <c r="DW267" s="200"/>
      <c r="DX267" s="428"/>
      <c r="DY267" s="155"/>
      <c r="DZ267" s="155"/>
      <c r="EA267" s="155"/>
      <c r="EB267" s="173"/>
      <c r="EC267" s="155"/>
      <c r="ED267" s="155"/>
      <c r="EE267" s="155"/>
      <c r="EF267" s="423"/>
      <c r="EG267" s="155"/>
      <c r="EH267" s="155"/>
      <c r="EI267" s="155"/>
      <c r="EJ267" s="267"/>
      <c r="EK267" s="155"/>
      <c r="EL267" s="155"/>
      <c r="EM267" s="155"/>
      <c r="EN267" s="428"/>
    </row>
    <row r="268" spans="1:144">
      <c r="A268" s="360"/>
      <c r="B268" s="172"/>
      <c r="C268" s="360"/>
      <c r="D268" s="172"/>
      <c r="E268" s="408"/>
      <c r="F268" s="408"/>
      <c r="G268" s="509"/>
      <c r="H268" s="546"/>
      <c r="I268" s="546"/>
      <c r="J268" s="251"/>
      <c r="K268" s="251"/>
      <c r="L268" s="509"/>
      <c r="M268" s="509"/>
      <c r="N268" s="509"/>
      <c r="O268" s="547"/>
      <c r="P268" s="200"/>
      <c r="Q268" s="174"/>
      <c r="R268" s="390"/>
      <c r="S268" s="510"/>
      <c r="T268" s="200"/>
      <c r="U268" s="174"/>
      <c r="V268" s="174"/>
      <c r="W268" s="510"/>
      <c r="X268" s="174"/>
      <c r="Y268" s="174"/>
      <c r="Z268" s="174"/>
      <c r="AA268" s="510"/>
      <c r="AB268" s="200"/>
      <c r="AC268" s="174"/>
      <c r="AD268" s="390"/>
      <c r="AE268" s="510"/>
      <c r="AF268" s="200"/>
      <c r="AG268" s="174"/>
      <c r="AH268" s="174"/>
      <c r="AI268" s="200"/>
      <c r="AJ268" s="548"/>
      <c r="AK268" s="200"/>
      <c r="AL268" s="174"/>
      <c r="AM268" s="390"/>
      <c r="AN268" s="510"/>
      <c r="AO268" s="200"/>
      <c r="AP268" s="174"/>
      <c r="AQ268" s="510"/>
      <c r="AR268" s="200"/>
      <c r="AS268" s="174"/>
      <c r="AT268" s="510"/>
      <c r="AU268" s="200"/>
      <c r="AV268" s="174"/>
      <c r="AW268" s="510"/>
      <c r="AX268" s="200"/>
      <c r="AY268" s="174"/>
      <c r="AZ268" s="510"/>
      <c r="BA268" s="174"/>
      <c r="BB268" s="174"/>
      <c r="BC268" s="174"/>
      <c r="BD268" s="174"/>
      <c r="BE268" s="174"/>
      <c r="BF268" s="510"/>
      <c r="BG268" s="174"/>
      <c r="BH268" s="174"/>
      <c r="BI268" s="174"/>
      <c r="BJ268" s="200"/>
      <c r="BK268" s="174"/>
      <c r="BL268" s="510"/>
      <c r="BM268" s="174"/>
      <c r="BN268" s="174"/>
      <c r="BO268" s="510"/>
      <c r="BP268" s="200"/>
      <c r="BQ268" s="447"/>
      <c r="BR268" s="510"/>
      <c r="BS268" s="174"/>
      <c r="BT268" s="174"/>
      <c r="BU268" s="510"/>
      <c r="BV268" s="200"/>
      <c r="BW268" s="174"/>
      <c r="BX268" s="510"/>
      <c r="BY268" s="174"/>
      <c r="BZ268" s="174"/>
      <c r="CA268" s="510"/>
      <c r="CB268" s="200"/>
      <c r="CC268" s="174"/>
      <c r="CD268" s="510"/>
      <c r="CE268" s="174"/>
      <c r="CF268" s="174"/>
      <c r="CG268" s="510"/>
      <c r="CH268" s="174"/>
      <c r="CI268" s="174"/>
      <c r="CJ268" s="174"/>
      <c r="CK268" s="174"/>
      <c r="CL268" s="174"/>
      <c r="CM268" s="510"/>
      <c r="CN268" s="174"/>
      <c r="CO268" s="549"/>
      <c r="CP268" s="510"/>
      <c r="CQ268" s="200"/>
      <c r="CR268" s="550"/>
      <c r="CS268" s="510"/>
      <c r="CT268" s="390"/>
      <c r="CU268" s="331"/>
      <c r="CV268" s="428"/>
      <c r="CW268" s="155"/>
      <c r="CX268" s="155"/>
      <c r="CY268" s="267"/>
      <c r="CZ268" s="323"/>
      <c r="DA268" s="323"/>
      <c r="DB268" s="423"/>
      <c r="DC268" s="155"/>
      <c r="DD268" s="155"/>
      <c r="DE268" s="267"/>
      <c r="DF268" s="323"/>
      <c r="DG268" s="323"/>
      <c r="DH268" s="428"/>
      <c r="DI268" s="155"/>
      <c r="DJ268" s="155"/>
      <c r="DK268" s="222"/>
      <c r="DL268" s="267"/>
      <c r="DM268" s="155"/>
      <c r="DN268" s="155"/>
      <c r="DO268" s="155"/>
      <c r="DP268" s="423"/>
      <c r="DQ268" s="155"/>
      <c r="DR268" s="155"/>
      <c r="DS268" s="222"/>
      <c r="DT268" s="267"/>
      <c r="DU268" s="174"/>
      <c r="DV268" s="174"/>
      <c r="DW268" s="200"/>
      <c r="DX268" s="428"/>
      <c r="DY268" s="155"/>
      <c r="DZ268" s="155"/>
      <c r="EA268" s="155"/>
      <c r="EB268" s="173"/>
      <c r="EC268" s="155"/>
      <c r="ED268" s="155"/>
      <c r="EE268" s="155"/>
      <c r="EF268" s="423"/>
      <c r="EG268" s="155"/>
      <c r="EH268" s="155"/>
      <c r="EI268" s="155"/>
      <c r="EJ268" s="267"/>
      <c r="EK268" s="155"/>
      <c r="EL268" s="155"/>
      <c r="EM268" s="155"/>
      <c r="EN268" s="428"/>
    </row>
    <row r="269" spans="1:144">
      <c r="A269" s="360"/>
      <c r="B269" s="172"/>
      <c r="C269" s="360"/>
      <c r="D269" s="172"/>
      <c r="E269" s="408"/>
      <c r="F269" s="408"/>
      <c r="G269" s="509"/>
      <c r="H269" s="546"/>
      <c r="I269" s="546"/>
      <c r="J269" s="251"/>
      <c r="K269" s="251"/>
      <c r="L269" s="509"/>
      <c r="M269" s="509"/>
      <c r="N269" s="509"/>
      <c r="O269" s="547"/>
      <c r="P269" s="200"/>
      <c r="Q269" s="174"/>
      <c r="R269" s="390"/>
      <c r="S269" s="510"/>
      <c r="T269" s="200"/>
      <c r="U269" s="174"/>
      <c r="V269" s="174"/>
      <c r="W269" s="510"/>
      <c r="X269" s="174"/>
      <c r="Y269" s="174"/>
      <c r="Z269" s="174"/>
      <c r="AA269" s="510"/>
      <c r="AB269" s="200"/>
      <c r="AC269" s="174"/>
      <c r="AD269" s="390"/>
      <c r="AE269" s="510"/>
      <c r="AF269" s="200"/>
      <c r="AG269" s="174"/>
      <c r="AH269" s="174"/>
      <c r="AI269" s="200"/>
      <c r="AJ269" s="548"/>
      <c r="AK269" s="200"/>
      <c r="AL269" s="174"/>
      <c r="AM269" s="390"/>
      <c r="AN269" s="510"/>
      <c r="AO269" s="200"/>
      <c r="AP269" s="174"/>
      <c r="AQ269" s="510"/>
      <c r="AR269" s="200"/>
      <c r="AS269" s="174"/>
      <c r="AT269" s="510"/>
      <c r="AU269" s="200"/>
      <c r="AV269" s="174"/>
      <c r="AW269" s="510"/>
      <c r="AX269" s="200"/>
      <c r="AY269" s="174"/>
      <c r="AZ269" s="510"/>
      <c r="BA269" s="174"/>
      <c r="BB269" s="174"/>
      <c r="BC269" s="174"/>
      <c r="BD269" s="174"/>
      <c r="BE269" s="174"/>
      <c r="BF269" s="510"/>
      <c r="BG269" s="174"/>
      <c r="BH269" s="174"/>
      <c r="BI269" s="174"/>
      <c r="BJ269" s="200"/>
      <c r="BK269" s="174"/>
      <c r="BL269" s="510"/>
      <c r="BM269" s="174"/>
      <c r="BN269" s="174"/>
      <c r="BO269" s="510"/>
      <c r="BP269" s="200"/>
      <c r="BQ269" s="447"/>
      <c r="BR269" s="510"/>
      <c r="BS269" s="174"/>
      <c r="BT269" s="174"/>
      <c r="BU269" s="510"/>
      <c r="BV269" s="200"/>
      <c r="BW269" s="174"/>
      <c r="BX269" s="510"/>
      <c r="BY269" s="174"/>
      <c r="BZ269" s="174"/>
      <c r="CA269" s="510"/>
      <c r="CB269" s="200"/>
      <c r="CC269" s="174"/>
      <c r="CD269" s="510"/>
      <c r="CE269" s="174"/>
      <c r="CF269" s="174"/>
      <c r="CG269" s="510"/>
      <c r="CH269" s="174"/>
      <c r="CI269" s="174"/>
      <c r="CJ269" s="174"/>
      <c r="CK269" s="174"/>
      <c r="CL269" s="174"/>
      <c r="CM269" s="510"/>
      <c r="CN269" s="174"/>
      <c r="CO269" s="549"/>
      <c r="CP269" s="510"/>
      <c r="CQ269" s="200"/>
      <c r="CR269" s="550"/>
      <c r="CS269" s="510"/>
      <c r="CT269" s="390"/>
      <c r="CU269" s="331"/>
      <c r="CV269" s="428"/>
      <c r="CW269" s="155"/>
      <c r="CX269" s="155"/>
      <c r="CY269" s="267"/>
      <c r="CZ269" s="323"/>
      <c r="DA269" s="323"/>
      <c r="DB269" s="423"/>
      <c r="DC269" s="155"/>
      <c r="DD269" s="155"/>
      <c r="DE269" s="267"/>
      <c r="DF269" s="323"/>
      <c r="DG269" s="323"/>
      <c r="DH269" s="428"/>
      <c r="DI269" s="155"/>
      <c r="DJ269" s="155"/>
      <c r="DK269" s="222"/>
      <c r="DL269" s="267"/>
      <c r="DM269" s="155"/>
      <c r="DN269" s="155"/>
      <c r="DO269" s="155"/>
      <c r="DP269" s="423"/>
      <c r="DQ269" s="155"/>
      <c r="DR269" s="155"/>
      <c r="DS269" s="222"/>
      <c r="DT269" s="267"/>
      <c r="DU269" s="174"/>
      <c r="DV269" s="174"/>
      <c r="DW269" s="200"/>
      <c r="DX269" s="428"/>
      <c r="DY269" s="155"/>
      <c r="DZ269" s="155"/>
      <c r="EA269" s="155"/>
      <c r="EB269" s="173"/>
      <c r="EC269" s="155"/>
      <c r="ED269" s="155"/>
      <c r="EE269" s="155"/>
      <c r="EF269" s="423"/>
      <c r="EG269" s="155"/>
      <c r="EH269" s="155"/>
      <c r="EI269" s="155"/>
      <c r="EJ269" s="267"/>
      <c r="EK269" s="155"/>
      <c r="EL269" s="155"/>
      <c r="EM269" s="155"/>
      <c r="EN269" s="428"/>
    </row>
    <row r="270" spans="1:144">
      <c r="A270" s="360"/>
      <c r="B270" s="172"/>
      <c r="C270" s="360"/>
      <c r="D270" s="172"/>
      <c r="E270" s="408"/>
      <c r="F270" s="408"/>
      <c r="G270" s="509"/>
      <c r="H270" s="546"/>
      <c r="I270" s="546"/>
      <c r="J270" s="251"/>
      <c r="K270" s="251"/>
      <c r="L270" s="509"/>
      <c r="M270" s="509"/>
      <c r="N270" s="509"/>
      <c r="O270" s="547"/>
      <c r="P270" s="200"/>
      <c r="Q270" s="174"/>
      <c r="R270" s="390"/>
      <c r="S270" s="510"/>
      <c r="T270" s="200"/>
      <c r="U270" s="174"/>
      <c r="V270" s="174"/>
      <c r="W270" s="510"/>
      <c r="X270" s="174"/>
      <c r="Y270" s="174"/>
      <c r="Z270" s="174"/>
      <c r="AA270" s="510"/>
      <c r="AB270" s="200"/>
      <c r="AC270" s="174"/>
      <c r="AD270" s="390"/>
      <c r="AE270" s="510"/>
      <c r="AF270" s="200"/>
      <c r="AG270" s="174"/>
      <c r="AH270" s="174"/>
      <c r="AI270" s="200"/>
      <c r="AJ270" s="548"/>
      <c r="AK270" s="200"/>
      <c r="AL270" s="174"/>
      <c r="AM270" s="390"/>
      <c r="AN270" s="510"/>
      <c r="AO270" s="200"/>
      <c r="AP270" s="174"/>
      <c r="AQ270" s="510"/>
      <c r="AR270" s="200"/>
      <c r="AS270" s="174"/>
      <c r="AT270" s="510"/>
      <c r="AU270" s="200"/>
      <c r="AV270" s="174"/>
      <c r="AW270" s="510"/>
      <c r="AX270" s="200"/>
      <c r="AY270" s="174"/>
      <c r="AZ270" s="510"/>
      <c r="BA270" s="174"/>
      <c r="BB270" s="174"/>
      <c r="BC270" s="174"/>
      <c r="BD270" s="174"/>
      <c r="BE270" s="174"/>
      <c r="BF270" s="510"/>
      <c r="BG270" s="174"/>
      <c r="BH270" s="174"/>
      <c r="BI270" s="174"/>
      <c r="BJ270" s="200"/>
      <c r="BK270" s="174"/>
      <c r="BL270" s="510"/>
      <c r="BM270" s="174"/>
      <c r="BN270" s="174"/>
      <c r="BO270" s="510"/>
      <c r="BP270" s="200"/>
      <c r="BQ270" s="447"/>
      <c r="BR270" s="510"/>
      <c r="BS270" s="174"/>
      <c r="BT270" s="174"/>
      <c r="BU270" s="510"/>
      <c r="BV270" s="200"/>
      <c r="BW270" s="174"/>
      <c r="BX270" s="510"/>
      <c r="BY270" s="174"/>
      <c r="BZ270" s="174"/>
      <c r="CA270" s="510"/>
      <c r="CB270" s="200"/>
      <c r="CC270" s="174"/>
      <c r="CD270" s="510"/>
      <c r="CE270" s="174"/>
      <c r="CF270" s="174"/>
      <c r="CG270" s="510"/>
      <c r="CH270" s="174"/>
      <c r="CI270" s="174"/>
      <c r="CJ270" s="174"/>
      <c r="CK270" s="174"/>
      <c r="CL270" s="174"/>
      <c r="CM270" s="510"/>
      <c r="CN270" s="174"/>
      <c r="CO270" s="549"/>
      <c r="CP270" s="510"/>
      <c r="CQ270" s="200"/>
      <c r="CR270" s="550"/>
      <c r="CS270" s="510"/>
      <c r="CT270" s="390"/>
      <c r="CU270" s="331"/>
      <c r="CV270" s="428"/>
      <c r="CW270" s="155"/>
      <c r="CX270" s="155"/>
      <c r="CY270" s="267"/>
      <c r="CZ270" s="323"/>
      <c r="DA270" s="323"/>
      <c r="DB270" s="423"/>
      <c r="DC270" s="155"/>
      <c r="DD270" s="155"/>
      <c r="DE270" s="267"/>
      <c r="DF270" s="323"/>
      <c r="DG270" s="323"/>
      <c r="DH270" s="428"/>
      <c r="DI270" s="155"/>
      <c r="DJ270" s="155"/>
      <c r="DK270" s="222"/>
      <c r="DL270" s="267"/>
      <c r="DM270" s="155"/>
      <c r="DN270" s="155"/>
      <c r="DO270" s="155"/>
      <c r="DP270" s="423"/>
      <c r="DQ270" s="155"/>
      <c r="DR270" s="155"/>
      <c r="DS270" s="222"/>
      <c r="DT270" s="267"/>
      <c r="DU270" s="174"/>
      <c r="DV270" s="174"/>
      <c r="DW270" s="200"/>
      <c r="DX270" s="428"/>
      <c r="DY270" s="155"/>
      <c r="DZ270" s="155"/>
      <c r="EA270" s="155"/>
      <c r="EB270" s="173"/>
      <c r="EC270" s="155"/>
      <c r="ED270" s="155"/>
      <c r="EE270" s="155"/>
      <c r="EF270" s="423"/>
      <c r="EG270" s="155"/>
      <c r="EH270" s="155"/>
      <c r="EI270" s="155"/>
      <c r="EJ270" s="267"/>
      <c r="EK270" s="155"/>
      <c r="EL270" s="155"/>
      <c r="EM270" s="155"/>
      <c r="EN270" s="428"/>
    </row>
    <row r="271" spans="1:144">
      <c r="A271" s="360"/>
      <c r="B271" s="172"/>
      <c r="C271" s="360"/>
      <c r="D271" s="172"/>
      <c r="E271" s="408"/>
      <c r="F271" s="408"/>
      <c r="G271" s="509"/>
      <c r="H271" s="546"/>
      <c r="I271" s="546"/>
      <c r="J271" s="251"/>
      <c r="K271" s="251"/>
      <c r="L271" s="509"/>
      <c r="M271" s="509"/>
      <c r="N271" s="509"/>
      <c r="O271" s="547"/>
      <c r="P271" s="200"/>
      <c r="Q271" s="174"/>
      <c r="R271" s="390"/>
      <c r="S271" s="510"/>
      <c r="T271" s="200"/>
      <c r="U271" s="174"/>
      <c r="V271" s="174"/>
      <c r="W271" s="510"/>
      <c r="X271" s="174"/>
      <c r="Y271" s="174"/>
      <c r="Z271" s="174"/>
      <c r="AA271" s="510"/>
      <c r="AB271" s="200"/>
      <c r="AC271" s="174"/>
      <c r="AD271" s="390"/>
      <c r="AE271" s="510"/>
      <c r="AF271" s="200"/>
      <c r="AG271" s="174"/>
      <c r="AH271" s="174"/>
      <c r="AI271" s="200"/>
      <c r="AJ271" s="548"/>
      <c r="AK271" s="200"/>
      <c r="AL271" s="174"/>
      <c r="AM271" s="390"/>
      <c r="AN271" s="510"/>
      <c r="AO271" s="200"/>
      <c r="AP271" s="174"/>
      <c r="AQ271" s="510"/>
      <c r="AR271" s="200"/>
      <c r="AS271" s="174"/>
      <c r="AT271" s="510"/>
      <c r="AU271" s="200"/>
      <c r="AV271" s="174"/>
      <c r="AW271" s="510"/>
      <c r="AX271" s="200"/>
      <c r="AY271" s="174"/>
      <c r="AZ271" s="510"/>
      <c r="BA271" s="174"/>
      <c r="BB271" s="174"/>
      <c r="BC271" s="174"/>
      <c r="BD271" s="174"/>
      <c r="BE271" s="174"/>
      <c r="BF271" s="510"/>
      <c r="BG271" s="174"/>
      <c r="BH271" s="174"/>
      <c r="BI271" s="174"/>
      <c r="BJ271" s="200"/>
      <c r="BK271" s="174"/>
      <c r="BL271" s="510"/>
      <c r="BM271" s="174"/>
      <c r="BN271" s="174"/>
      <c r="BO271" s="510"/>
      <c r="BP271" s="200"/>
      <c r="BQ271" s="447"/>
      <c r="BR271" s="510"/>
      <c r="BS271" s="174"/>
      <c r="BT271" s="174"/>
      <c r="BU271" s="510"/>
      <c r="BV271" s="200"/>
      <c r="BW271" s="174"/>
      <c r="BX271" s="510"/>
      <c r="BY271" s="174"/>
      <c r="BZ271" s="174"/>
      <c r="CA271" s="510"/>
      <c r="CB271" s="200"/>
      <c r="CC271" s="174"/>
      <c r="CD271" s="510"/>
      <c r="CE271" s="174"/>
      <c r="CF271" s="174"/>
      <c r="CG271" s="510"/>
      <c r="CH271" s="174"/>
      <c r="CI271" s="174"/>
      <c r="CJ271" s="174"/>
      <c r="CK271" s="174"/>
      <c r="CL271" s="174"/>
      <c r="CM271" s="510"/>
      <c r="CN271" s="174"/>
      <c r="CO271" s="549"/>
      <c r="CP271" s="510"/>
      <c r="CQ271" s="200"/>
      <c r="CR271" s="550"/>
      <c r="CS271" s="510"/>
      <c r="CT271" s="390"/>
      <c r="CU271" s="331"/>
      <c r="CV271" s="428"/>
      <c r="CW271" s="155"/>
      <c r="CX271" s="155"/>
      <c r="CY271" s="267"/>
      <c r="CZ271" s="323"/>
      <c r="DA271" s="323"/>
      <c r="DB271" s="423"/>
      <c r="DC271" s="155"/>
      <c r="DD271" s="155"/>
      <c r="DE271" s="267"/>
      <c r="DF271" s="323"/>
      <c r="DG271" s="323"/>
      <c r="DH271" s="428"/>
      <c r="DI271" s="155"/>
      <c r="DJ271" s="155"/>
      <c r="DK271" s="222"/>
      <c r="DL271" s="267"/>
      <c r="DM271" s="155"/>
      <c r="DN271" s="155"/>
      <c r="DO271" s="155"/>
      <c r="DP271" s="423"/>
      <c r="DQ271" s="155"/>
      <c r="DR271" s="155"/>
      <c r="DS271" s="222"/>
      <c r="DT271" s="267"/>
      <c r="DU271" s="174"/>
      <c r="DV271" s="174"/>
      <c r="DW271" s="200"/>
      <c r="DX271" s="428"/>
      <c r="DY271" s="155"/>
      <c r="DZ271" s="155"/>
      <c r="EA271" s="155"/>
      <c r="EB271" s="173"/>
      <c r="EC271" s="155"/>
      <c r="ED271" s="155"/>
      <c r="EE271" s="155"/>
      <c r="EF271" s="423"/>
      <c r="EG271" s="155"/>
      <c r="EH271" s="155"/>
      <c r="EI271" s="155"/>
      <c r="EJ271" s="267"/>
      <c r="EK271" s="155"/>
      <c r="EL271" s="155"/>
      <c r="EM271" s="155"/>
      <c r="EN271" s="428"/>
    </row>
    <row r="272" spans="1:144">
      <c r="A272" s="360"/>
      <c r="B272" s="172"/>
      <c r="C272" s="360"/>
      <c r="D272" s="172"/>
      <c r="E272" s="408"/>
      <c r="F272" s="408"/>
      <c r="G272" s="509"/>
      <c r="H272" s="546"/>
      <c r="I272" s="546"/>
      <c r="J272" s="251"/>
      <c r="K272" s="251"/>
      <c r="L272" s="509"/>
      <c r="M272" s="509"/>
      <c r="N272" s="509"/>
      <c r="O272" s="547"/>
      <c r="P272" s="200"/>
      <c r="Q272" s="174"/>
      <c r="R272" s="390"/>
      <c r="S272" s="510"/>
      <c r="T272" s="200"/>
      <c r="U272" s="174"/>
      <c r="V272" s="174"/>
      <c r="W272" s="510"/>
      <c r="X272" s="174"/>
      <c r="Y272" s="174"/>
      <c r="Z272" s="174"/>
      <c r="AA272" s="510"/>
      <c r="AB272" s="200"/>
      <c r="AC272" s="174"/>
      <c r="AD272" s="390"/>
      <c r="AE272" s="510"/>
      <c r="AF272" s="200"/>
      <c r="AG272" s="174"/>
      <c r="AH272" s="174"/>
      <c r="AI272" s="200"/>
      <c r="AJ272" s="548"/>
      <c r="AK272" s="200"/>
      <c r="AL272" s="174"/>
      <c r="AM272" s="390"/>
      <c r="AN272" s="510"/>
      <c r="AO272" s="200"/>
      <c r="AP272" s="174"/>
      <c r="AQ272" s="510"/>
      <c r="AR272" s="200"/>
      <c r="AS272" s="174"/>
      <c r="AT272" s="510"/>
      <c r="AU272" s="200"/>
      <c r="AV272" s="174"/>
      <c r="AW272" s="510"/>
      <c r="AX272" s="200"/>
      <c r="AY272" s="174"/>
      <c r="AZ272" s="510"/>
      <c r="BA272" s="174"/>
      <c r="BB272" s="174"/>
      <c r="BC272" s="174"/>
      <c r="BD272" s="174"/>
      <c r="BE272" s="174"/>
      <c r="BF272" s="510"/>
      <c r="BG272" s="174"/>
      <c r="BH272" s="174"/>
      <c r="BI272" s="174"/>
      <c r="BJ272" s="200"/>
      <c r="BK272" s="174"/>
      <c r="BL272" s="510"/>
      <c r="BM272" s="174"/>
      <c r="BN272" s="174"/>
      <c r="BO272" s="510"/>
      <c r="BP272" s="200"/>
      <c r="BQ272" s="447"/>
      <c r="BR272" s="510"/>
      <c r="BS272" s="174"/>
      <c r="BT272" s="174"/>
      <c r="BU272" s="510"/>
      <c r="BV272" s="200"/>
      <c r="BW272" s="174"/>
      <c r="BX272" s="510"/>
      <c r="BY272" s="174"/>
      <c r="BZ272" s="174"/>
      <c r="CA272" s="510"/>
      <c r="CB272" s="200"/>
      <c r="CC272" s="174"/>
      <c r="CD272" s="510"/>
      <c r="CE272" s="174"/>
      <c r="CF272" s="174"/>
      <c r="CG272" s="510"/>
      <c r="CH272" s="174"/>
      <c r="CI272" s="174"/>
      <c r="CJ272" s="174"/>
      <c r="CK272" s="174"/>
      <c r="CL272" s="174"/>
      <c r="CM272" s="510"/>
      <c r="CN272" s="174"/>
      <c r="CO272" s="549"/>
      <c r="CP272" s="510"/>
      <c r="CQ272" s="200"/>
      <c r="CR272" s="550"/>
      <c r="CS272" s="510"/>
      <c r="CT272" s="390"/>
      <c r="CU272" s="331"/>
      <c r="CV272" s="428"/>
      <c r="CW272" s="155"/>
      <c r="CX272" s="155"/>
      <c r="CY272" s="267"/>
      <c r="CZ272" s="323"/>
      <c r="DA272" s="323"/>
      <c r="DB272" s="423"/>
      <c r="DC272" s="155"/>
      <c r="DD272" s="155"/>
      <c r="DE272" s="267"/>
      <c r="DF272" s="323"/>
      <c r="DG272" s="323"/>
      <c r="DH272" s="428"/>
      <c r="DI272" s="155"/>
      <c r="DJ272" s="155"/>
      <c r="DK272" s="222"/>
      <c r="DL272" s="267"/>
      <c r="DM272" s="155"/>
      <c r="DN272" s="155"/>
      <c r="DO272" s="155"/>
      <c r="DP272" s="423"/>
      <c r="DQ272" s="155"/>
      <c r="DR272" s="155"/>
      <c r="DS272" s="222"/>
      <c r="DT272" s="267"/>
      <c r="DU272" s="174"/>
      <c r="DV272" s="174"/>
      <c r="DW272" s="200"/>
      <c r="DX272" s="428"/>
      <c r="DY272" s="155"/>
      <c r="DZ272" s="155"/>
      <c r="EA272" s="155"/>
      <c r="EB272" s="173"/>
      <c r="EC272" s="155"/>
      <c r="ED272" s="155"/>
      <c r="EE272" s="155"/>
      <c r="EF272" s="423"/>
      <c r="EG272" s="155"/>
      <c r="EH272" s="155"/>
      <c r="EI272" s="155"/>
      <c r="EJ272" s="267"/>
      <c r="EK272" s="155"/>
      <c r="EL272" s="155"/>
      <c r="EM272" s="155"/>
      <c r="EN272" s="428"/>
    </row>
    <row r="273" spans="1:144">
      <c r="A273" s="360"/>
      <c r="B273" s="172"/>
      <c r="C273" s="360"/>
      <c r="D273" s="172"/>
      <c r="E273" s="408"/>
      <c r="F273" s="408"/>
      <c r="G273" s="509"/>
      <c r="H273" s="546"/>
      <c r="I273" s="546"/>
      <c r="J273" s="251"/>
      <c r="K273" s="251"/>
      <c r="L273" s="509"/>
      <c r="M273" s="509"/>
      <c r="N273" s="509"/>
      <c r="O273" s="547"/>
      <c r="P273" s="200"/>
      <c r="Q273" s="174"/>
      <c r="R273" s="390"/>
      <c r="S273" s="510"/>
      <c r="T273" s="200"/>
      <c r="U273" s="174"/>
      <c r="V273" s="174"/>
      <c r="W273" s="510"/>
      <c r="X273" s="174"/>
      <c r="Y273" s="174"/>
      <c r="Z273" s="174"/>
      <c r="AA273" s="510"/>
      <c r="AB273" s="200"/>
      <c r="AC273" s="174"/>
      <c r="AD273" s="390"/>
      <c r="AE273" s="510"/>
      <c r="AF273" s="200"/>
      <c r="AG273" s="174"/>
      <c r="AH273" s="174"/>
      <c r="AI273" s="200"/>
      <c r="AJ273" s="548"/>
      <c r="AK273" s="200"/>
      <c r="AL273" s="174"/>
      <c r="AM273" s="390"/>
      <c r="AN273" s="510"/>
      <c r="AO273" s="200"/>
      <c r="AP273" s="174"/>
      <c r="AQ273" s="510"/>
      <c r="AR273" s="200"/>
      <c r="AS273" s="174"/>
      <c r="AT273" s="510"/>
      <c r="AU273" s="200"/>
      <c r="AV273" s="174"/>
      <c r="AW273" s="510"/>
      <c r="AX273" s="200"/>
      <c r="AY273" s="174"/>
      <c r="AZ273" s="510"/>
      <c r="BA273" s="174"/>
      <c r="BB273" s="174"/>
      <c r="BC273" s="174"/>
      <c r="BD273" s="174"/>
      <c r="BE273" s="174"/>
      <c r="BF273" s="510"/>
      <c r="BG273" s="174"/>
      <c r="BH273" s="174"/>
      <c r="BI273" s="174"/>
      <c r="BJ273" s="200"/>
      <c r="BK273" s="174"/>
      <c r="BL273" s="510"/>
      <c r="BM273" s="174"/>
      <c r="BN273" s="174"/>
      <c r="BO273" s="510"/>
      <c r="BP273" s="200"/>
      <c r="BQ273" s="447"/>
      <c r="BR273" s="510"/>
      <c r="BS273" s="174"/>
      <c r="BT273" s="174"/>
      <c r="BU273" s="510"/>
      <c r="BV273" s="200"/>
      <c r="BW273" s="174"/>
      <c r="BX273" s="510"/>
      <c r="BY273" s="174"/>
      <c r="BZ273" s="174"/>
      <c r="CA273" s="510"/>
      <c r="CB273" s="200"/>
      <c r="CC273" s="174"/>
      <c r="CD273" s="510"/>
      <c r="CE273" s="174"/>
      <c r="CF273" s="174"/>
      <c r="CG273" s="510"/>
      <c r="CH273" s="174"/>
      <c r="CI273" s="174"/>
      <c r="CJ273" s="174"/>
      <c r="CK273" s="174"/>
      <c r="CL273" s="174"/>
      <c r="CM273" s="510"/>
      <c r="CN273" s="174"/>
      <c r="CO273" s="549"/>
      <c r="CP273" s="510"/>
      <c r="CQ273" s="200"/>
      <c r="CR273" s="550"/>
      <c r="CS273" s="510"/>
      <c r="CT273" s="390"/>
      <c r="CU273" s="331"/>
      <c r="CV273" s="428"/>
      <c r="CW273" s="155"/>
      <c r="CX273" s="155"/>
      <c r="CY273" s="267"/>
      <c r="CZ273" s="323"/>
      <c r="DA273" s="323"/>
      <c r="DB273" s="423"/>
      <c r="DC273" s="155"/>
      <c r="DD273" s="155"/>
      <c r="DE273" s="267"/>
      <c r="DF273" s="323"/>
      <c r="DG273" s="323"/>
      <c r="DH273" s="428"/>
      <c r="DI273" s="155"/>
      <c r="DJ273" s="155"/>
      <c r="DK273" s="222"/>
      <c r="DL273" s="267"/>
      <c r="DM273" s="155"/>
      <c r="DN273" s="155"/>
      <c r="DO273" s="155"/>
      <c r="DP273" s="423"/>
      <c r="DQ273" s="155"/>
      <c r="DR273" s="155"/>
      <c r="DS273" s="222"/>
      <c r="DT273" s="267"/>
      <c r="DU273" s="174"/>
      <c r="DV273" s="174"/>
      <c r="DW273" s="200"/>
      <c r="DX273" s="428"/>
      <c r="DY273" s="155"/>
      <c r="DZ273" s="155"/>
      <c r="EA273" s="155"/>
      <c r="EB273" s="173"/>
      <c r="EC273" s="155"/>
      <c r="ED273" s="155"/>
      <c r="EE273" s="155"/>
      <c r="EF273" s="423"/>
      <c r="EG273" s="155"/>
      <c r="EH273" s="155"/>
      <c r="EI273" s="155"/>
      <c r="EJ273" s="267"/>
      <c r="EK273" s="155"/>
      <c r="EL273" s="155"/>
      <c r="EM273" s="155"/>
      <c r="EN273" s="428"/>
    </row>
    <row r="274" spans="1:144">
      <c r="A274" s="360"/>
      <c r="B274" s="172"/>
      <c r="C274" s="360"/>
      <c r="D274" s="172"/>
      <c r="E274" s="408"/>
      <c r="F274" s="408"/>
      <c r="G274" s="509"/>
      <c r="H274" s="546"/>
      <c r="I274" s="546"/>
      <c r="J274" s="251"/>
      <c r="K274" s="251"/>
      <c r="L274" s="509"/>
      <c r="M274" s="509"/>
      <c r="N274" s="509"/>
      <c r="O274" s="547"/>
      <c r="P274" s="200"/>
      <c r="Q274" s="174"/>
      <c r="R274" s="390"/>
      <c r="S274" s="510"/>
      <c r="T274" s="200"/>
      <c r="U274" s="174"/>
      <c r="V274" s="174"/>
      <c r="W274" s="510"/>
      <c r="X274" s="174"/>
      <c r="Y274" s="174"/>
      <c r="Z274" s="174"/>
      <c r="AA274" s="510"/>
      <c r="AB274" s="200"/>
      <c r="AC274" s="174"/>
      <c r="AD274" s="390"/>
      <c r="AE274" s="510"/>
      <c r="AF274" s="200"/>
      <c r="AG274" s="174"/>
      <c r="AH274" s="174"/>
      <c r="AI274" s="200"/>
      <c r="AJ274" s="548"/>
      <c r="AK274" s="200"/>
      <c r="AL274" s="174"/>
      <c r="AM274" s="390"/>
      <c r="AN274" s="510"/>
      <c r="AO274" s="200"/>
      <c r="AP274" s="174"/>
      <c r="AQ274" s="510"/>
      <c r="AR274" s="200"/>
      <c r="AS274" s="174"/>
      <c r="AT274" s="510"/>
      <c r="AU274" s="200"/>
      <c r="AV274" s="174"/>
      <c r="AW274" s="510"/>
      <c r="AX274" s="200"/>
      <c r="AY274" s="174"/>
      <c r="AZ274" s="510"/>
      <c r="BA274" s="174"/>
      <c r="BB274" s="174"/>
      <c r="BC274" s="174"/>
      <c r="BD274" s="174"/>
      <c r="BE274" s="174"/>
      <c r="BF274" s="510"/>
      <c r="BG274" s="174"/>
      <c r="BH274" s="174"/>
      <c r="BI274" s="174"/>
      <c r="BJ274" s="200"/>
      <c r="BK274" s="174"/>
      <c r="BL274" s="510"/>
      <c r="BM274" s="174"/>
      <c r="BN274" s="174"/>
      <c r="BO274" s="510"/>
      <c r="BP274" s="200"/>
      <c r="BQ274" s="447"/>
      <c r="BR274" s="510"/>
      <c r="BS274" s="174"/>
      <c r="BT274" s="174"/>
      <c r="BU274" s="510"/>
      <c r="BV274" s="200"/>
      <c r="BW274" s="174"/>
      <c r="BX274" s="510"/>
      <c r="BY274" s="174"/>
      <c r="BZ274" s="174"/>
      <c r="CA274" s="510"/>
      <c r="CB274" s="200"/>
      <c r="CC274" s="174"/>
      <c r="CD274" s="510"/>
      <c r="CE274" s="174"/>
      <c r="CF274" s="174"/>
      <c r="CG274" s="510"/>
      <c r="CH274" s="174"/>
      <c r="CI274" s="174"/>
      <c r="CJ274" s="174"/>
      <c r="CK274" s="174"/>
      <c r="CL274" s="174"/>
      <c r="CM274" s="510"/>
      <c r="CN274" s="174"/>
      <c r="CO274" s="549"/>
      <c r="CP274" s="510"/>
      <c r="CQ274" s="200"/>
      <c r="CR274" s="550"/>
      <c r="CS274" s="510"/>
      <c r="CT274" s="390"/>
      <c r="CU274" s="331"/>
      <c r="CV274" s="428"/>
      <c r="CW274" s="155"/>
      <c r="CX274" s="155"/>
      <c r="CY274" s="267"/>
      <c r="CZ274" s="323"/>
      <c r="DA274" s="323"/>
      <c r="DB274" s="423"/>
      <c r="DC274" s="155"/>
      <c r="DD274" s="155"/>
      <c r="DE274" s="267"/>
      <c r="DF274" s="323"/>
      <c r="DG274" s="323"/>
      <c r="DH274" s="428"/>
      <c r="DI274" s="155"/>
      <c r="DJ274" s="155"/>
      <c r="DK274" s="222"/>
      <c r="DL274" s="267"/>
      <c r="DM274" s="155"/>
      <c r="DN274" s="155"/>
      <c r="DO274" s="155"/>
      <c r="DP274" s="423"/>
      <c r="DQ274" s="155"/>
      <c r="DR274" s="155"/>
      <c r="DS274" s="222"/>
      <c r="DT274" s="267"/>
      <c r="DU274" s="174"/>
      <c r="DV274" s="174"/>
      <c r="DW274" s="200"/>
      <c r="DX274" s="428"/>
      <c r="DY274" s="155"/>
      <c r="DZ274" s="155"/>
      <c r="EA274" s="155"/>
      <c r="EB274" s="173"/>
      <c r="EC274" s="155"/>
      <c r="ED274" s="155"/>
      <c r="EE274" s="155"/>
      <c r="EF274" s="423"/>
      <c r="EG274" s="155"/>
      <c r="EH274" s="155"/>
      <c r="EI274" s="155"/>
      <c r="EJ274" s="267"/>
      <c r="EK274" s="155"/>
      <c r="EL274" s="155"/>
      <c r="EM274" s="155"/>
      <c r="EN274" s="428"/>
    </row>
    <row r="275" spans="1:144">
      <c r="A275" s="360"/>
      <c r="B275" s="172"/>
      <c r="C275" s="360"/>
      <c r="D275" s="172"/>
      <c r="E275" s="408"/>
      <c r="F275" s="408"/>
      <c r="G275" s="509"/>
      <c r="H275" s="546"/>
      <c r="I275" s="546"/>
      <c r="J275" s="251"/>
      <c r="K275" s="251"/>
      <c r="L275" s="509"/>
      <c r="M275" s="509"/>
      <c r="N275" s="509"/>
      <c r="O275" s="547"/>
      <c r="P275" s="200"/>
      <c r="Q275" s="174"/>
      <c r="R275" s="390"/>
      <c r="S275" s="510"/>
      <c r="T275" s="200"/>
      <c r="U275" s="174"/>
      <c r="V275" s="174"/>
      <c r="W275" s="510"/>
      <c r="X275" s="174"/>
      <c r="Y275" s="174"/>
      <c r="Z275" s="174"/>
      <c r="AA275" s="510"/>
      <c r="AB275" s="200"/>
      <c r="AC275" s="174"/>
      <c r="AD275" s="390"/>
      <c r="AE275" s="510"/>
      <c r="AF275" s="200"/>
      <c r="AG275" s="174"/>
      <c r="AH275" s="174"/>
      <c r="AI275" s="200"/>
      <c r="AJ275" s="548"/>
      <c r="AK275" s="200"/>
      <c r="AL275" s="174"/>
      <c r="AM275" s="390"/>
      <c r="AN275" s="510"/>
      <c r="AO275" s="200"/>
      <c r="AP275" s="174"/>
      <c r="AQ275" s="510"/>
      <c r="AR275" s="200"/>
      <c r="AS275" s="174"/>
      <c r="AT275" s="510"/>
      <c r="AU275" s="200"/>
      <c r="AV275" s="174"/>
      <c r="AW275" s="510"/>
      <c r="AX275" s="200"/>
      <c r="AY275" s="174"/>
      <c r="AZ275" s="510"/>
      <c r="BA275" s="174"/>
      <c r="BB275" s="174"/>
      <c r="BC275" s="174"/>
      <c r="BD275" s="174"/>
      <c r="BE275" s="174"/>
      <c r="BF275" s="510"/>
      <c r="BG275" s="174"/>
      <c r="BH275" s="174"/>
      <c r="BI275" s="174"/>
      <c r="BJ275" s="200"/>
      <c r="BK275" s="174"/>
      <c r="BL275" s="510"/>
      <c r="BM275" s="174"/>
      <c r="BN275" s="174"/>
      <c r="BO275" s="510"/>
      <c r="BP275" s="200"/>
      <c r="BQ275" s="447"/>
      <c r="BR275" s="510"/>
      <c r="BS275" s="174"/>
      <c r="BT275" s="174"/>
      <c r="BU275" s="510"/>
      <c r="BV275" s="200"/>
      <c r="BW275" s="174"/>
      <c r="BX275" s="510"/>
      <c r="BY275" s="174"/>
      <c r="BZ275" s="174"/>
      <c r="CA275" s="510"/>
      <c r="CB275" s="200"/>
      <c r="CC275" s="174"/>
      <c r="CD275" s="510"/>
      <c r="CE275" s="174"/>
      <c r="CF275" s="174"/>
      <c r="CG275" s="510"/>
      <c r="CH275" s="174"/>
      <c r="CI275" s="174"/>
      <c r="CJ275" s="174"/>
      <c r="CK275" s="174"/>
      <c r="CL275" s="174"/>
      <c r="CM275" s="510"/>
      <c r="CN275" s="174"/>
      <c r="CO275" s="549"/>
      <c r="CP275" s="510"/>
      <c r="CQ275" s="200"/>
      <c r="CR275" s="550"/>
      <c r="CS275" s="510"/>
      <c r="CT275" s="390"/>
      <c r="CU275" s="331"/>
      <c r="CV275" s="428"/>
      <c r="CW275" s="155"/>
      <c r="CX275" s="155"/>
      <c r="CY275" s="267"/>
      <c r="CZ275" s="323"/>
      <c r="DA275" s="323"/>
      <c r="DB275" s="423"/>
      <c r="DC275" s="155"/>
      <c r="DD275" s="155"/>
      <c r="DE275" s="267"/>
      <c r="DF275" s="323"/>
      <c r="DG275" s="323"/>
      <c r="DH275" s="428"/>
      <c r="DI275" s="155"/>
      <c r="DJ275" s="155"/>
      <c r="DK275" s="222"/>
      <c r="DL275" s="267"/>
      <c r="DM275" s="155"/>
      <c r="DN275" s="155"/>
      <c r="DO275" s="155"/>
      <c r="DP275" s="423"/>
      <c r="DQ275" s="155"/>
      <c r="DR275" s="155"/>
      <c r="DS275" s="222"/>
      <c r="DT275" s="267"/>
      <c r="DU275" s="174"/>
      <c r="DV275" s="174"/>
      <c r="DW275" s="200"/>
      <c r="DX275" s="428"/>
      <c r="DY275" s="155"/>
      <c r="DZ275" s="155"/>
      <c r="EA275" s="155"/>
      <c r="EB275" s="173"/>
      <c r="EC275" s="155"/>
      <c r="ED275" s="155"/>
      <c r="EE275" s="155"/>
      <c r="EF275" s="423"/>
      <c r="EG275" s="155"/>
      <c r="EH275" s="155"/>
      <c r="EI275" s="155"/>
      <c r="EJ275" s="267"/>
      <c r="EK275" s="155"/>
      <c r="EL275" s="155"/>
      <c r="EM275" s="155"/>
      <c r="EN275" s="428"/>
    </row>
    <row r="276" spans="1:144">
      <c r="A276" s="360"/>
      <c r="B276" s="172"/>
      <c r="C276" s="360"/>
      <c r="D276" s="172"/>
      <c r="E276" s="408"/>
      <c r="F276" s="408"/>
      <c r="G276" s="509"/>
      <c r="H276" s="546"/>
      <c r="I276" s="546"/>
      <c r="J276" s="251"/>
      <c r="K276" s="251"/>
      <c r="L276" s="509"/>
      <c r="M276" s="509"/>
      <c r="N276" s="509"/>
      <c r="O276" s="547"/>
      <c r="P276" s="200"/>
      <c r="Q276" s="174"/>
      <c r="R276" s="390"/>
      <c r="S276" s="510"/>
      <c r="T276" s="200"/>
      <c r="U276" s="174"/>
      <c r="V276" s="174"/>
      <c r="W276" s="510"/>
      <c r="X276" s="174"/>
      <c r="Y276" s="174"/>
      <c r="Z276" s="174"/>
      <c r="AA276" s="510"/>
      <c r="AB276" s="200"/>
      <c r="AC276" s="174"/>
      <c r="AD276" s="390"/>
      <c r="AE276" s="510"/>
      <c r="AF276" s="200"/>
      <c r="AG276" s="174"/>
      <c r="AH276" s="174"/>
      <c r="AI276" s="200"/>
      <c r="AJ276" s="548"/>
      <c r="AK276" s="200"/>
      <c r="AL276" s="174"/>
      <c r="AM276" s="390"/>
      <c r="AN276" s="510"/>
      <c r="AO276" s="200"/>
      <c r="AP276" s="174"/>
      <c r="AQ276" s="510"/>
      <c r="AR276" s="200"/>
      <c r="AS276" s="174"/>
      <c r="AT276" s="510"/>
      <c r="AU276" s="200"/>
      <c r="AV276" s="174"/>
      <c r="AW276" s="510"/>
      <c r="AX276" s="200"/>
      <c r="AY276" s="174"/>
      <c r="AZ276" s="510"/>
      <c r="BA276" s="174"/>
      <c r="BB276" s="174"/>
      <c r="BC276" s="174"/>
      <c r="BD276" s="174"/>
      <c r="BE276" s="174"/>
      <c r="BF276" s="510"/>
      <c r="BG276" s="174"/>
      <c r="BH276" s="174"/>
      <c r="BI276" s="174"/>
      <c r="BJ276" s="200"/>
      <c r="BK276" s="174"/>
      <c r="BL276" s="510"/>
      <c r="BM276" s="174"/>
      <c r="BN276" s="174"/>
      <c r="BO276" s="510"/>
      <c r="BP276" s="200"/>
      <c r="BQ276" s="447"/>
      <c r="BR276" s="510"/>
      <c r="BS276" s="174"/>
      <c r="BT276" s="174"/>
      <c r="BU276" s="510"/>
      <c r="BV276" s="200"/>
      <c r="BW276" s="174"/>
      <c r="BX276" s="510"/>
      <c r="BY276" s="174"/>
      <c r="BZ276" s="174"/>
      <c r="CA276" s="510"/>
      <c r="CB276" s="200"/>
      <c r="CC276" s="174"/>
      <c r="CD276" s="510"/>
      <c r="CE276" s="174"/>
      <c r="CF276" s="174"/>
      <c r="CG276" s="510"/>
      <c r="CH276" s="174"/>
      <c r="CI276" s="174"/>
      <c r="CJ276" s="174"/>
      <c r="CK276" s="174"/>
      <c r="CL276" s="174"/>
      <c r="CM276" s="510"/>
      <c r="CN276" s="174"/>
      <c r="CO276" s="549"/>
      <c r="CP276" s="510"/>
      <c r="CQ276" s="200"/>
      <c r="CR276" s="550"/>
      <c r="CS276" s="510"/>
      <c r="CT276" s="390"/>
      <c r="CU276" s="331"/>
      <c r="CV276" s="428"/>
      <c r="CW276" s="155"/>
      <c r="CX276" s="155"/>
      <c r="CY276" s="267"/>
      <c r="CZ276" s="323"/>
      <c r="DA276" s="323"/>
      <c r="DB276" s="423"/>
      <c r="DC276" s="155"/>
      <c r="DD276" s="155"/>
      <c r="DE276" s="267"/>
      <c r="DF276" s="323"/>
      <c r="DG276" s="323"/>
      <c r="DH276" s="428"/>
      <c r="DI276" s="155"/>
      <c r="DJ276" s="155"/>
      <c r="DK276" s="222"/>
      <c r="DL276" s="267"/>
      <c r="DM276" s="155"/>
      <c r="DN276" s="155"/>
      <c r="DO276" s="155"/>
      <c r="DP276" s="423"/>
      <c r="DQ276" s="155"/>
      <c r="DR276" s="155"/>
      <c r="DS276" s="222"/>
      <c r="DT276" s="267"/>
      <c r="DU276" s="174"/>
      <c r="DV276" s="174"/>
      <c r="DW276" s="200"/>
      <c r="DX276" s="428"/>
      <c r="DY276" s="155"/>
      <c r="DZ276" s="155"/>
      <c r="EA276" s="155"/>
      <c r="EB276" s="173"/>
      <c r="EC276" s="155"/>
      <c r="ED276" s="155"/>
      <c r="EE276" s="155"/>
      <c r="EF276" s="423"/>
      <c r="EG276" s="155"/>
      <c r="EH276" s="155"/>
      <c r="EI276" s="155"/>
      <c r="EJ276" s="267"/>
      <c r="EK276" s="155"/>
      <c r="EL276" s="155"/>
      <c r="EM276" s="155"/>
      <c r="EN276" s="428"/>
    </row>
    <row r="277" spans="1:144">
      <c r="A277" s="360"/>
      <c r="B277" s="172"/>
      <c r="C277" s="360"/>
      <c r="D277" s="172"/>
      <c r="E277" s="408"/>
      <c r="F277" s="408"/>
      <c r="G277" s="509"/>
      <c r="H277" s="546"/>
      <c r="I277" s="546"/>
      <c r="J277" s="251"/>
      <c r="K277" s="251"/>
      <c r="L277" s="509"/>
      <c r="M277" s="509"/>
      <c r="N277" s="509"/>
      <c r="O277" s="547"/>
      <c r="P277" s="200"/>
      <c r="Q277" s="174"/>
      <c r="R277" s="390"/>
      <c r="S277" s="510"/>
      <c r="T277" s="200"/>
      <c r="U277" s="174"/>
      <c r="V277" s="174"/>
      <c r="W277" s="510"/>
      <c r="X277" s="174"/>
      <c r="Y277" s="174"/>
      <c r="Z277" s="174"/>
      <c r="AA277" s="510"/>
      <c r="AB277" s="200"/>
      <c r="AC277" s="174"/>
      <c r="AD277" s="390"/>
      <c r="AE277" s="510"/>
      <c r="AF277" s="200"/>
      <c r="AG277" s="174"/>
      <c r="AH277" s="174"/>
      <c r="AI277" s="200"/>
      <c r="AJ277" s="548"/>
      <c r="AK277" s="200"/>
      <c r="AL277" s="174"/>
      <c r="AM277" s="390"/>
      <c r="AN277" s="510"/>
      <c r="AO277" s="200"/>
      <c r="AP277" s="174"/>
      <c r="AQ277" s="510"/>
      <c r="AR277" s="200"/>
      <c r="AS277" s="174"/>
      <c r="AT277" s="510"/>
      <c r="AU277" s="200"/>
      <c r="AV277" s="174"/>
      <c r="AW277" s="510"/>
      <c r="AX277" s="200"/>
      <c r="AY277" s="174"/>
      <c r="AZ277" s="510"/>
      <c r="BA277" s="174"/>
      <c r="BB277" s="174"/>
      <c r="BC277" s="174"/>
      <c r="BD277" s="174"/>
      <c r="BE277" s="174"/>
      <c r="BF277" s="510"/>
      <c r="BG277" s="174"/>
      <c r="BH277" s="174"/>
      <c r="BI277" s="174"/>
      <c r="BJ277" s="200"/>
      <c r="BK277" s="174"/>
      <c r="BL277" s="510"/>
      <c r="BM277" s="174"/>
      <c r="BN277" s="174"/>
      <c r="BO277" s="510"/>
      <c r="BP277" s="200"/>
      <c r="BQ277" s="447"/>
      <c r="BR277" s="510"/>
      <c r="BS277" s="174"/>
      <c r="BT277" s="174"/>
      <c r="BU277" s="510"/>
      <c r="BV277" s="200"/>
      <c r="BW277" s="174"/>
      <c r="BX277" s="510"/>
      <c r="BY277" s="174"/>
      <c r="BZ277" s="174"/>
      <c r="CA277" s="510"/>
      <c r="CB277" s="200"/>
      <c r="CC277" s="174"/>
      <c r="CD277" s="510"/>
      <c r="CE277" s="174"/>
      <c r="CF277" s="174"/>
      <c r="CG277" s="510"/>
      <c r="CH277" s="174"/>
      <c r="CI277" s="174"/>
      <c r="CJ277" s="174"/>
      <c r="CK277" s="174"/>
      <c r="CL277" s="174"/>
      <c r="CM277" s="510"/>
      <c r="CN277" s="174"/>
      <c r="CO277" s="549"/>
      <c r="CP277" s="510"/>
      <c r="CQ277" s="200"/>
      <c r="CR277" s="550"/>
      <c r="CS277" s="510"/>
      <c r="CT277" s="390"/>
      <c r="CU277" s="331"/>
      <c r="CV277" s="428"/>
      <c r="CW277" s="155"/>
      <c r="CX277" s="155"/>
      <c r="CY277" s="267"/>
      <c r="CZ277" s="323"/>
      <c r="DA277" s="323"/>
      <c r="DB277" s="423"/>
      <c r="DC277" s="155"/>
      <c r="DD277" s="155"/>
      <c r="DE277" s="267"/>
      <c r="DF277" s="323"/>
      <c r="DG277" s="323"/>
      <c r="DH277" s="428"/>
      <c r="DI277" s="155"/>
      <c r="DJ277" s="155"/>
      <c r="DK277" s="222"/>
      <c r="DL277" s="267"/>
      <c r="DM277" s="155"/>
      <c r="DN277" s="155"/>
      <c r="DO277" s="155"/>
      <c r="DP277" s="423"/>
      <c r="DQ277" s="155"/>
      <c r="DR277" s="155"/>
      <c r="DS277" s="222"/>
      <c r="DT277" s="267"/>
      <c r="DU277" s="174"/>
      <c r="DV277" s="174"/>
      <c r="DW277" s="200"/>
      <c r="DX277" s="428"/>
      <c r="DY277" s="155"/>
      <c r="DZ277" s="155"/>
      <c r="EA277" s="155"/>
      <c r="EB277" s="173"/>
      <c r="EC277" s="155"/>
      <c r="ED277" s="155"/>
      <c r="EE277" s="155"/>
      <c r="EF277" s="423"/>
      <c r="EG277" s="155"/>
      <c r="EH277" s="155"/>
      <c r="EI277" s="155"/>
      <c r="EJ277" s="267"/>
      <c r="EK277" s="155"/>
      <c r="EL277" s="155"/>
      <c r="EM277" s="155"/>
      <c r="EN277" s="428"/>
    </row>
    <row r="278" spans="1:144">
      <c r="A278" s="360"/>
      <c r="B278" s="172"/>
      <c r="C278" s="360"/>
      <c r="D278" s="172"/>
      <c r="E278" s="408"/>
      <c r="F278" s="408"/>
      <c r="G278" s="509"/>
      <c r="H278" s="546"/>
      <c r="I278" s="546"/>
      <c r="J278" s="251"/>
      <c r="K278" s="251"/>
      <c r="L278" s="509"/>
      <c r="M278" s="509"/>
      <c r="N278" s="509"/>
      <c r="O278" s="547"/>
      <c r="P278" s="200"/>
      <c r="Q278" s="174"/>
      <c r="R278" s="390"/>
      <c r="S278" s="510"/>
      <c r="T278" s="200"/>
      <c r="U278" s="174"/>
      <c r="V278" s="174"/>
      <c r="W278" s="510"/>
      <c r="X278" s="174"/>
      <c r="Y278" s="174"/>
      <c r="Z278" s="174"/>
      <c r="AA278" s="510"/>
      <c r="AB278" s="200"/>
      <c r="AC278" s="174"/>
      <c r="AD278" s="390"/>
      <c r="AE278" s="510"/>
      <c r="AF278" s="200"/>
      <c r="AG278" s="174"/>
      <c r="AH278" s="174"/>
      <c r="AI278" s="200"/>
      <c r="AJ278" s="548"/>
      <c r="AK278" s="200"/>
      <c r="AL278" s="174"/>
      <c r="AM278" s="390"/>
      <c r="AN278" s="510"/>
      <c r="AO278" s="200"/>
      <c r="AP278" s="174"/>
      <c r="AQ278" s="510"/>
      <c r="AR278" s="200"/>
      <c r="AS278" s="174"/>
      <c r="AT278" s="510"/>
      <c r="AU278" s="200"/>
      <c r="AV278" s="174"/>
      <c r="AW278" s="510"/>
      <c r="AX278" s="200"/>
      <c r="AY278" s="174"/>
      <c r="AZ278" s="510"/>
      <c r="BA278" s="174"/>
      <c r="BB278" s="174"/>
      <c r="BC278" s="174"/>
      <c r="BD278" s="174"/>
      <c r="BE278" s="174"/>
      <c r="BF278" s="510"/>
      <c r="BG278" s="174"/>
      <c r="BH278" s="174"/>
      <c r="BI278" s="174"/>
      <c r="BJ278" s="200"/>
      <c r="BK278" s="174"/>
      <c r="BL278" s="510"/>
      <c r="BM278" s="174"/>
      <c r="BN278" s="174"/>
      <c r="BO278" s="510"/>
      <c r="BP278" s="200"/>
      <c r="BQ278" s="447"/>
      <c r="BR278" s="510"/>
      <c r="BS278" s="174"/>
      <c r="BT278" s="174"/>
      <c r="BU278" s="510"/>
      <c r="BV278" s="200"/>
      <c r="BW278" s="174"/>
      <c r="BX278" s="510"/>
      <c r="BY278" s="174"/>
      <c r="BZ278" s="174"/>
      <c r="CA278" s="510"/>
      <c r="CB278" s="200"/>
      <c r="CC278" s="174"/>
      <c r="CD278" s="510"/>
      <c r="CE278" s="174"/>
      <c r="CF278" s="174"/>
      <c r="CG278" s="510"/>
      <c r="CH278" s="174"/>
      <c r="CI278" s="174"/>
      <c r="CJ278" s="174"/>
      <c r="CK278" s="174"/>
      <c r="CL278" s="174"/>
      <c r="CM278" s="510"/>
      <c r="CN278" s="174"/>
      <c r="CO278" s="549"/>
      <c r="CP278" s="510"/>
      <c r="CQ278" s="200"/>
      <c r="CR278" s="550"/>
      <c r="CS278" s="510"/>
      <c r="CT278" s="390"/>
      <c r="CU278" s="331"/>
      <c r="CV278" s="428"/>
      <c r="CW278" s="155"/>
      <c r="CX278" s="155"/>
      <c r="CY278" s="267"/>
      <c r="CZ278" s="323"/>
      <c r="DA278" s="323"/>
      <c r="DB278" s="423"/>
      <c r="DC278" s="155"/>
      <c r="DD278" s="155"/>
      <c r="DE278" s="267"/>
      <c r="DF278" s="323"/>
      <c r="DG278" s="323"/>
      <c r="DH278" s="428"/>
      <c r="DI278" s="155"/>
      <c r="DJ278" s="155"/>
      <c r="DK278" s="222"/>
      <c r="DL278" s="267"/>
      <c r="DM278" s="155"/>
      <c r="DN278" s="155"/>
      <c r="DO278" s="155"/>
      <c r="DP278" s="423"/>
      <c r="DQ278" s="155"/>
      <c r="DR278" s="155"/>
      <c r="DS278" s="222"/>
      <c r="DT278" s="267"/>
      <c r="DU278" s="174"/>
      <c r="DV278" s="174"/>
      <c r="DW278" s="200"/>
      <c r="DX278" s="428"/>
      <c r="DY278" s="155"/>
      <c r="DZ278" s="155"/>
      <c r="EA278" s="155"/>
      <c r="EB278" s="173"/>
      <c r="EC278" s="155"/>
      <c r="ED278" s="155"/>
      <c r="EE278" s="155"/>
      <c r="EF278" s="423"/>
      <c r="EG278" s="155"/>
      <c r="EH278" s="155"/>
      <c r="EI278" s="155"/>
      <c r="EJ278" s="267"/>
      <c r="EK278" s="155"/>
      <c r="EL278" s="155"/>
      <c r="EM278" s="155"/>
      <c r="EN278" s="428"/>
    </row>
    <row r="279" spans="1:144">
      <c r="A279" s="360"/>
      <c r="B279" s="172"/>
      <c r="C279" s="360"/>
      <c r="D279" s="172"/>
      <c r="E279" s="408"/>
      <c r="F279" s="408"/>
      <c r="G279" s="509"/>
      <c r="H279" s="546"/>
      <c r="I279" s="546"/>
      <c r="J279" s="251"/>
      <c r="K279" s="251"/>
      <c r="L279" s="509"/>
      <c r="M279" s="509"/>
      <c r="N279" s="509"/>
      <c r="O279" s="547"/>
      <c r="P279" s="200"/>
      <c r="Q279" s="174"/>
      <c r="R279" s="390"/>
      <c r="S279" s="510"/>
      <c r="T279" s="200"/>
      <c r="U279" s="174"/>
      <c r="V279" s="174"/>
      <c r="W279" s="510"/>
      <c r="X279" s="174"/>
      <c r="Y279" s="174"/>
      <c r="Z279" s="174"/>
      <c r="AA279" s="510"/>
      <c r="AB279" s="200"/>
      <c r="AC279" s="174"/>
      <c r="AD279" s="390"/>
      <c r="AE279" s="510"/>
      <c r="AF279" s="200"/>
      <c r="AG279" s="174"/>
      <c r="AH279" s="174"/>
      <c r="AI279" s="200"/>
      <c r="AJ279" s="548"/>
      <c r="AK279" s="200"/>
      <c r="AL279" s="174"/>
      <c r="AM279" s="390"/>
      <c r="AN279" s="510"/>
      <c r="AO279" s="200"/>
      <c r="AP279" s="174"/>
      <c r="AQ279" s="510"/>
      <c r="AR279" s="200"/>
      <c r="AS279" s="174"/>
      <c r="AT279" s="510"/>
      <c r="AU279" s="200"/>
      <c r="AV279" s="174"/>
      <c r="AW279" s="510"/>
      <c r="AX279" s="200"/>
      <c r="AY279" s="174"/>
      <c r="AZ279" s="510"/>
      <c r="BA279" s="174"/>
      <c r="BB279" s="174"/>
      <c r="BC279" s="174"/>
      <c r="BD279" s="174"/>
      <c r="BE279" s="174"/>
      <c r="BF279" s="510"/>
      <c r="BG279" s="174"/>
      <c r="BH279" s="174"/>
      <c r="BI279" s="174"/>
      <c r="BJ279" s="200"/>
      <c r="BK279" s="174"/>
      <c r="BL279" s="510"/>
      <c r="BM279" s="174"/>
      <c r="BN279" s="174"/>
      <c r="BO279" s="510"/>
      <c r="BP279" s="200"/>
      <c r="BQ279" s="447"/>
      <c r="BR279" s="510"/>
      <c r="BS279" s="174"/>
      <c r="BT279" s="174"/>
      <c r="BU279" s="510"/>
      <c r="BV279" s="200"/>
      <c r="BW279" s="174"/>
      <c r="BX279" s="510"/>
      <c r="BY279" s="174"/>
      <c r="BZ279" s="174"/>
      <c r="CA279" s="510"/>
      <c r="CB279" s="200"/>
      <c r="CC279" s="174"/>
      <c r="CD279" s="510"/>
      <c r="CE279" s="174"/>
      <c r="CF279" s="174"/>
      <c r="CG279" s="510"/>
      <c r="CH279" s="174"/>
      <c r="CI279" s="174"/>
      <c r="CJ279" s="174"/>
      <c r="CK279" s="174"/>
      <c r="CL279" s="174"/>
      <c r="CM279" s="510"/>
      <c r="CN279" s="174"/>
      <c r="CO279" s="549"/>
      <c r="CP279" s="510"/>
      <c r="CQ279" s="200"/>
      <c r="CR279" s="550"/>
      <c r="CS279" s="510"/>
      <c r="CT279" s="390"/>
      <c r="CU279" s="331"/>
      <c r="CV279" s="428"/>
      <c r="CW279" s="155"/>
      <c r="CX279" s="155"/>
      <c r="CY279" s="267"/>
      <c r="CZ279" s="323"/>
      <c r="DA279" s="323"/>
      <c r="DB279" s="423"/>
      <c r="DC279" s="155"/>
      <c r="DD279" s="155"/>
      <c r="DE279" s="267"/>
      <c r="DF279" s="323"/>
      <c r="DG279" s="323"/>
      <c r="DH279" s="428"/>
      <c r="DI279" s="155"/>
      <c r="DJ279" s="155"/>
      <c r="DK279" s="222"/>
      <c r="DL279" s="267"/>
      <c r="DM279" s="155"/>
      <c r="DN279" s="155"/>
      <c r="DO279" s="155"/>
      <c r="DP279" s="423"/>
      <c r="DQ279" s="155"/>
      <c r="DR279" s="155"/>
      <c r="DS279" s="222"/>
      <c r="DT279" s="267"/>
      <c r="DU279" s="174"/>
      <c r="DV279" s="174"/>
      <c r="DW279" s="200"/>
      <c r="DX279" s="428"/>
      <c r="DY279" s="155"/>
      <c r="DZ279" s="155"/>
      <c r="EA279" s="155"/>
      <c r="EB279" s="173"/>
      <c r="EC279" s="155"/>
      <c r="ED279" s="155"/>
      <c r="EE279" s="155"/>
      <c r="EF279" s="423"/>
      <c r="EG279" s="155"/>
      <c r="EH279" s="155"/>
      <c r="EI279" s="155"/>
      <c r="EJ279" s="267"/>
      <c r="EK279" s="155"/>
      <c r="EL279" s="155"/>
      <c r="EM279" s="155"/>
      <c r="EN279" s="428"/>
    </row>
    <row r="280" spans="1:144">
      <c r="A280" s="360"/>
      <c r="B280" s="172"/>
      <c r="C280" s="360"/>
      <c r="D280" s="172"/>
      <c r="E280" s="408"/>
      <c r="F280" s="408"/>
      <c r="G280" s="509"/>
      <c r="H280" s="546"/>
      <c r="I280" s="546"/>
      <c r="J280" s="251"/>
      <c r="K280" s="251"/>
      <c r="L280" s="509"/>
      <c r="M280" s="509"/>
      <c r="N280" s="509"/>
      <c r="O280" s="547"/>
      <c r="P280" s="200"/>
      <c r="Q280" s="174"/>
      <c r="R280" s="390"/>
      <c r="S280" s="510"/>
      <c r="T280" s="200"/>
      <c r="U280" s="174"/>
      <c r="V280" s="174"/>
      <c r="W280" s="510"/>
      <c r="X280" s="174"/>
      <c r="Y280" s="174"/>
      <c r="Z280" s="174"/>
      <c r="AA280" s="510"/>
      <c r="AB280" s="200"/>
      <c r="AC280" s="174"/>
      <c r="AD280" s="390"/>
      <c r="AE280" s="510"/>
      <c r="AF280" s="200"/>
      <c r="AG280" s="174"/>
      <c r="AH280" s="174"/>
      <c r="AI280" s="200"/>
      <c r="AJ280" s="548"/>
      <c r="AK280" s="200"/>
      <c r="AL280" s="174"/>
      <c r="AM280" s="390"/>
      <c r="AN280" s="510"/>
      <c r="AO280" s="200"/>
      <c r="AP280" s="174"/>
      <c r="AQ280" s="510"/>
      <c r="AR280" s="200"/>
      <c r="AS280" s="174"/>
      <c r="AT280" s="510"/>
      <c r="AU280" s="200"/>
      <c r="AV280" s="174"/>
      <c r="AW280" s="510"/>
      <c r="AX280" s="200"/>
      <c r="AY280" s="174"/>
      <c r="AZ280" s="510"/>
      <c r="BA280" s="174"/>
      <c r="BB280" s="174"/>
      <c r="BC280" s="174"/>
      <c r="BD280" s="174"/>
      <c r="BE280" s="174"/>
      <c r="BF280" s="510"/>
      <c r="BG280" s="174"/>
      <c r="BH280" s="174"/>
      <c r="BI280" s="174"/>
      <c r="BJ280" s="200"/>
      <c r="BK280" s="174"/>
      <c r="BL280" s="510"/>
      <c r="BM280" s="174"/>
      <c r="BN280" s="174"/>
      <c r="BO280" s="510"/>
      <c r="BP280" s="200"/>
      <c r="BQ280" s="447"/>
      <c r="BR280" s="510"/>
      <c r="BS280" s="174"/>
      <c r="BT280" s="174"/>
      <c r="BU280" s="510"/>
      <c r="BV280" s="200"/>
      <c r="BW280" s="174"/>
      <c r="BX280" s="510"/>
      <c r="BY280" s="174"/>
      <c r="BZ280" s="174"/>
      <c r="CA280" s="510"/>
      <c r="CB280" s="200"/>
      <c r="CC280" s="174"/>
      <c r="CD280" s="510"/>
      <c r="CE280" s="174"/>
      <c r="CF280" s="174"/>
      <c r="CG280" s="510"/>
      <c r="CH280" s="174"/>
      <c r="CI280" s="174"/>
      <c r="CJ280" s="174"/>
      <c r="CK280" s="174"/>
      <c r="CL280" s="174"/>
      <c r="CM280" s="510"/>
      <c r="CN280" s="174"/>
      <c r="CO280" s="549"/>
      <c r="CP280" s="510"/>
      <c r="CQ280" s="200"/>
      <c r="CR280" s="550"/>
      <c r="CS280" s="510"/>
      <c r="CT280" s="390"/>
      <c r="CU280" s="331"/>
      <c r="CV280" s="428"/>
      <c r="CW280" s="155"/>
      <c r="CX280" s="155"/>
      <c r="CY280" s="267"/>
      <c r="CZ280" s="323"/>
      <c r="DA280" s="323"/>
      <c r="DB280" s="423"/>
      <c r="DC280" s="155"/>
      <c r="DD280" s="155"/>
      <c r="DE280" s="267"/>
      <c r="DF280" s="323"/>
      <c r="DG280" s="323"/>
      <c r="DH280" s="428"/>
      <c r="DI280" s="155"/>
      <c r="DJ280" s="155"/>
      <c r="DK280" s="222"/>
      <c r="DL280" s="267"/>
      <c r="DM280" s="155"/>
      <c r="DN280" s="155"/>
      <c r="DO280" s="155"/>
      <c r="DP280" s="423"/>
      <c r="DQ280" s="155"/>
      <c r="DR280" s="155"/>
      <c r="DS280" s="222"/>
      <c r="DT280" s="267"/>
      <c r="DU280" s="174"/>
      <c r="DV280" s="174"/>
      <c r="DW280" s="200"/>
      <c r="DX280" s="428"/>
      <c r="DY280" s="155"/>
      <c r="DZ280" s="155"/>
      <c r="EA280" s="155"/>
      <c r="EB280" s="173"/>
      <c r="EC280" s="155"/>
      <c r="ED280" s="155"/>
      <c r="EE280" s="155"/>
      <c r="EF280" s="423"/>
      <c r="EG280" s="155"/>
      <c r="EH280" s="155"/>
      <c r="EI280" s="155"/>
      <c r="EJ280" s="267"/>
      <c r="EK280" s="155"/>
      <c r="EL280" s="155"/>
      <c r="EM280" s="155"/>
      <c r="EN280" s="428"/>
    </row>
    <row r="281" spans="1:144">
      <c r="A281" s="360"/>
      <c r="B281" s="172"/>
      <c r="C281" s="360"/>
      <c r="D281" s="172"/>
      <c r="E281" s="408"/>
      <c r="F281" s="408"/>
      <c r="G281" s="509"/>
      <c r="H281" s="546"/>
      <c r="I281" s="546"/>
      <c r="J281" s="251"/>
      <c r="K281" s="251"/>
      <c r="L281" s="509"/>
      <c r="M281" s="509"/>
      <c r="N281" s="509"/>
      <c r="O281" s="547"/>
      <c r="P281" s="200"/>
      <c r="Q281" s="174"/>
      <c r="R281" s="390"/>
      <c r="S281" s="510"/>
      <c r="T281" s="200"/>
      <c r="U281" s="174"/>
      <c r="V281" s="174"/>
      <c r="W281" s="510"/>
      <c r="X281" s="174"/>
      <c r="Y281" s="174"/>
      <c r="Z281" s="174"/>
      <c r="AA281" s="510"/>
      <c r="AB281" s="200"/>
      <c r="AC281" s="174"/>
      <c r="AD281" s="390"/>
      <c r="AE281" s="510"/>
      <c r="AF281" s="200"/>
      <c r="AG281" s="174"/>
      <c r="AH281" s="174"/>
      <c r="AI281" s="200"/>
      <c r="AJ281" s="548"/>
      <c r="AK281" s="200"/>
      <c r="AL281" s="174"/>
      <c r="AM281" s="390"/>
      <c r="AN281" s="510"/>
      <c r="AO281" s="200"/>
      <c r="AP281" s="174"/>
      <c r="AQ281" s="510"/>
      <c r="AR281" s="200"/>
      <c r="AS281" s="174"/>
      <c r="AT281" s="510"/>
      <c r="AU281" s="200"/>
      <c r="AV281" s="174"/>
      <c r="AW281" s="510"/>
      <c r="AX281" s="200"/>
      <c r="AY281" s="174"/>
      <c r="AZ281" s="510"/>
      <c r="BA281" s="174"/>
      <c r="BB281" s="174"/>
      <c r="BC281" s="174"/>
      <c r="BD281" s="174"/>
      <c r="BE281" s="174"/>
      <c r="BF281" s="510"/>
      <c r="BG281" s="174"/>
      <c r="BH281" s="174"/>
      <c r="BI281" s="174"/>
      <c r="BJ281" s="200"/>
      <c r="BK281" s="174"/>
      <c r="BL281" s="510"/>
      <c r="BM281" s="174"/>
      <c r="BN281" s="174"/>
      <c r="BO281" s="510"/>
      <c r="BP281" s="200"/>
      <c r="BQ281" s="447"/>
      <c r="BR281" s="510"/>
      <c r="BS281" s="174"/>
      <c r="BT281" s="174"/>
      <c r="BU281" s="510"/>
      <c r="BV281" s="200"/>
      <c r="BW281" s="174"/>
      <c r="BX281" s="510"/>
      <c r="BY281" s="174"/>
      <c r="BZ281" s="174"/>
      <c r="CA281" s="510"/>
      <c r="CB281" s="200"/>
      <c r="CC281" s="174"/>
      <c r="CD281" s="510"/>
      <c r="CE281" s="174"/>
      <c r="CF281" s="174"/>
      <c r="CG281" s="510"/>
      <c r="CH281" s="174"/>
      <c r="CI281" s="174"/>
      <c r="CJ281" s="174"/>
      <c r="CK281" s="174"/>
      <c r="CL281" s="174"/>
      <c r="CM281" s="510"/>
      <c r="CN281" s="174"/>
      <c r="CO281" s="549"/>
      <c r="CP281" s="510"/>
      <c r="CQ281" s="200"/>
      <c r="CR281" s="550"/>
      <c r="CS281" s="510"/>
      <c r="CT281" s="390"/>
      <c r="CU281" s="331"/>
      <c r="CV281" s="428"/>
      <c r="CW281" s="155"/>
      <c r="CX281" s="155"/>
      <c r="CY281" s="267"/>
      <c r="CZ281" s="323"/>
      <c r="DA281" s="323"/>
      <c r="DB281" s="423"/>
      <c r="DC281" s="155"/>
      <c r="DD281" s="155"/>
      <c r="DE281" s="267"/>
      <c r="DF281" s="323"/>
      <c r="DG281" s="323"/>
      <c r="DH281" s="428"/>
      <c r="DI281" s="155"/>
      <c r="DJ281" s="155"/>
      <c r="DK281" s="222"/>
      <c r="DL281" s="267"/>
      <c r="DM281" s="155"/>
      <c r="DN281" s="155"/>
      <c r="DO281" s="155"/>
      <c r="DP281" s="423"/>
      <c r="DQ281" s="155"/>
      <c r="DR281" s="155"/>
      <c r="DS281" s="222"/>
      <c r="DT281" s="267"/>
      <c r="DU281" s="174"/>
      <c r="DV281" s="174"/>
      <c r="DW281" s="200"/>
      <c r="DX281" s="428"/>
      <c r="DY281" s="155"/>
      <c r="DZ281" s="155"/>
      <c r="EA281" s="155"/>
      <c r="EB281" s="173"/>
      <c r="EC281" s="155"/>
      <c r="ED281" s="155"/>
      <c r="EE281" s="155"/>
      <c r="EF281" s="423"/>
      <c r="EG281" s="155"/>
      <c r="EH281" s="155"/>
      <c r="EI281" s="155"/>
      <c r="EJ281" s="267"/>
      <c r="EK281" s="155"/>
      <c r="EL281" s="155"/>
      <c r="EM281" s="155"/>
      <c r="EN281" s="428"/>
    </row>
    <row r="282" spans="1:144">
      <c r="A282" s="360"/>
      <c r="B282" s="172"/>
      <c r="C282" s="360"/>
      <c r="D282" s="172"/>
      <c r="E282" s="408"/>
      <c r="F282" s="408"/>
      <c r="G282" s="509"/>
      <c r="H282" s="546"/>
      <c r="I282" s="546"/>
      <c r="J282" s="251"/>
      <c r="K282" s="251"/>
      <c r="L282" s="509"/>
      <c r="M282" s="509"/>
      <c r="N282" s="509"/>
      <c r="O282" s="547"/>
      <c r="P282" s="200"/>
      <c r="Q282" s="174"/>
      <c r="R282" s="390"/>
      <c r="S282" s="510"/>
      <c r="T282" s="200"/>
      <c r="U282" s="174"/>
      <c r="V282" s="174"/>
      <c r="W282" s="510"/>
      <c r="X282" s="174"/>
      <c r="Y282" s="174"/>
      <c r="Z282" s="174"/>
      <c r="AA282" s="510"/>
      <c r="AB282" s="200"/>
      <c r="AC282" s="174"/>
      <c r="AD282" s="390"/>
      <c r="AE282" s="510"/>
      <c r="AF282" s="200"/>
      <c r="AG282" s="174"/>
      <c r="AH282" s="174"/>
      <c r="AI282" s="200"/>
      <c r="AJ282" s="548"/>
      <c r="AK282" s="200"/>
      <c r="AL282" s="174"/>
      <c r="AM282" s="390"/>
      <c r="AN282" s="510"/>
      <c r="AO282" s="200"/>
      <c r="AP282" s="174"/>
      <c r="AQ282" s="510"/>
      <c r="AR282" s="200"/>
      <c r="AS282" s="174"/>
      <c r="AT282" s="510"/>
      <c r="AU282" s="200"/>
      <c r="AV282" s="174"/>
      <c r="AW282" s="510"/>
      <c r="AX282" s="200"/>
      <c r="AY282" s="174"/>
      <c r="AZ282" s="510"/>
      <c r="BA282" s="174"/>
      <c r="BB282" s="174"/>
      <c r="BC282" s="174"/>
      <c r="BD282" s="174"/>
      <c r="BE282" s="174"/>
      <c r="BF282" s="510"/>
      <c r="BG282" s="174"/>
      <c r="BH282" s="174"/>
      <c r="BI282" s="174"/>
      <c r="BJ282" s="200"/>
      <c r="BK282" s="174"/>
      <c r="BL282" s="510"/>
      <c r="BM282" s="174"/>
      <c r="BN282" s="174"/>
      <c r="BO282" s="510"/>
      <c r="BP282" s="200"/>
      <c r="BQ282" s="447"/>
      <c r="BR282" s="510"/>
      <c r="BS282" s="174"/>
      <c r="BT282" s="174"/>
      <c r="BU282" s="510"/>
      <c r="BV282" s="200"/>
      <c r="BW282" s="174"/>
      <c r="BX282" s="510"/>
      <c r="BY282" s="174"/>
      <c r="BZ282" s="174"/>
      <c r="CA282" s="510"/>
      <c r="CB282" s="200"/>
      <c r="CC282" s="174"/>
      <c r="CD282" s="510"/>
      <c r="CE282" s="174"/>
      <c r="CF282" s="174"/>
      <c r="CG282" s="510"/>
      <c r="CH282" s="174"/>
      <c r="CI282" s="174"/>
      <c r="CJ282" s="174"/>
      <c r="CK282" s="174"/>
      <c r="CL282" s="174"/>
      <c r="CM282" s="510"/>
      <c r="CN282" s="174"/>
      <c r="CO282" s="549"/>
      <c r="CP282" s="510"/>
      <c r="CQ282" s="200"/>
      <c r="CR282" s="550"/>
      <c r="CS282" s="510"/>
      <c r="CT282" s="390"/>
      <c r="CU282" s="331"/>
      <c r="CV282" s="428"/>
      <c r="CW282" s="155"/>
      <c r="CX282" s="155"/>
      <c r="CY282" s="267"/>
      <c r="CZ282" s="323"/>
      <c r="DA282" s="323"/>
      <c r="DB282" s="423"/>
      <c r="DC282" s="155"/>
      <c r="DD282" s="155"/>
      <c r="DE282" s="267"/>
      <c r="DF282" s="323"/>
      <c r="DG282" s="323"/>
      <c r="DH282" s="428"/>
      <c r="DI282" s="155"/>
      <c r="DJ282" s="155"/>
      <c r="DK282" s="222"/>
      <c r="DL282" s="267"/>
      <c r="DM282" s="155"/>
      <c r="DN282" s="155"/>
      <c r="DO282" s="155"/>
      <c r="DP282" s="423"/>
      <c r="DQ282" s="155"/>
      <c r="DR282" s="155"/>
      <c r="DS282" s="222"/>
      <c r="DT282" s="267"/>
      <c r="DU282" s="174"/>
      <c r="DV282" s="174"/>
      <c r="DW282" s="200"/>
      <c r="DX282" s="428"/>
      <c r="DY282" s="155"/>
      <c r="DZ282" s="155"/>
      <c r="EA282" s="155"/>
      <c r="EB282" s="173"/>
      <c r="EC282" s="155"/>
      <c r="ED282" s="155"/>
      <c r="EE282" s="155"/>
      <c r="EF282" s="423"/>
      <c r="EG282" s="155"/>
      <c r="EH282" s="155"/>
      <c r="EI282" s="155"/>
      <c r="EJ282" s="267"/>
      <c r="EK282" s="155"/>
      <c r="EL282" s="155"/>
      <c r="EM282" s="155"/>
      <c r="EN282" s="428"/>
    </row>
    <row r="283" spans="1:144">
      <c r="A283" s="360"/>
      <c r="B283" s="172"/>
      <c r="C283" s="360"/>
      <c r="D283" s="172"/>
      <c r="E283" s="408"/>
      <c r="F283" s="408"/>
      <c r="G283" s="509"/>
      <c r="H283" s="546"/>
      <c r="I283" s="546"/>
      <c r="J283" s="251"/>
      <c r="K283" s="251"/>
      <c r="L283" s="509"/>
      <c r="M283" s="509"/>
      <c r="N283" s="509"/>
      <c r="O283" s="547"/>
      <c r="P283" s="200"/>
      <c r="Q283" s="174"/>
      <c r="R283" s="390"/>
      <c r="S283" s="510"/>
      <c r="T283" s="200"/>
      <c r="U283" s="174"/>
      <c r="V283" s="174"/>
      <c r="W283" s="510"/>
      <c r="X283" s="174"/>
      <c r="Y283" s="174"/>
      <c r="Z283" s="174"/>
      <c r="AA283" s="510"/>
      <c r="AB283" s="200"/>
      <c r="AC283" s="174"/>
      <c r="AD283" s="390"/>
      <c r="AE283" s="510"/>
      <c r="AF283" s="200"/>
      <c r="AG283" s="174"/>
      <c r="AH283" s="174"/>
      <c r="AI283" s="200"/>
      <c r="AJ283" s="548"/>
      <c r="AK283" s="200"/>
      <c r="AL283" s="174"/>
      <c r="AM283" s="390"/>
      <c r="AN283" s="510"/>
      <c r="AO283" s="200"/>
      <c r="AP283" s="174"/>
      <c r="AQ283" s="510"/>
      <c r="AR283" s="200"/>
      <c r="AS283" s="174"/>
      <c r="AT283" s="510"/>
      <c r="AU283" s="200"/>
      <c r="AV283" s="174"/>
      <c r="AW283" s="510"/>
      <c r="AX283" s="200"/>
      <c r="AY283" s="174"/>
      <c r="AZ283" s="510"/>
      <c r="BA283" s="174"/>
      <c r="BB283" s="174"/>
      <c r="BC283" s="174"/>
      <c r="BD283" s="174"/>
      <c r="BE283" s="174"/>
      <c r="BF283" s="510"/>
      <c r="BG283" s="174"/>
      <c r="BH283" s="174"/>
      <c r="BI283" s="174"/>
      <c r="BJ283" s="200"/>
      <c r="BK283" s="174"/>
      <c r="BL283" s="510"/>
      <c r="BM283" s="174"/>
      <c r="BN283" s="174"/>
      <c r="BO283" s="510"/>
      <c r="BP283" s="200"/>
      <c r="BQ283" s="447"/>
      <c r="BR283" s="510"/>
      <c r="BS283" s="174"/>
      <c r="BT283" s="174"/>
      <c r="BU283" s="510"/>
      <c r="BV283" s="200"/>
      <c r="BW283" s="174"/>
      <c r="BX283" s="510"/>
      <c r="BY283" s="174"/>
      <c r="BZ283" s="174"/>
      <c r="CA283" s="510"/>
      <c r="CB283" s="200"/>
      <c r="CC283" s="174"/>
      <c r="CD283" s="510"/>
      <c r="CE283" s="174"/>
      <c r="CF283" s="174"/>
      <c r="CG283" s="510"/>
      <c r="CH283" s="174"/>
      <c r="CI283" s="174"/>
      <c r="CJ283" s="174"/>
      <c r="CK283" s="174"/>
      <c r="CL283" s="174"/>
      <c r="CM283" s="510"/>
      <c r="CN283" s="174"/>
      <c r="CO283" s="549"/>
      <c r="CP283" s="510"/>
      <c r="CQ283" s="200"/>
      <c r="CR283" s="550"/>
      <c r="CS283" s="510"/>
      <c r="CT283" s="390"/>
      <c r="CU283" s="331"/>
      <c r="CV283" s="428"/>
      <c r="CW283" s="155"/>
      <c r="CX283" s="155"/>
      <c r="CY283" s="267"/>
      <c r="CZ283" s="323"/>
      <c r="DA283" s="323"/>
      <c r="DB283" s="423"/>
      <c r="DC283" s="155"/>
      <c r="DD283" s="155"/>
      <c r="DE283" s="267"/>
      <c r="DF283" s="323"/>
      <c r="DG283" s="323"/>
      <c r="DH283" s="428"/>
      <c r="DI283" s="155"/>
      <c r="DJ283" s="155"/>
      <c r="DK283" s="222"/>
      <c r="DL283" s="267"/>
      <c r="DM283" s="155"/>
      <c r="DN283" s="155"/>
      <c r="DO283" s="155"/>
      <c r="DP283" s="423"/>
      <c r="DQ283" s="155"/>
      <c r="DR283" s="155"/>
      <c r="DS283" s="222"/>
      <c r="DT283" s="267"/>
      <c r="DU283" s="174"/>
      <c r="DV283" s="174"/>
      <c r="DW283" s="200"/>
      <c r="DX283" s="428"/>
      <c r="DY283" s="155"/>
      <c r="DZ283" s="155"/>
      <c r="EA283" s="155"/>
      <c r="EB283" s="173"/>
      <c r="EC283" s="155"/>
      <c r="ED283" s="155"/>
      <c r="EE283" s="155"/>
      <c r="EF283" s="423"/>
      <c r="EG283" s="155"/>
      <c r="EH283" s="155"/>
      <c r="EI283" s="155"/>
      <c r="EJ283" s="267"/>
      <c r="EK283" s="155"/>
      <c r="EL283" s="155"/>
      <c r="EM283" s="155"/>
      <c r="EN283" s="428"/>
    </row>
    <row r="284" spans="1:144">
      <c r="A284" s="360"/>
      <c r="B284" s="172"/>
      <c r="C284" s="360"/>
      <c r="D284" s="172"/>
      <c r="E284" s="408"/>
      <c r="F284" s="408"/>
      <c r="G284" s="509"/>
      <c r="H284" s="546"/>
      <c r="I284" s="546"/>
      <c r="J284" s="251"/>
      <c r="K284" s="251"/>
      <c r="L284" s="509"/>
      <c r="M284" s="509"/>
      <c r="N284" s="509"/>
      <c r="O284" s="547"/>
      <c r="P284" s="200"/>
      <c r="Q284" s="174"/>
      <c r="R284" s="390"/>
      <c r="S284" s="510"/>
      <c r="T284" s="200"/>
      <c r="U284" s="174"/>
      <c r="V284" s="174"/>
      <c r="W284" s="510"/>
      <c r="X284" s="174"/>
      <c r="Y284" s="174"/>
      <c r="Z284" s="174"/>
      <c r="AA284" s="510"/>
      <c r="AB284" s="200"/>
      <c r="AC284" s="174"/>
      <c r="AD284" s="390"/>
      <c r="AE284" s="510"/>
      <c r="AF284" s="200"/>
      <c r="AG284" s="174"/>
      <c r="AH284" s="174"/>
      <c r="AI284" s="200"/>
      <c r="AJ284" s="548"/>
      <c r="AK284" s="200"/>
      <c r="AL284" s="174"/>
      <c r="AM284" s="390"/>
      <c r="AN284" s="510"/>
      <c r="AO284" s="200"/>
      <c r="AP284" s="174"/>
      <c r="AQ284" s="510"/>
      <c r="AR284" s="200"/>
      <c r="AS284" s="174"/>
      <c r="AT284" s="510"/>
      <c r="AU284" s="200"/>
      <c r="AV284" s="174"/>
      <c r="AW284" s="510"/>
      <c r="AX284" s="200"/>
      <c r="AY284" s="174"/>
      <c r="AZ284" s="510"/>
      <c r="BA284" s="174"/>
      <c r="BB284" s="174"/>
      <c r="BC284" s="174"/>
      <c r="BD284" s="174"/>
      <c r="BE284" s="174"/>
      <c r="BF284" s="510"/>
      <c r="BG284" s="174"/>
      <c r="BH284" s="174"/>
      <c r="BI284" s="174"/>
      <c r="BJ284" s="200"/>
      <c r="BK284" s="174"/>
      <c r="BL284" s="510"/>
      <c r="BM284" s="174"/>
      <c r="BN284" s="174"/>
      <c r="BO284" s="510"/>
      <c r="BP284" s="200"/>
      <c r="BQ284" s="447"/>
      <c r="BR284" s="510"/>
      <c r="BS284" s="174"/>
      <c r="BT284" s="174"/>
      <c r="BU284" s="510"/>
      <c r="BV284" s="200"/>
      <c r="BW284" s="174"/>
      <c r="BX284" s="510"/>
      <c r="BY284" s="174"/>
      <c r="BZ284" s="174"/>
      <c r="CA284" s="510"/>
      <c r="CB284" s="200"/>
      <c r="CC284" s="174"/>
      <c r="CD284" s="510"/>
      <c r="CE284" s="174"/>
      <c r="CF284" s="174"/>
      <c r="CG284" s="510"/>
      <c r="CH284" s="174"/>
      <c r="CI284" s="174"/>
      <c r="CJ284" s="174"/>
      <c r="CK284" s="174"/>
      <c r="CL284" s="174"/>
      <c r="CM284" s="510"/>
      <c r="CN284" s="174"/>
      <c r="CO284" s="549"/>
      <c r="CP284" s="510"/>
      <c r="CQ284" s="200"/>
      <c r="CR284" s="550"/>
      <c r="CS284" s="510"/>
      <c r="CT284" s="390"/>
      <c r="CU284" s="331"/>
      <c r="CV284" s="428"/>
      <c r="CW284" s="155"/>
      <c r="CX284" s="155"/>
      <c r="CY284" s="267"/>
      <c r="CZ284" s="323"/>
      <c r="DA284" s="323"/>
      <c r="DB284" s="423"/>
      <c r="DC284" s="155"/>
      <c r="DD284" s="155"/>
      <c r="DE284" s="267"/>
      <c r="DF284" s="323"/>
      <c r="DG284" s="323"/>
      <c r="DH284" s="428"/>
      <c r="DI284" s="155"/>
      <c r="DJ284" s="155"/>
      <c r="DK284" s="222"/>
      <c r="DL284" s="267"/>
      <c r="DM284" s="155"/>
      <c r="DN284" s="155"/>
      <c r="DO284" s="155"/>
      <c r="DP284" s="423"/>
      <c r="DQ284" s="155"/>
      <c r="DR284" s="155"/>
      <c r="DS284" s="222"/>
      <c r="DT284" s="267"/>
      <c r="DU284" s="174"/>
      <c r="DV284" s="174"/>
      <c r="DW284" s="200"/>
      <c r="DX284" s="428"/>
      <c r="DY284" s="155"/>
      <c r="DZ284" s="155"/>
      <c r="EA284" s="155"/>
      <c r="EB284" s="173"/>
      <c r="EC284" s="155"/>
      <c r="ED284" s="155"/>
      <c r="EE284" s="155"/>
      <c r="EF284" s="423"/>
      <c r="EG284" s="155"/>
      <c r="EH284" s="155"/>
      <c r="EI284" s="155"/>
      <c r="EJ284" s="267"/>
      <c r="EK284" s="155"/>
      <c r="EL284" s="155"/>
      <c r="EM284" s="155"/>
      <c r="EN284" s="428"/>
    </row>
    <row r="285" spans="1:144">
      <c r="A285" s="360"/>
      <c r="B285" s="172"/>
      <c r="C285" s="360"/>
      <c r="D285" s="172"/>
      <c r="E285" s="408"/>
      <c r="F285" s="408"/>
      <c r="G285" s="509"/>
      <c r="H285" s="546"/>
      <c r="I285" s="546"/>
      <c r="J285" s="251"/>
      <c r="K285" s="251"/>
      <c r="L285" s="509"/>
      <c r="M285" s="509"/>
      <c r="N285" s="509"/>
      <c r="O285" s="547"/>
      <c r="P285" s="200"/>
      <c r="Q285" s="174"/>
      <c r="R285" s="390"/>
      <c r="S285" s="510"/>
      <c r="T285" s="200"/>
      <c r="U285" s="174"/>
      <c r="V285" s="174"/>
      <c r="W285" s="510"/>
      <c r="X285" s="174"/>
      <c r="Y285" s="174"/>
      <c r="Z285" s="174"/>
      <c r="AA285" s="510"/>
      <c r="AB285" s="200"/>
      <c r="AC285" s="174"/>
      <c r="AD285" s="390"/>
      <c r="AE285" s="510"/>
      <c r="AF285" s="200"/>
      <c r="AG285" s="174"/>
      <c r="AH285" s="174"/>
      <c r="AI285" s="200"/>
      <c r="AJ285" s="548"/>
      <c r="AK285" s="200"/>
      <c r="AL285" s="174"/>
      <c r="AM285" s="390"/>
      <c r="AN285" s="510"/>
      <c r="AO285" s="200"/>
      <c r="AP285" s="174"/>
      <c r="AQ285" s="510"/>
      <c r="AR285" s="200"/>
      <c r="AS285" s="174"/>
      <c r="AT285" s="510"/>
      <c r="AU285" s="200"/>
      <c r="AV285" s="174"/>
      <c r="AW285" s="510"/>
      <c r="AX285" s="200"/>
      <c r="AY285" s="174"/>
      <c r="AZ285" s="510"/>
      <c r="BA285" s="174"/>
      <c r="BB285" s="174"/>
      <c r="BC285" s="174"/>
      <c r="BD285" s="174"/>
      <c r="BE285" s="174"/>
      <c r="BF285" s="510"/>
      <c r="BG285" s="174"/>
      <c r="BH285" s="174"/>
      <c r="BI285" s="174"/>
      <c r="BJ285" s="200"/>
      <c r="BK285" s="174"/>
      <c r="BL285" s="510"/>
      <c r="BM285" s="174"/>
      <c r="BN285" s="174"/>
      <c r="BO285" s="510"/>
      <c r="BP285" s="200"/>
      <c r="BQ285" s="447"/>
      <c r="BR285" s="510"/>
      <c r="BS285" s="174"/>
      <c r="BT285" s="174"/>
      <c r="BU285" s="510"/>
      <c r="BV285" s="200"/>
      <c r="BW285" s="174"/>
      <c r="BX285" s="510"/>
      <c r="BY285" s="174"/>
      <c r="BZ285" s="174"/>
      <c r="CA285" s="510"/>
      <c r="CB285" s="200"/>
      <c r="CC285" s="174"/>
      <c r="CD285" s="510"/>
      <c r="CE285" s="174"/>
      <c r="CF285" s="174"/>
      <c r="CG285" s="510"/>
      <c r="CH285" s="174"/>
      <c r="CI285" s="174"/>
      <c r="CJ285" s="174"/>
      <c r="CK285" s="174"/>
      <c r="CL285" s="174"/>
      <c r="CM285" s="510"/>
      <c r="CN285" s="174"/>
      <c r="CO285" s="549"/>
      <c r="CP285" s="510"/>
      <c r="CQ285" s="200"/>
      <c r="CR285" s="550"/>
      <c r="CS285" s="510"/>
      <c r="CT285" s="390"/>
      <c r="CU285" s="331"/>
      <c r="CV285" s="428"/>
      <c r="CW285" s="155"/>
      <c r="CX285" s="155"/>
      <c r="CY285" s="267"/>
      <c r="CZ285" s="323"/>
      <c r="DA285" s="323"/>
      <c r="DB285" s="423"/>
      <c r="DC285" s="155"/>
      <c r="DD285" s="155"/>
      <c r="DE285" s="267"/>
      <c r="DF285" s="323"/>
      <c r="DG285" s="323"/>
      <c r="DH285" s="428"/>
      <c r="DI285" s="155"/>
      <c r="DJ285" s="155"/>
      <c r="DK285" s="222"/>
      <c r="DL285" s="267"/>
      <c r="DM285" s="155"/>
      <c r="DN285" s="155"/>
      <c r="DO285" s="155"/>
      <c r="DP285" s="423"/>
      <c r="DQ285" s="155"/>
      <c r="DR285" s="155"/>
      <c r="DS285" s="222"/>
      <c r="DT285" s="267"/>
      <c r="DU285" s="174"/>
      <c r="DV285" s="174"/>
      <c r="DW285" s="200"/>
      <c r="DX285" s="428"/>
      <c r="DY285" s="155"/>
      <c r="DZ285" s="155"/>
      <c r="EA285" s="155"/>
      <c r="EB285" s="173"/>
      <c r="EC285" s="155"/>
      <c r="ED285" s="155"/>
      <c r="EE285" s="155"/>
      <c r="EF285" s="423"/>
      <c r="EG285" s="155"/>
      <c r="EH285" s="155"/>
      <c r="EI285" s="155"/>
      <c r="EJ285" s="267"/>
      <c r="EK285" s="155"/>
      <c r="EL285" s="155"/>
      <c r="EM285" s="155"/>
      <c r="EN285" s="428"/>
    </row>
    <row r="286" spans="1:144">
      <c r="A286" s="360"/>
      <c r="B286" s="172"/>
      <c r="C286" s="360"/>
      <c r="D286" s="172"/>
      <c r="E286" s="408"/>
      <c r="F286" s="408"/>
      <c r="G286" s="509"/>
      <c r="H286" s="546"/>
      <c r="I286" s="546"/>
      <c r="J286" s="251"/>
      <c r="K286" s="251"/>
      <c r="L286" s="509"/>
      <c r="M286" s="509"/>
      <c r="N286" s="509"/>
      <c r="O286" s="547"/>
      <c r="P286" s="200"/>
      <c r="Q286" s="174"/>
      <c r="R286" s="390"/>
      <c r="S286" s="510"/>
      <c r="T286" s="200"/>
      <c r="U286" s="174"/>
      <c r="V286" s="174"/>
      <c r="W286" s="510"/>
      <c r="X286" s="174"/>
      <c r="Y286" s="174"/>
      <c r="Z286" s="174"/>
      <c r="AA286" s="510"/>
      <c r="AB286" s="200"/>
      <c r="AC286" s="174"/>
      <c r="AD286" s="390"/>
      <c r="AE286" s="510"/>
      <c r="AF286" s="200"/>
      <c r="AG286" s="174"/>
      <c r="AH286" s="174"/>
      <c r="AI286" s="200"/>
      <c r="AJ286" s="548"/>
      <c r="AK286" s="200"/>
      <c r="AL286" s="174"/>
      <c r="AM286" s="390"/>
      <c r="AN286" s="510"/>
      <c r="AO286" s="200"/>
      <c r="AP286" s="174"/>
      <c r="AQ286" s="510"/>
      <c r="AR286" s="200"/>
      <c r="AS286" s="174"/>
      <c r="AT286" s="510"/>
      <c r="AU286" s="200"/>
      <c r="AV286" s="174"/>
      <c r="AW286" s="510"/>
      <c r="AX286" s="200"/>
      <c r="AY286" s="174"/>
      <c r="AZ286" s="510"/>
      <c r="BA286" s="174"/>
      <c r="BB286" s="174"/>
      <c r="BC286" s="174"/>
      <c r="BD286" s="174"/>
      <c r="BE286" s="174"/>
      <c r="BF286" s="510"/>
      <c r="BG286" s="174"/>
      <c r="BH286" s="174"/>
      <c r="BI286" s="174"/>
      <c r="BJ286" s="200"/>
      <c r="BK286" s="174"/>
      <c r="BL286" s="510"/>
      <c r="BM286" s="174"/>
      <c r="BN286" s="174"/>
      <c r="BO286" s="510"/>
      <c r="BP286" s="200"/>
      <c r="BQ286" s="447"/>
      <c r="BR286" s="510"/>
      <c r="BS286" s="174"/>
      <c r="BT286" s="174"/>
      <c r="BU286" s="510"/>
      <c r="BV286" s="200"/>
      <c r="BW286" s="174"/>
      <c r="BX286" s="510"/>
      <c r="BY286" s="174"/>
      <c r="BZ286" s="174"/>
      <c r="CA286" s="510"/>
      <c r="CB286" s="200"/>
      <c r="CC286" s="174"/>
      <c r="CD286" s="510"/>
      <c r="CE286" s="174"/>
      <c r="CF286" s="174"/>
      <c r="CG286" s="510"/>
      <c r="CH286" s="174"/>
      <c r="CI286" s="174"/>
      <c r="CJ286" s="174"/>
      <c r="CK286" s="174"/>
      <c r="CL286" s="174"/>
      <c r="CM286" s="510"/>
      <c r="CN286" s="174"/>
      <c r="CO286" s="549"/>
      <c r="CP286" s="510"/>
      <c r="CQ286" s="200"/>
      <c r="CR286" s="550"/>
      <c r="CS286" s="510"/>
      <c r="CT286" s="390"/>
      <c r="CU286" s="331"/>
      <c r="CV286" s="428"/>
      <c r="CW286" s="155"/>
      <c r="CX286" s="155"/>
      <c r="CY286" s="267"/>
      <c r="CZ286" s="323"/>
      <c r="DA286" s="323"/>
      <c r="DB286" s="423"/>
      <c r="DC286" s="155"/>
      <c r="DD286" s="155"/>
      <c r="DE286" s="267"/>
      <c r="DF286" s="323"/>
      <c r="DG286" s="323"/>
      <c r="DH286" s="428"/>
      <c r="DI286" s="155"/>
      <c r="DJ286" s="155"/>
      <c r="DK286" s="222"/>
      <c r="DL286" s="267"/>
      <c r="DM286" s="155"/>
      <c r="DN286" s="155"/>
      <c r="DO286" s="155"/>
      <c r="DP286" s="423"/>
      <c r="DQ286" s="155"/>
      <c r="DR286" s="155"/>
      <c r="DS286" s="222"/>
      <c r="DT286" s="267"/>
      <c r="DU286" s="174"/>
      <c r="DV286" s="174"/>
      <c r="DW286" s="200"/>
      <c r="DX286" s="428"/>
      <c r="DY286" s="155"/>
      <c r="DZ286" s="155"/>
      <c r="EA286" s="155"/>
      <c r="EB286" s="173"/>
      <c r="EC286" s="155"/>
      <c r="ED286" s="155"/>
      <c r="EE286" s="155"/>
      <c r="EF286" s="423"/>
      <c r="EG286" s="155"/>
      <c r="EH286" s="155"/>
      <c r="EI286" s="155"/>
      <c r="EJ286" s="267"/>
      <c r="EK286" s="155"/>
      <c r="EL286" s="155"/>
      <c r="EM286" s="155"/>
      <c r="EN286" s="428"/>
    </row>
    <row r="287" spans="1:144">
      <c r="A287" s="360"/>
      <c r="B287" s="172"/>
      <c r="C287" s="360"/>
      <c r="D287" s="172"/>
      <c r="E287" s="408"/>
      <c r="F287" s="408"/>
      <c r="G287" s="509"/>
      <c r="H287" s="546"/>
      <c r="I287" s="546"/>
      <c r="J287" s="251"/>
      <c r="K287" s="251"/>
      <c r="L287" s="509"/>
      <c r="M287" s="509"/>
      <c r="N287" s="509"/>
      <c r="O287" s="547"/>
      <c r="P287" s="200"/>
      <c r="Q287" s="174"/>
      <c r="R287" s="390"/>
      <c r="S287" s="510"/>
      <c r="T287" s="200"/>
      <c r="U287" s="174"/>
      <c r="V287" s="174"/>
      <c r="W287" s="510"/>
      <c r="X287" s="174"/>
      <c r="Y287" s="174"/>
      <c r="Z287" s="174"/>
      <c r="AA287" s="510"/>
      <c r="AB287" s="200"/>
      <c r="AC287" s="174"/>
      <c r="AD287" s="390"/>
      <c r="AE287" s="510"/>
      <c r="AF287" s="200"/>
      <c r="AG287" s="174"/>
      <c r="AH287" s="174"/>
      <c r="AI287" s="200"/>
      <c r="AJ287" s="548"/>
      <c r="AK287" s="200"/>
      <c r="AL287" s="174"/>
      <c r="AM287" s="390"/>
      <c r="AN287" s="510"/>
      <c r="AO287" s="200"/>
      <c r="AP287" s="174"/>
      <c r="AQ287" s="510"/>
      <c r="AR287" s="200"/>
      <c r="AS287" s="174"/>
      <c r="AT287" s="510"/>
      <c r="AU287" s="200"/>
      <c r="AV287" s="174"/>
      <c r="AW287" s="510"/>
      <c r="AX287" s="200"/>
      <c r="AY287" s="174"/>
      <c r="AZ287" s="510"/>
      <c r="BA287" s="174"/>
      <c r="BB287" s="174"/>
      <c r="BC287" s="174"/>
      <c r="BD287" s="174"/>
      <c r="BE287" s="174"/>
      <c r="BF287" s="510"/>
      <c r="BG287" s="174"/>
      <c r="BH287" s="174"/>
      <c r="BI287" s="174"/>
      <c r="BJ287" s="200"/>
      <c r="BK287" s="174"/>
      <c r="BL287" s="510"/>
      <c r="BM287" s="174"/>
      <c r="BN287" s="174"/>
      <c r="BO287" s="510"/>
      <c r="BP287" s="200"/>
      <c r="BQ287" s="447"/>
      <c r="BR287" s="510"/>
      <c r="BS287" s="174"/>
      <c r="BT287" s="174"/>
      <c r="BU287" s="510"/>
      <c r="BV287" s="200"/>
      <c r="BW287" s="174"/>
      <c r="BX287" s="510"/>
      <c r="BY287" s="174"/>
      <c r="BZ287" s="174"/>
      <c r="CA287" s="510"/>
      <c r="CB287" s="200"/>
      <c r="CC287" s="174"/>
      <c r="CD287" s="510"/>
      <c r="CE287" s="174"/>
      <c r="CF287" s="174"/>
      <c r="CG287" s="510"/>
      <c r="CH287" s="174"/>
      <c r="CI287" s="174"/>
      <c r="CJ287" s="174"/>
      <c r="CK287" s="174"/>
      <c r="CL287" s="174"/>
      <c r="CM287" s="510"/>
      <c r="CN287" s="174"/>
      <c r="CO287" s="549"/>
      <c r="CP287" s="510"/>
      <c r="CQ287" s="200"/>
      <c r="CR287" s="550"/>
      <c r="CS287" s="510"/>
      <c r="CT287" s="390"/>
      <c r="CU287" s="331"/>
      <c r="CV287" s="428"/>
      <c r="CW287" s="155"/>
      <c r="CX287" s="155"/>
      <c r="CY287" s="267"/>
      <c r="CZ287" s="323"/>
      <c r="DA287" s="323"/>
      <c r="DB287" s="423"/>
      <c r="DC287" s="155"/>
      <c r="DD287" s="155"/>
      <c r="DE287" s="267"/>
      <c r="DF287" s="323"/>
      <c r="DG287" s="323"/>
      <c r="DH287" s="428"/>
      <c r="DI287" s="155"/>
      <c r="DJ287" s="155"/>
      <c r="DK287" s="222"/>
      <c r="DL287" s="267"/>
      <c r="DM287" s="155"/>
      <c r="DN287" s="155"/>
      <c r="DO287" s="155"/>
      <c r="DP287" s="423"/>
      <c r="DQ287" s="155"/>
      <c r="DR287" s="155"/>
      <c r="DS287" s="222"/>
      <c r="DT287" s="267"/>
      <c r="DU287" s="174"/>
      <c r="DV287" s="174"/>
      <c r="DW287" s="200"/>
      <c r="DX287" s="428"/>
      <c r="DY287" s="155"/>
      <c r="DZ287" s="155"/>
      <c r="EA287" s="155"/>
      <c r="EB287" s="173"/>
      <c r="EC287" s="155"/>
      <c r="ED287" s="155"/>
      <c r="EE287" s="155"/>
      <c r="EF287" s="423"/>
      <c r="EG287" s="155"/>
      <c r="EH287" s="155"/>
      <c r="EI287" s="155"/>
      <c r="EJ287" s="267"/>
      <c r="EK287" s="155"/>
      <c r="EL287" s="155"/>
      <c r="EM287" s="155"/>
      <c r="EN287" s="428"/>
    </row>
    <row r="288" spans="1:144">
      <c r="A288" s="360"/>
      <c r="B288" s="172"/>
      <c r="C288" s="360"/>
      <c r="D288" s="172"/>
      <c r="E288" s="408"/>
      <c r="F288" s="408"/>
      <c r="G288" s="509"/>
      <c r="H288" s="546"/>
      <c r="I288" s="546"/>
      <c r="J288" s="251"/>
      <c r="K288" s="251"/>
      <c r="L288" s="509"/>
      <c r="M288" s="509"/>
      <c r="N288" s="509"/>
      <c r="O288" s="547"/>
      <c r="P288" s="200"/>
      <c r="Q288" s="174"/>
      <c r="R288" s="390"/>
      <c r="S288" s="510"/>
      <c r="T288" s="200"/>
      <c r="U288" s="174"/>
      <c r="V288" s="174"/>
      <c r="W288" s="510"/>
      <c r="X288" s="174"/>
      <c r="Y288" s="174"/>
      <c r="Z288" s="174"/>
      <c r="AA288" s="510"/>
      <c r="AB288" s="200"/>
      <c r="AC288" s="174"/>
      <c r="AD288" s="390"/>
      <c r="AE288" s="510"/>
      <c r="AF288" s="200"/>
      <c r="AG288" s="174"/>
      <c r="AH288" s="174"/>
      <c r="AI288" s="200"/>
      <c r="AJ288" s="548"/>
      <c r="AK288" s="200"/>
      <c r="AL288" s="174"/>
      <c r="AM288" s="390"/>
      <c r="AN288" s="510"/>
      <c r="AO288" s="200"/>
      <c r="AP288" s="174"/>
      <c r="AQ288" s="510"/>
      <c r="AR288" s="200"/>
      <c r="AS288" s="174"/>
      <c r="AT288" s="510"/>
      <c r="AU288" s="200"/>
      <c r="AV288" s="174"/>
      <c r="AW288" s="510"/>
      <c r="AX288" s="200"/>
      <c r="AY288" s="174"/>
      <c r="AZ288" s="510"/>
      <c r="BA288" s="174"/>
      <c r="BB288" s="174"/>
      <c r="BC288" s="174"/>
      <c r="BD288" s="174"/>
      <c r="BE288" s="174"/>
      <c r="BF288" s="510"/>
      <c r="BG288" s="174"/>
      <c r="BH288" s="174"/>
      <c r="BI288" s="174"/>
      <c r="BJ288" s="200"/>
      <c r="BK288" s="174"/>
      <c r="BL288" s="510"/>
      <c r="BM288" s="174"/>
      <c r="BN288" s="174"/>
      <c r="BO288" s="510"/>
      <c r="BP288" s="200"/>
      <c r="BQ288" s="447"/>
      <c r="BR288" s="510"/>
      <c r="BS288" s="174"/>
      <c r="BT288" s="174"/>
      <c r="BU288" s="510"/>
      <c r="BV288" s="200"/>
      <c r="BW288" s="174"/>
      <c r="BX288" s="510"/>
      <c r="BY288" s="174"/>
      <c r="BZ288" s="174"/>
      <c r="CA288" s="510"/>
      <c r="CB288" s="200"/>
      <c r="CC288" s="174"/>
      <c r="CD288" s="510"/>
      <c r="CE288" s="174"/>
      <c r="CF288" s="174"/>
      <c r="CG288" s="510"/>
      <c r="CH288" s="174"/>
      <c r="CI288" s="174"/>
      <c r="CJ288" s="174"/>
      <c r="CK288" s="174"/>
      <c r="CL288" s="174"/>
      <c r="CM288" s="510"/>
      <c r="CN288" s="174"/>
      <c r="CO288" s="549"/>
      <c r="CP288" s="510"/>
      <c r="CQ288" s="200"/>
      <c r="CR288" s="550"/>
      <c r="CS288" s="510"/>
      <c r="CT288" s="390"/>
      <c r="CU288" s="331"/>
      <c r="CV288" s="428"/>
      <c r="CW288" s="155"/>
      <c r="CX288" s="155"/>
      <c r="CY288" s="267"/>
      <c r="CZ288" s="323"/>
      <c r="DA288" s="323"/>
      <c r="DB288" s="423"/>
      <c r="DC288" s="155"/>
      <c r="DD288" s="155"/>
      <c r="DE288" s="267"/>
      <c r="DF288" s="323"/>
      <c r="DG288" s="323"/>
      <c r="DH288" s="428"/>
      <c r="DI288" s="155"/>
      <c r="DJ288" s="155"/>
      <c r="DK288" s="222"/>
      <c r="DL288" s="267"/>
      <c r="DM288" s="155"/>
      <c r="DN288" s="155"/>
      <c r="DO288" s="155"/>
      <c r="DP288" s="423"/>
      <c r="DQ288" s="155"/>
      <c r="DR288" s="155"/>
      <c r="DS288" s="222"/>
      <c r="DT288" s="267"/>
      <c r="DU288" s="174"/>
      <c r="DV288" s="174"/>
      <c r="DW288" s="200"/>
      <c r="DX288" s="428"/>
      <c r="DY288" s="155"/>
      <c r="DZ288" s="155"/>
      <c r="EA288" s="155"/>
      <c r="EB288" s="173"/>
      <c r="EC288" s="155"/>
      <c r="ED288" s="155"/>
      <c r="EE288" s="155"/>
      <c r="EF288" s="423"/>
      <c r="EG288" s="155"/>
      <c r="EH288" s="155"/>
      <c r="EI288" s="155"/>
      <c r="EJ288" s="267"/>
      <c r="EK288" s="155"/>
      <c r="EL288" s="155"/>
      <c r="EM288" s="155"/>
      <c r="EN288" s="428"/>
    </row>
    <row r="289" spans="1:144">
      <c r="A289" s="360"/>
      <c r="B289" s="172"/>
      <c r="C289" s="360"/>
      <c r="D289" s="172"/>
      <c r="E289" s="408"/>
      <c r="F289" s="408"/>
      <c r="G289" s="509"/>
      <c r="H289" s="546"/>
      <c r="I289" s="546"/>
      <c r="J289" s="251"/>
      <c r="K289" s="251"/>
      <c r="L289" s="509"/>
      <c r="M289" s="509"/>
      <c r="N289" s="509"/>
      <c r="O289" s="547"/>
      <c r="P289" s="200"/>
      <c r="Q289" s="174"/>
      <c r="R289" s="390"/>
      <c r="S289" s="510"/>
      <c r="T289" s="200"/>
      <c r="U289" s="174"/>
      <c r="V289" s="174"/>
      <c r="W289" s="510"/>
      <c r="X289" s="174"/>
      <c r="Y289" s="174"/>
      <c r="Z289" s="174"/>
      <c r="AA289" s="510"/>
      <c r="AB289" s="200"/>
      <c r="AC289" s="174"/>
      <c r="AD289" s="390"/>
      <c r="AE289" s="510"/>
      <c r="AF289" s="200"/>
      <c r="AG289" s="174"/>
      <c r="AH289" s="174"/>
      <c r="AI289" s="200"/>
      <c r="AJ289" s="548"/>
      <c r="AK289" s="200"/>
      <c r="AL289" s="174"/>
      <c r="AM289" s="390"/>
      <c r="AN289" s="510"/>
      <c r="AO289" s="200"/>
      <c r="AP289" s="174"/>
      <c r="AQ289" s="510"/>
      <c r="AR289" s="200"/>
      <c r="AS289" s="174"/>
      <c r="AT289" s="510"/>
      <c r="AU289" s="200"/>
      <c r="AV289" s="174"/>
      <c r="AW289" s="510"/>
      <c r="AX289" s="200"/>
      <c r="AY289" s="174"/>
      <c r="AZ289" s="510"/>
      <c r="BA289" s="174"/>
      <c r="BB289" s="174"/>
      <c r="BC289" s="174"/>
      <c r="BD289" s="174"/>
      <c r="BE289" s="174"/>
      <c r="BF289" s="510"/>
      <c r="BG289" s="174"/>
      <c r="BH289" s="174"/>
      <c r="BI289" s="174"/>
      <c r="BJ289" s="200"/>
      <c r="BK289" s="174"/>
      <c r="BL289" s="510"/>
      <c r="BM289" s="174"/>
      <c r="BN289" s="174"/>
      <c r="BO289" s="510"/>
      <c r="BP289" s="200"/>
      <c r="BQ289" s="447"/>
      <c r="BR289" s="510"/>
      <c r="BS289" s="174"/>
      <c r="BT289" s="174"/>
      <c r="BU289" s="510"/>
      <c r="BV289" s="200"/>
      <c r="BW289" s="174"/>
      <c r="BX289" s="510"/>
      <c r="BY289" s="174"/>
      <c r="BZ289" s="174"/>
      <c r="CA289" s="510"/>
      <c r="CB289" s="200"/>
      <c r="CC289" s="174"/>
      <c r="CD289" s="510"/>
      <c r="CE289" s="174"/>
      <c r="CF289" s="174"/>
      <c r="CG289" s="510"/>
      <c r="CH289" s="174"/>
      <c r="CI289" s="174"/>
      <c r="CJ289" s="174"/>
      <c r="CK289" s="174"/>
      <c r="CL289" s="174"/>
      <c r="CM289" s="510"/>
      <c r="CN289" s="174"/>
      <c r="CO289" s="549"/>
      <c r="CP289" s="510"/>
      <c r="CQ289" s="200"/>
      <c r="CR289" s="550"/>
      <c r="CS289" s="510"/>
      <c r="CT289" s="390"/>
      <c r="CU289" s="331"/>
      <c r="CV289" s="428"/>
      <c r="CW289" s="155"/>
      <c r="CX289" s="155"/>
      <c r="CY289" s="267"/>
      <c r="CZ289" s="323"/>
      <c r="DA289" s="323"/>
      <c r="DB289" s="423"/>
      <c r="DC289" s="155"/>
      <c r="DD289" s="155"/>
      <c r="DE289" s="267"/>
      <c r="DF289" s="323"/>
      <c r="DG289" s="323"/>
      <c r="DH289" s="428"/>
      <c r="DI289" s="155"/>
      <c r="DJ289" s="155"/>
      <c r="DK289" s="222"/>
      <c r="DL289" s="267"/>
      <c r="DM289" s="155"/>
      <c r="DN289" s="155"/>
      <c r="DO289" s="155"/>
      <c r="DP289" s="423"/>
      <c r="DQ289" s="155"/>
      <c r="DR289" s="155"/>
      <c r="DS289" s="222"/>
      <c r="DT289" s="267"/>
      <c r="DU289" s="174"/>
      <c r="DV289" s="174"/>
      <c r="DW289" s="200"/>
      <c r="DX289" s="428"/>
      <c r="DY289" s="155"/>
      <c r="DZ289" s="155"/>
      <c r="EA289" s="155"/>
      <c r="EB289" s="173"/>
      <c r="EC289" s="155"/>
      <c r="ED289" s="155"/>
      <c r="EE289" s="155"/>
      <c r="EF289" s="423"/>
      <c r="EG289" s="155"/>
      <c r="EH289" s="155"/>
      <c r="EI289" s="155"/>
      <c r="EJ289" s="267"/>
      <c r="EK289" s="155"/>
      <c r="EL289" s="155"/>
      <c r="EM289" s="155"/>
      <c r="EN289" s="428"/>
    </row>
    <row r="290" spans="1:144">
      <c r="A290" s="360"/>
      <c r="B290" s="172"/>
      <c r="C290" s="360"/>
      <c r="D290" s="172"/>
      <c r="E290" s="408"/>
      <c r="F290" s="408"/>
      <c r="G290" s="509"/>
      <c r="H290" s="546"/>
      <c r="I290" s="546"/>
      <c r="J290" s="251"/>
      <c r="K290" s="251"/>
      <c r="L290" s="509"/>
      <c r="M290" s="509"/>
      <c r="N290" s="509"/>
      <c r="O290" s="547"/>
      <c r="P290" s="200"/>
      <c r="Q290" s="174"/>
      <c r="R290" s="390"/>
      <c r="S290" s="510"/>
      <c r="T290" s="200"/>
      <c r="U290" s="174"/>
      <c r="V290" s="174"/>
      <c r="W290" s="510"/>
      <c r="X290" s="174"/>
      <c r="Y290" s="174"/>
      <c r="Z290" s="174"/>
      <c r="AA290" s="510"/>
      <c r="AB290" s="200"/>
      <c r="AC290" s="174"/>
      <c r="AD290" s="390"/>
      <c r="AE290" s="510"/>
      <c r="AF290" s="200"/>
      <c r="AG290" s="174"/>
      <c r="AH290" s="174"/>
      <c r="AI290" s="200"/>
      <c r="AJ290" s="548"/>
      <c r="AK290" s="200"/>
      <c r="AL290" s="174"/>
      <c r="AM290" s="390"/>
      <c r="AN290" s="510"/>
      <c r="AO290" s="200"/>
      <c r="AP290" s="174"/>
      <c r="AQ290" s="510"/>
      <c r="AR290" s="200"/>
      <c r="AS290" s="174"/>
      <c r="AT290" s="510"/>
      <c r="AU290" s="200"/>
      <c r="AV290" s="174"/>
      <c r="AW290" s="510"/>
      <c r="AX290" s="200"/>
      <c r="AY290" s="174"/>
      <c r="AZ290" s="510"/>
      <c r="BA290" s="174"/>
      <c r="BB290" s="174"/>
      <c r="BC290" s="174"/>
      <c r="BD290" s="174"/>
      <c r="BE290" s="174"/>
      <c r="BF290" s="510"/>
      <c r="BG290" s="174"/>
      <c r="BH290" s="174"/>
      <c r="BI290" s="174"/>
      <c r="BJ290" s="200"/>
      <c r="BK290" s="174"/>
      <c r="BL290" s="510"/>
      <c r="BM290" s="174"/>
      <c r="BN290" s="174"/>
      <c r="BO290" s="510"/>
      <c r="BP290" s="200"/>
      <c r="BQ290" s="447"/>
      <c r="BR290" s="510"/>
      <c r="BS290" s="174"/>
      <c r="BT290" s="174"/>
      <c r="BU290" s="510"/>
      <c r="BV290" s="200"/>
      <c r="BW290" s="174"/>
      <c r="BX290" s="510"/>
      <c r="BY290" s="174"/>
      <c r="BZ290" s="174"/>
      <c r="CA290" s="510"/>
      <c r="CB290" s="200"/>
      <c r="CC290" s="174"/>
      <c r="CD290" s="510"/>
      <c r="CE290" s="174"/>
      <c r="CF290" s="174"/>
      <c r="CG290" s="510"/>
      <c r="CH290" s="174"/>
      <c r="CI290" s="174"/>
      <c r="CJ290" s="174"/>
      <c r="CK290" s="174"/>
      <c r="CL290" s="174"/>
      <c r="CM290" s="510"/>
      <c r="CN290" s="174"/>
      <c r="CO290" s="549"/>
      <c r="CP290" s="510"/>
      <c r="CQ290" s="200"/>
      <c r="CR290" s="550"/>
      <c r="CS290" s="510"/>
      <c r="CT290" s="390"/>
      <c r="CU290" s="331"/>
      <c r="CV290" s="428"/>
      <c r="CW290" s="155"/>
      <c r="CX290" s="155"/>
      <c r="CY290" s="267"/>
      <c r="CZ290" s="323"/>
      <c r="DA290" s="323"/>
      <c r="DB290" s="423"/>
      <c r="DC290" s="155"/>
      <c r="DD290" s="155"/>
      <c r="DE290" s="267"/>
      <c r="DF290" s="323"/>
      <c r="DG290" s="323"/>
      <c r="DH290" s="428"/>
      <c r="DI290" s="155"/>
      <c r="DJ290" s="155"/>
      <c r="DK290" s="222"/>
      <c r="DL290" s="267"/>
      <c r="DM290" s="155"/>
      <c r="DN290" s="155"/>
      <c r="DO290" s="155"/>
      <c r="DP290" s="423"/>
      <c r="DQ290" s="155"/>
      <c r="DR290" s="155"/>
      <c r="DS290" s="222"/>
      <c r="DT290" s="267"/>
      <c r="DU290" s="174"/>
      <c r="DV290" s="174"/>
      <c r="DW290" s="200"/>
      <c r="DX290" s="428"/>
      <c r="DY290" s="155"/>
      <c r="DZ290" s="155"/>
      <c r="EA290" s="155"/>
      <c r="EB290" s="173"/>
      <c r="EC290" s="155"/>
      <c r="ED290" s="155"/>
      <c r="EE290" s="155"/>
      <c r="EF290" s="423"/>
      <c r="EG290" s="155"/>
      <c r="EH290" s="155"/>
      <c r="EI290" s="155"/>
      <c r="EJ290" s="267"/>
      <c r="EK290" s="155"/>
      <c r="EL290" s="155"/>
      <c r="EM290" s="155"/>
      <c r="EN290" s="428"/>
    </row>
    <row r="291" spans="1:144">
      <c r="A291" s="360"/>
      <c r="B291" s="172"/>
      <c r="C291" s="360"/>
      <c r="D291" s="172"/>
      <c r="E291" s="408"/>
      <c r="F291" s="408"/>
      <c r="G291" s="509"/>
      <c r="H291" s="546"/>
      <c r="I291" s="546"/>
      <c r="J291" s="251"/>
      <c r="K291" s="251"/>
      <c r="L291" s="509"/>
      <c r="M291" s="509"/>
      <c r="N291" s="509"/>
      <c r="O291" s="547"/>
      <c r="P291" s="200"/>
      <c r="Q291" s="174"/>
      <c r="R291" s="390"/>
      <c r="S291" s="510"/>
      <c r="T291" s="200"/>
      <c r="U291" s="174"/>
      <c r="V291" s="174"/>
      <c r="W291" s="510"/>
      <c r="X291" s="174"/>
      <c r="Y291" s="174"/>
      <c r="Z291" s="174"/>
      <c r="AA291" s="510"/>
      <c r="AB291" s="200"/>
      <c r="AC291" s="174"/>
      <c r="AD291" s="390"/>
      <c r="AE291" s="510"/>
      <c r="AF291" s="200"/>
      <c r="AG291" s="174"/>
      <c r="AH291" s="174"/>
      <c r="AI291" s="200"/>
      <c r="AJ291" s="548"/>
      <c r="AK291" s="200"/>
      <c r="AL291" s="174"/>
      <c r="AM291" s="390"/>
      <c r="AN291" s="510"/>
      <c r="AO291" s="200"/>
      <c r="AP291" s="174"/>
      <c r="AQ291" s="510"/>
      <c r="AR291" s="200"/>
      <c r="AS291" s="174"/>
      <c r="AT291" s="510"/>
      <c r="AU291" s="200"/>
      <c r="AV291" s="174"/>
      <c r="AW291" s="510"/>
      <c r="AX291" s="200"/>
      <c r="AY291" s="174"/>
      <c r="AZ291" s="510"/>
      <c r="BA291" s="174"/>
      <c r="BB291" s="174"/>
      <c r="BC291" s="174"/>
      <c r="BD291" s="174"/>
      <c r="BE291" s="174"/>
      <c r="BF291" s="510"/>
      <c r="BG291" s="174"/>
      <c r="BH291" s="174"/>
      <c r="BI291" s="174"/>
      <c r="BJ291" s="200"/>
      <c r="BK291" s="174"/>
      <c r="BL291" s="510"/>
      <c r="BM291" s="174"/>
      <c r="BN291" s="174"/>
      <c r="BO291" s="510"/>
      <c r="BP291" s="200"/>
      <c r="BQ291" s="447"/>
      <c r="BR291" s="510"/>
      <c r="BS291" s="174"/>
      <c r="BT291" s="174"/>
      <c r="BU291" s="510"/>
      <c r="BV291" s="200"/>
      <c r="BW291" s="174"/>
      <c r="BX291" s="510"/>
      <c r="BY291" s="174"/>
      <c r="BZ291" s="174"/>
      <c r="CA291" s="510"/>
      <c r="CB291" s="200"/>
      <c r="CC291" s="174"/>
      <c r="CD291" s="510"/>
      <c r="CE291" s="174"/>
      <c r="CF291" s="174"/>
      <c r="CG291" s="510"/>
      <c r="CH291" s="174"/>
      <c r="CI291" s="174"/>
      <c r="CJ291" s="174"/>
      <c r="CK291" s="174"/>
      <c r="CL291" s="174"/>
      <c r="CM291" s="510"/>
      <c r="CN291" s="174"/>
      <c r="CO291" s="549"/>
      <c r="CP291" s="510"/>
      <c r="CQ291" s="200"/>
      <c r="CR291" s="550"/>
      <c r="CS291" s="510"/>
      <c r="CT291" s="390"/>
      <c r="CU291" s="331"/>
      <c r="CV291" s="428"/>
      <c r="CW291" s="155"/>
      <c r="CX291" s="155"/>
      <c r="CY291" s="267"/>
      <c r="CZ291" s="323"/>
      <c r="DA291" s="323"/>
      <c r="DB291" s="423"/>
      <c r="DC291" s="155"/>
      <c r="DD291" s="155"/>
      <c r="DE291" s="267"/>
      <c r="DF291" s="323"/>
      <c r="DG291" s="323"/>
      <c r="DH291" s="428"/>
      <c r="DI291" s="155"/>
      <c r="DJ291" s="155"/>
      <c r="DK291" s="222"/>
      <c r="DL291" s="267"/>
      <c r="DM291" s="155"/>
      <c r="DN291" s="155"/>
      <c r="DO291" s="155"/>
      <c r="DP291" s="423"/>
      <c r="DQ291" s="155"/>
      <c r="DR291" s="155"/>
      <c r="DS291" s="222"/>
      <c r="DT291" s="267"/>
      <c r="DU291" s="174"/>
      <c r="DV291" s="174"/>
      <c r="DW291" s="200"/>
      <c r="DX291" s="428"/>
      <c r="DY291" s="155"/>
      <c r="DZ291" s="155"/>
      <c r="EA291" s="155"/>
      <c r="EB291" s="173"/>
      <c r="EC291" s="155"/>
      <c r="ED291" s="155"/>
      <c r="EE291" s="155"/>
      <c r="EF291" s="423"/>
      <c r="EG291" s="155"/>
      <c r="EH291" s="155"/>
      <c r="EI291" s="155"/>
      <c r="EJ291" s="267"/>
      <c r="EK291" s="155"/>
      <c r="EL291" s="155"/>
      <c r="EM291" s="155"/>
      <c r="EN291" s="428"/>
    </row>
    <row r="292" spans="1:144">
      <c r="A292" s="360"/>
      <c r="B292" s="172"/>
      <c r="C292" s="360"/>
      <c r="D292" s="172"/>
      <c r="E292" s="408"/>
      <c r="F292" s="408"/>
      <c r="G292" s="509"/>
      <c r="H292" s="546"/>
      <c r="I292" s="546"/>
      <c r="J292" s="251"/>
      <c r="K292" s="251"/>
      <c r="L292" s="509"/>
      <c r="M292" s="509"/>
      <c r="N292" s="509"/>
      <c r="O292" s="547"/>
      <c r="P292" s="200"/>
      <c r="Q292" s="174"/>
      <c r="R292" s="390"/>
      <c r="S292" s="510"/>
      <c r="T292" s="200"/>
      <c r="U292" s="174"/>
      <c r="V292" s="174"/>
      <c r="W292" s="510"/>
      <c r="X292" s="174"/>
      <c r="Y292" s="174"/>
      <c r="Z292" s="174"/>
      <c r="AA292" s="510"/>
      <c r="AB292" s="200"/>
      <c r="AC292" s="174"/>
      <c r="AD292" s="390"/>
      <c r="AE292" s="510"/>
      <c r="AF292" s="200"/>
      <c r="AG292" s="174"/>
      <c r="AH292" s="174"/>
      <c r="AI292" s="200"/>
      <c r="AJ292" s="548"/>
      <c r="AK292" s="200"/>
      <c r="AL292" s="174"/>
      <c r="AM292" s="390"/>
      <c r="AN292" s="510"/>
      <c r="AO292" s="200"/>
      <c r="AP292" s="174"/>
      <c r="AQ292" s="510"/>
      <c r="AR292" s="200"/>
      <c r="AS292" s="174"/>
      <c r="AT292" s="510"/>
      <c r="AU292" s="200"/>
      <c r="AV292" s="174"/>
      <c r="AW292" s="510"/>
      <c r="AX292" s="200"/>
      <c r="AY292" s="174"/>
      <c r="AZ292" s="510"/>
      <c r="BA292" s="174"/>
      <c r="BB292" s="174"/>
      <c r="BC292" s="174"/>
      <c r="BD292" s="174"/>
      <c r="BE292" s="174"/>
      <c r="BF292" s="510"/>
      <c r="BG292" s="174"/>
      <c r="BH292" s="174"/>
      <c r="BI292" s="174"/>
      <c r="BJ292" s="200"/>
      <c r="BK292" s="174"/>
      <c r="BL292" s="510"/>
      <c r="BM292" s="174"/>
      <c r="BN292" s="174"/>
      <c r="BO292" s="510"/>
      <c r="BP292" s="200"/>
      <c r="BQ292" s="447"/>
      <c r="BR292" s="510"/>
      <c r="BS292" s="174"/>
      <c r="BT292" s="174"/>
      <c r="BU292" s="510"/>
      <c r="BV292" s="200"/>
      <c r="BW292" s="174"/>
      <c r="BX292" s="510"/>
      <c r="BY292" s="174"/>
      <c r="BZ292" s="174"/>
      <c r="CA292" s="510"/>
      <c r="CB292" s="200"/>
      <c r="CC292" s="174"/>
      <c r="CD292" s="510"/>
      <c r="CE292" s="174"/>
      <c r="CF292" s="174"/>
      <c r="CG292" s="510"/>
      <c r="CH292" s="174"/>
      <c r="CI292" s="174"/>
      <c r="CJ292" s="174"/>
      <c r="CK292" s="174"/>
      <c r="CL292" s="174"/>
      <c r="CM292" s="510"/>
      <c r="CN292" s="174"/>
      <c r="CO292" s="549"/>
      <c r="CP292" s="510"/>
      <c r="CQ292" s="200"/>
      <c r="CR292" s="550"/>
      <c r="CS292" s="510"/>
      <c r="CT292" s="390"/>
      <c r="CU292" s="331"/>
      <c r="CV292" s="428"/>
      <c r="CW292" s="155"/>
      <c r="CX292" s="155"/>
      <c r="CY292" s="267"/>
      <c r="CZ292" s="323"/>
      <c r="DA292" s="323"/>
      <c r="DB292" s="423"/>
      <c r="DC292" s="155"/>
      <c r="DD292" s="155"/>
      <c r="DE292" s="267"/>
      <c r="DF292" s="323"/>
      <c r="DG292" s="323"/>
      <c r="DH292" s="428"/>
      <c r="DI292" s="155"/>
      <c r="DJ292" s="155"/>
      <c r="DK292" s="222"/>
      <c r="DL292" s="267"/>
      <c r="DM292" s="155"/>
      <c r="DN292" s="155"/>
      <c r="DO292" s="155"/>
      <c r="DP292" s="423"/>
      <c r="DQ292" s="155"/>
      <c r="DR292" s="155"/>
      <c r="DS292" s="222"/>
      <c r="DT292" s="267"/>
      <c r="DU292" s="174"/>
      <c r="DV292" s="174"/>
      <c r="DW292" s="200"/>
      <c r="DX292" s="428"/>
      <c r="DY292" s="155"/>
      <c r="DZ292" s="155"/>
      <c r="EA292" s="155"/>
      <c r="EB292" s="173"/>
      <c r="EC292" s="155"/>
      <c r="ED292" s="155"/>
      <c r="EE292" s="155"/>
      <c r="EF292" s="423"/>
      <c r="EG292" s="155"/>
      <c r="EH292" s="155"/>
      <c r="EI292" s="155"/>
      <c r="EJ292" s="267"/>
      <c r="EK292" s="155"/>
      <c r="EL292" s="155"/>
      <c r="EM292" s="155"/>
      <c r="EN292" s="428"/>
    </row>
    <row r="293" spans="1:144">
      <c r="A293" s="360"/>
      <c r="B293" s="172"/>
      <c r="C293" s="360"/>
      <c r="D293" s="172"/>
      <c r="E293" s="408"/>
      <c r="F293" s="408"/>
      <c r="G293" s="509"/>
      <c r="H293" s="546"/>
      <c r="I293" s="546"/>
      <c r="J293" s="251"/>
      <c r="K293" s="251"/>
      <c r="L293" s="509"/>
      <c r="M293" s="509"/>
      <c r="N293" s="509"/>
      <c r="O293" s="547"/>
      <c r="P293" s="200"/>
      <c r="Q293" s="174"/>
      <c r="R293" s="390"/>
      <c r="S293" s="510"/>
      <c r="T293" s="200"/>
      <c r="U293" s="174"/>
      <c r="V293" s="174"/>
      <c r="W293" s="510"/>
      <c r="X293" s="174"/>
      <c r="Y293" s="174"/>
      <c r="Z293" s="174"/>
      <c r="AA293" s="510"/>
      <c r="AB293" s="200"/>
      <c r="AC293" s="174"/>
      <c r="AD293" s="390"/>
      <c r="AE293" s="510"/>
      <c r="AF293" s="200"/>
      <c r="AG293" s="174"/>
      <c r="AH293" s="174"/>
      <c r="AI293" s="200"/>
      <c r="AJ293" s="548"/>
      <c r="AK293" s="200"/>
      <c r="AL293" s="174"/>
      <c r="AM293" s="390"/>
      <c r="AN293" s="510"/>
      <c r="AO293" s="200"/>
      <c r="AP293" s="174"/>
      <c r="AQ293" s="510"/>
      <c r="AR293" s="200"/>
      <c r="AS293" s="174"/>
      <c r="AT293" s="510"/>
      <c r="AU293" s="200"/>
      <c r="AV293" s="174"/>
      <c r="AW293" s="510"/>
      <c r="AX293" s="200"/>
      <c r="AY293" s="174"/>
      <c r="AZ293" s="510"/>
      <c r="BA293" s="174"/>
      <c r="BB293" s="174"/>
      <c r="BC293" s="174"/>
      <c r="BD293" s="174"/>
      <c r="BE293" s="174"/>
      <c r="BF293" s="510"/>
      <c r="BG293" s="174"/>
      <c r="BH293" s="174"/>
      <c r="BI293" s="174"/>
      <c r="BJ293" s="200"/>
      <c r="BK293" s="174"/>
      <c r="BL293" s="510"/>
      <c r="BM293" s="174"/>
      <c r="BN293" s="174"/>
      <c r="BO293" s="510"/>
      <c r="BP293" s="200"/>
      <c r="BQ293" s="447"/>
      <c r="BR293" s="510"/>
      <c r="BS293" s="174"/>
      <c r="BT293" s="174"/>
      <c r="BU293" s="510"/>
      <c r="BV293" s="200"/>
      <c r="BW293" s="174"/>
      <c r="BX293" s="510"/>
      <c r="BY293" s="174"/>
      <c r="BZ293" s="174"/>
      <c r="CA293" s="510"/>
      <c r="CB293" s="200"/>
      <c r="CC293" s="174"/>
      <c r="CD293" s="510"/>
      <c r="CE293" s="174"/>
      <c r="CF293" s="174"/>
      <c r="CG293" s="510"/>
      <c r="CH293" s="174"/>
      <c r="CI293" s="174"/>
      <c r="CJ293" s="174"/>
      <c r="CK293" s="174"/>
      <c r="CL293" s="174"/>
      <c r="CM293" s="510"/>
      <c r="CN293" s="174"/>
      <c r="CO293" s="549"/>
      <c r="CP293" s="510"/>
      <c r="CQ293" s="200"/>
      <c r="CR293" s="550"/>
      <c r="CS293" s="510"/>
      <c r="CT293" s="390"/>
      <c r="CU293" s="331"/>
      <c r="CV293" s="428"/>
      <c r="CW293" s="155"/>
      <c r="CX293" s="155"/>
      <c r="CY293" s="267"/>
      <c r="CZ293" s="323"/>
      <c r="DA293" s="323"/>
      <c r="DB293" s="423"/>
      <c r="DC293" s="155"/>
      <c r="DD293" s="155"/>
      <c r="DE293" s="267"/>
      <c r="DF293" s="323"/>
      <c r="DG293" s="323"/>
      <c r="DH293" s="428"/>
      <c r="DI293" s="155"/>
      <c r="DJ293" s="155"/>
      <c r="DK293" s="222"/>
      <c r="DL293" s="267"/>
      <c r="DM293" s="155"/>
      <c r="DN293" s="155"/>
      <c r="DO293" s="155"/>
      <c r="DP293" s="423"/>
      <c r="DQ293" s="155"/>
      <c r="DR293" s="155"/>
      <c r="DS293" s="222"/>
      <c r="DT293" s="267"/>
      <c r="DU293" s="174"/>
      <c r="DV293" s="174"/>
      <c r="DW293" s="200"/>
      <c r="DX293" s="428"/>
      <c r="DY293" s="155"/>
      <c r="DZ293" s="155"/>
      <c r="EA293" s="155"/>
      <c r="EB293" s="173"/>
      <c r="EC293" s="155"/>
      <c r="ED293" s="155"/>
      <c r="EE293" s="155"/>
      <c r="EF293" s="423"/>
      <c r="EG293" s="155"/>
      <c r="EH293" s="155"/>
      <c r="EI293" s="155"/>
      <c r="EJ293" s="267"/>
      <c r="EK293" s="155"/>
      <c r="EL293" s="155"/>
      <c r="EM293" s="155"/>
      <c r="EN293" s="428"/>
    </row>
    <row r="294" spans="1:144">
      <c r="A294" s="360"/>
      <c r="B294" s="172"/>
      <c r="C294" s="360"/>
      <c r="D294" s="172"/>
      <c r="E294" s="408"/>
      <c r="F294" s="408"/>
      <c r="G294" s="509"/>
      <c r="H294" s="546"/>
      <c r="I294" s="546"/>
      <c r="J294" s="251"/>
      <c r="K294" s="251"/>
      <c r="L294" s="509"/>
      <c r="M294" s="509"/>
      <c r="N294" s="509"/>
      <c r="O294" s="547"/>
      <c r="P294" s="200"/>
      <c r="Q294" s="174"/>
      <c r="R294" s="390"/>
      <c r="S294" s="510"/>
      <c r="T294" s="200"/>
      <c r="U294" s="174"/>
      <c r="V294" s="174"/>
      <c r="W294" s="510"/>
      <c r="X294" s="174"/>
      <c r="Y294" s="174"/>
      <c r="Z294" s="174"/>
      <c r="AA294" s="510"/>
      <c r="AB294" s="200"/>
      <c r="AC294" s="174"/>
      <c r="AD294" s="390"/>
      <c r="AE294" s="510"/>
      <c r="AF294" s="200"/>
      <c r="AG294" s="174"/>
      <c r="AH294" s="174"/>
      <c r="AI294" s="200"/>
      <c r="AJ294" s="548"/>
      <c r="AK294" s="200"/>
      <c r="AL294" s="174"/>
      <c r="AM294" s="390"/>
      <c r="AN294" s="510"/>
      <c r="AO294" s="200"/>
      <c r="AP294" s="174"/>
      <c r="AQ294" s="510"/>
      <c r="AR294" s="200"/>
      <c r="AS294" s="174"/>
      <c r="AT294" s="510"/>
      <c r="AU294" s="200"/>
      <c r="AV294" s="174"/>
      <c r="AW294" s="510"/>
      <c r="AX294" s="200"/>
      <c r="AY294" s="174"/>
      <c r="AZ294" s="510"/>
      <c r="BA294" s="174"/>
      <c r="BB294" s="174"/>
      <c r="BC294" s="174"/>
      <c r="BD294" s="174"/>
      <c r="BE294" s="174"/>
      <c r="BF294" s="510"/>
      <c r="BG294" s="174"/>
      <c r="BH294" s="174"/>
      <c r="BI294" s="174"/>
      <c r="BJ294" s="200"/>
      <c r="BK294" s="174"/>
      <c r="BL294" s="510"/>
      <c r="BM294" s="174"/>
      <c r="BN294" s="174"/>
      <c r="BO294" s="510"/>
      <c r="BP294" s="200"/>
      <c r="BQ294" s="447"/>
      <c r="BR294" s="510"/>
      <c r="BS294" s="174"/>
      <c r="BT294" s="174"/>
      <c r="BU294" s="510"/>
      <c r="BV294" s="200"/>
      <c r="BW294" s="174"/>
      <c r="BX294" s="510"/>
      <c r="BY294" s="174"/>
      <c r="BZ294" s="174"/>
      <c r="CA294" s="510"/>
      <c r="CB294" s="200"/>
      <c r="CC294" s="174"/>
      <c r="CD294" s="510"/>
      <c r="CE294" s="174"/>
      <c r="CF294" s="174"/>
      <c r="CG294" s="510"/>
      <c r="CH294" s="174"/>
      <c r="CI294" s="174"/>
      <c r="CJ294" s="174"/>
      <c r="CK294" s="174"/>
      <c r="CL294" s="174"/>
      <c r="CM294" s="510"/>
      <c r="CN294" s="174"/>
      <c r="CO294" s="549"/>
      <c r="CP294" s="510"/>
      <c r="CQ294" s="200"/>
      <c r="CR294" s="550"/>
      <c r="CS294" s="510"/>
      <c r="CT294" s="390"/>
      <c r="CU294" s="331"/>
      <c r="CV294" s="428"/>
      <c r="CW294" s="155"/>
      <c r="CX294" s="155"/>
      <c r="CY294" s="267"/>
      <c r="CZ294" s="323"/>
      <c r="DA294" s="323"/>
      <c r="DB294" s="423"/>
      <c r="DC294" s="155"/>
      <c r="DD294" s="155"/>
      <c r="DE294" s="267"/>
      <c r="DF294" s="323"/>
      <c r="DG294" s="323"/>
      <c r="DH294" s="428"/>
      <c r="DI294" s="155"/>
      <c r="DJ294" s="155"/>
      <c r="DK294" s="222"/>
      <c r="DL294" s="267"/>
      <c r="DM294" s="155"/>
      <c r="DN294" s="155"/>
      <c r="DO294" s="155"/>
      <c r="DP294" s="423"/>
      <c r="DQ294" s="155"/>
      <c r="DR294" s="155"/>
      <c r="DS294" s="222"/>
      <c r="DT294" s="267"/>
      <c r="DU294" s="174"/>
      <c r="DV294" s="174"/>
      <c r="DW294" s="200"/>
      <c r="DX294" s="428"/>
      <c r="DY294" s="155"/>
      <c r="DZ294" s="155"/>
      <c r="EA294" s="155"/>
      <c r="EB294" s="173"/>
      <c r="EC294" s="155"/>
      <c r="ED294" s="155"/>
      <c r="EE294" s="155"/>
      <c r="EF294" s="423"/>
      <c r="EG294" s="155"/>
      <c r="EH294" s="155"/>
      <c r="EI294" s="155"/>
      <c r="EJ294" s="267"/>
      <c r="EK294" s="155"/>
      <c r="EL294" s="155"/>
      <c r="EM294" s="155"/>
      <c r="EN294" s="428"/>
    </row>
    <row r="295" spans="1:144">
      <c r="A295" s="360"/>
      <c r="B295" s="172"/>
      <c r="C295" s="360"/>
      <c r="D295" s="172"/>
      <c r="E295" s="408"/>
      <c r="F295" s="408"/>
      <c r="G295" s="509"/>
      <c r="H295" s="546"/>
      <c r="I295" s="546"/>
      <c r="J295" s="251"/>
      <c r="K295" s="251"/>
      <c r="L295" s="509"/>
      <c r="M295" s="509"/>
      <c r="N295" s="509"/>
      <c r="O295" s="547"/>
      <c r="P295" s="200"/>
      <c r="Q295" s="174"/>
      <c r="R295" s="390"/>
      <c r="S295" s="510"/>
      <c r="T295" s="200"/>
      <c r="U295" s="174"/>
      <c r="V295" s="174"/>
      <c r="W295" s="510"/>
      <c r="X295" s="174"/>
      <c r="Y295" s="174"/>
      <c r="Z295" s="174"/>
      <c r="AA295" s="510"/>
      <c r="AB295" s="200"/>
      <c r="AC295" s="174"/>
      <c r="AD295" s="390"/>
      <c r="AE295" s="510"/>
      <c r="AF295" s="200"/>
      <c r="AG295" s="174"/>
      <c r="AH295" s="174"/>
      <c r="AI295" s="200"/>
      <c r="AJ295" s="548"/>
      <c r="AK295" s="200"/>
      <c r="AL295" s="174"/>
      <c r="AM295" s="390"/>
      <c r="AN295" s="510"/>
      <c r="AO295" s="200"/>
      <c r="AP295" s="174"/>
      <c r="AQ295" s="510"/>
      <c r="AR295" s="200"/>
      <c r="AS295" s="174"/>
      <c r="AT295" s="510"/>
      <c r="AU295" s="200"/>
      <c r="AV295" s="174"/>
      <c r="AW295" s="510"/>
      <c r="AX295" s="200"/>
      <c r="AY295" s="174"/>
      <c r="AZ295" s="510"/>
      <c r="BA295" s="174"/>
      <c r="BB295" s="174"/>
      <c r="BC295" s="174"/>
      <c r="BD295" s="174"/>
      <c r="BE295" s="174"/>
      <c r="BF295" s="510"/>
      <c r="BG295" s="174"/>
      <c r="BH295" s="174"/>
      <c r="BI295" s="174"/>
      <c r="BJ295" s="200"/>
      <c r="BK295" s="174"/>
      <c r="BL295" s="510"/>
      <c r="BM295" s="174"/>
      <c r="BN295" s="174"/>
      <c r="BO295" s="510"/>
      <c r="BP295" s="200"/>
      <c r="BQ295" s="447"/>
      <c r="BR295" s="510"/>
      <c r="BS295" s="174"/>
      <c r="BT295" s="174"/>
      <c r="BU295" s="510"/>
      <c r="BV295" s="200"/>
      <c r="BW295" s="174"/>
      <c r="BX295" s="510"/>
      <c r="BY295" s="174"/>
      <c r="BZ295" s="174"/>
      <c r="CA295" s="510"/>
      <c r="CB295" s="200"/>
      <c r="CC295" s="174"/>
      <c r="CD295" s="510"/>
      <c r="CE295" s="174"/>
      <c r="CF295" s="174"/>
      <c r="CG295" s="510"/>
      <c r="CH295" s="174"/>
      <c r="CI295" s="174"/>
      <c r="CJ295" s="174"/>
      <c r="CK295" s="174"/>
      <c r="CL295" s="174"/>
      <c r="CM295" s="510"/>
      <c r="CN295" s="174"/>
      <c r="CO295" s="549"/>
      <c r="CP295" s="510"/>
      <c r="CQ295" s="200"/>
      <c r="CR295" s="550"/>
      <c r="CS295" s="510"/>
      <c r="CT295" s="390"/>
      <c r="CU295" s="331"/>
      <c r="CV295" s="428"/>
      <c r="CW295" s="155"/>
      <c r="CX295" s="155"/>
      <c r="CY295" s="267"/>
      <c r="CZ295" s="323"/>
      <c r="DA295" s="323"/>
      <c r="DB295" s="423"/>
      <c r="DC295" s="155"/>
      <c r="DD295" s="155"/>
      <c r="DE295" s="267"/>
      <c r="DF295" s="323"/>
      <c r="DG295" s="323"/>
      <c r="DH295" s="428"/>
      <c r="DI295" s="155"/>
      <c r="DJ295" s="155"/>
      <c r="DK295" s="222"/>
      <c r="DL295" s="267"/>
      <c r="DM295" s="155"/>
      <c r="DN295" s="155"/>
      <c r="DO295" s="155"/>
      <c r="DP295" s="423"/>
      <c r="DQ295" s="155"/>
      <c r="DR295" s="155"/>
      <c r="DS295" s="222"/>
      <c r="DT295" s="267"/>
      <c r="DU295" s="174"/>
      <c r="DV295" s="174"/>
      <c r="DW295" s="200"/>
      <c r="DX295" s="428"/>
      <c r="DY295" s="155"/>
      <c r="DZ295" s="155"/>
      <c r="EA295" s="155"/>
      <c r="EB295" s="173"/>
      <c r="EC295" s="155"/>
      <c r="ED295" s="155"/>
      <c r="EE295" s="155"/>
      <c r="EF295" s="423"/>
      <c r="EG295" s="155"/>
      <c r="EH295" s="155"/>
      <c r="EI295" s="155"/>
      <c r="EJ295" s="267"/>
      <c r="EK295" s="155"/>
      <c r="EL295" s="155"/>
      <c r="EM295" s="155"/>
      <c r="EN295" s="428"/>
    </row>
    <row r="296" spans="1:144">
      <c r="A296" s="360"/>
      <c r="B296" s="172"/>
      <c r="C296" s="360"/>
      <c r="D296" s="172"/>
      <c r="E296" s="408"/>
      <c r="F296" s="408"/>
      <c r="G296" s="509"/>
      <c r="H296" s="546"/>
      <c r="I296" s="546"/>
      <c r="J296" s="251"/>
      <c r="K296" s="251"/>
      <c r="L296" s="509"/>
      <c r="M296" s="509"/>
      <c r="N296" s="509"/>
      <c r="O296" s="547"/>
      <c r="P296" s="200"/>
      <c r="Q296" s="174"/>
      <c r="R296" s="390"/>
      <c r="S296" s="510"/>
      <c r="T296" s="200"/>
      <c r="U296" s="174"/>
      <c r="V296" s="174"/>
      <c r="W296" s="510"/>
      <c r="X296" s="174"/>
      <c r="Y296" s="174"/>
      <c r="Z296" s="174"/>
      <c r="AA296" s="510"/>
      <c r="AB296" s="200"/>
      <c r="AC296" s="174"/>
      <c r="AD296" s="390"/>
      <c r="AE296" s="510"/>
      <c r="AF296" s="200"/>
      <c r="AG296" s="174"/>
      <c r="AH296" s="174"/>
      <c r="AI296" s="200"/>
      <c r="AJ296" s="548"/>
      <c r="AK296" s="200"/>
      <c r="AL296" s="174"/>
      <c r="AM296" s="390"/>
      <c r="AN296" s="510"/>
      <c r="AO296" s="200"/>
      <c r="AP296" s="174"/>
      <c r="AQ296" s="510"/>
      <c r="AR296" s="200"/>
      <c r="AS296" s="174"/>
      <c r="AT296" s="510"/>
      <c r="AU296" s="200"/>
      <c r="AV296" s="174"/>
      <c r="AW296" s="510"/>
      <c r="AX296" s="200"/>
      <c r="AY296" s="174"/>
      <c r="AZ296" s="510"/>
      <c r="BA296" s="174"/>
      <c r="BB296" s="174"/>
      <c r="BC296" s="174"/>
      <c r="BD296" s="174"/>
      <c r="BE296" s="174"/>
      <c r="BF296" s="510"/>
      <c r="BG296" s="174"/>
      <c r="BH296" s="174"/>
      <c r="BI296" s="174"/>
      <c r="BJ296" s="200"/>
      <c r="BK296" s="174"/>
      <c r="BL296" s="510"/>
      <c r="BM296" s="174"/>
      <c r="BN296" s="174"/>
      <c r="BO296" s="510"/>
      <c r="BP296" s="200"/>
      <c r="BQ296" s="447"/>
      <c r="BR296" s="510"/>
      <c r="BS296" s="174"/>
      <c r="BT296" s="174"/>
      <c r="BU296" s="510"/>
      <c r="BV296" s="200"/>
      <c r="BW296" s="174"/>
      <c r="BX296" s="510"/>
      <c r="BY296" s="174"/>
      <c r="BZ296" s="174"/>
      <c r="CA296" s="510"/>
      <c r="CB296" s="200"/>
      <c r="CC296" s="174"/>
      <c r="CD296" s="510"/>
      <c r="CE296" s="174"/>
      <c r="CF296" s="174"/>
      <c r="CG296" s="510"/>
      <c r="CH296" s="174"/>
      <c r="CI296" s="174"/>
      <c r="CJ296" s="174"/>
      <c r="CK296" s="174"/>
      <c r="CL296" s="174"/>
      <c r="CM296" s="510"/>
      <c r="CN296" s="174"/>
      <c r="CO296" s="549"/>
      <c r="CP296" s="510"/>
      <c r="CQ296" s="200"/>
      <c r="CR296" s="550"/>
      <c r="CS296" s="510"/>
      <c r="CT296" s="390"/>
      <c r="CU296" s="331"/>
      <c r="CV296" s="428"/>
      <c r="CW296" s="155"/>
      <c r="CX296" s="155"/>
      <c r="CY296" s="267"/>
      <c r="CZ296" s="323"/>
      <c r="DA296" s="323"/>
      <c r="DB296" s="423"/>
      <c r="DC296" s="155"/>
      <c r="DD296" s="155"/>
      <c r="DE296" s="267"/>
      <c r="DF296" s="323"/>
      <c r="DG296" s="323"/>
      <c r="DH296" s="428"/>
      <c r="DI296" s="155"/>
      <c r="DJ296" s="155"/>
      <c r="DK296" s="222"/>
      <c r="DL296" s="267"/>
      <c r="DM296" s="155"/>
      <c r="DN296" s="155"/>
      <c r="DO296" s="155"/>
      <c r="DP296" s="423"/>
      <c r="DQ296" s="155"/>
      <c r="DR296" s="155"/>
      <c r="DS296" s="222"/>
      <c r="DT296" s="267"/>
      <c r="DU296" s="174"/>
      <c r="DV296" s="174"/>
      <c r="DW296" s="200"/>
      <c r="DX296" s="428"/>
      <c r="DY296" s="155"/>
      <c r="DZ296" s="155"/>
      <c r="EA296" s="155"/>
      <c r="EB296" s="173"/>
      <c r="EC296" s="155"/>
      <c r="ED296" s="155"/>
      <c r="EE296" s="155"/>
      <c r="EF296" s="423"/>
      <c r="EG296" s="155"/>
      <c r="EH296" s="155"/>
      <c r="EI296" s="155"/>
      <c r="EJ296" s="267"/>
      <c r="EK296" s="155"/>
      <c r="EL296" s="155"/>
      <c r="EM296" s="155"/>
      <c r="EN296" s="428"/>
    </row>
    <row r="297" spans="1:144">
      <c r="A297" s="360"/>
      <c r="B297" s="172"/>
      <c r="C297" s="360"/>
      <c r="D297" s="172"/>
      <c r="E297" s="408"/>
      <c r="F297" s="408"/>
      <c r="G297" s="509"/>
      <c r="H297" s="546"/>
      <c r="I297" s="546"/>
      <c r="J297" s="251"/>
      <c r="K297" s="251"/>
      <c r="L297" s="509"/>
      <c r="M297" s="509"/>
      <c r="N297" s="509"/>
      <c r="O297" s="547"/>
      <c r="P297" s="200"/>
      <c r="Q297" s="174"/>
      <c r="R297" s="390"/>
      <c r="S297" s="510"/>
      <c r="T297" s="200"/>
      <c r="U297" s="174"/>
      <c r="V297" s="174"/>
      <c r="W297" s="510"/>
      <c r="X297" s="174"/>
      <c r="Y297" s="174"/>
      <c r="Z297" s="174"/>
      <c r="AA297" s="510"/>
      <c r="AB297" s="200"/>
      <c r="AC297" s="174"/>
      <c r="AD297" s="390"/>
      <c r="AE297" s="510"/>
      <c r="AF297" s="200"/>
      <c r="AG297" s="174"/>
      <c r="AH297" s="174"/>
      <c r="AI297" s="200"/>
      <c r="AJ297" s="548"/>
      <c r="AK297" s="200"/>
      <c r="AL297" s="174"/>
      <c r="AM297" s="390"/>
      <c r="AN297" s="510"/>
      <c r="AO297" s="200"/>
      <c r="AP297" s="174"/>
      <c r="AQ297" s="510"/>
      <c r="AR297" s="200"/>
      <c r="AS297" s="174"/>
      <c r="AT297" s="510"/>
      <c r="AU297" s="200"/>
      <c r="AV297" s="174"/>
      <c r="AW297" s="510"/>
      <c r="AX297" s="200"/>
      <c r="AY297" s="174"/>
      <c r="AZ297" s="510"/>
      <c r="BA297" s="174"/>
      <c r="BB297" s="174"/>
      <c r="BC297" s="174"/>
      <c r="BD297" s="174"/>
      <c r="BE297" s="174"/>
      <c r="BF297" s="510"/>
      <c r="BG297" s="174"/>
      <c r="BH297" s="174"/>
      <c r="BI297" s="174"/>
      <c r="BJ297" s="200"/>
      <c r="BK297" s="174"/>
      <c r="BL297" s="510"/>
      <c r="BM297" s="174"/>
      <c r="BN297" s="174"/>
      <c r="BO297" s="510"/>
      <c r="BP297" s="200"/>
      <c r="BQ297" s="447"/>
      <c r="BR297" s="510"/>
      <c r="BS297" s="174"/>
      <c r="BT297" s="174"/>
      <c r="BU297" s="510"/>
      <c r="BV297" s="200"/>
      <c r="BW297" s="174"/>
      <c r="BX297" s="510"/>
      <c r="BY297" s="174"/>
      <c r="BZ297" s="174"/>
      <c r="CA297" s="510"/>
      <c r="CB297" s="200"/>
      <c r="CC297" s="174"/>
      <c r="CD297" s="510"/>
      <c r="CE297" s="174"/>
      <c r="CF297" s="174"/>
      <c r="CG297" s="510"/>
      <c r="CH297" s="174"/>
      <c r="CI297" s="174"/>
      <c r="CJ297" s="174"/>
      <c r="CK297" s="174"/>
      <c r="CL297" s="174"/>
      <c r="CM297" s="510"/>
      <c r="CN297" s="174"/>
      <c r="CO297" s="549"/>
      <c r="CP297" s="510"/>
      <c r="CQ297" s="200"/>
      <c r="CR297" s="550"/>
      <c r="CS297" s="510"/>
      <c r="CT297" s="390"/>
      <c r="CU297" s="331"/>
      <c r="CV297" s="428"/>
      <c r="CW297" s="155"/>
      <c r="CX297" s="155"/>
      <c r="CY297" s="267"/>
      <c r="CZ297" s="323"/>
      <c r="DA297" s="323"/>
      <c r="DB297" s="423"/>
      <c r="DC297" s="155"/>
      <c r="DD297" s="155"/>
      <c r="DE297" s="267"/>
      <c r="DF297" s="323"/>
      <c r="DG297" s="323"/>
      <c r="DH297" s="428"/>
      <c r="DI297" s="155"/>
      <c r="DJ297" s="155"/>
      <c r="DK297" s="222"/>
      <c r="DL297" s="267"/>
      <c r="DM297" s="155"/>
      <c r="DN297" s="155"/>
      <c r="DO297" s="155"/>
      <c r="DP297" s="423"/>
      <c r="DQ297" s="155"/>
      <c r="DR297" s="155"/>
      <c r="DS297" s="222"/>
      <c r="DT297" s="267"/>
      <c r="DU297" s="174"/>
      <c r="DV297" s="174"/>
      <c r="DW297" s="200"/>
      <c r="DX297" s="428"/>
      <c r="DY297" s="155"/>
      <c r="DZ297" s="155"/>
      <c r="EA297" s="155"/>
      <c r="EB297" s="173"/>
      <c r="EC297" s="155"/>
      <c r="ED297" s="155"/>
      <c r="EE297" s="155"/>
      <c r="EF297" s="423"/>
      <c r="EG297" s="155"/>
      <c r="EH297" s="155"/>
      <c r="EI297" s="155"/>
      <c r="EJ297" s="267"/>
      <c r="EK297" s="155"/>
      <c r="EL297" s="155"/>
      <c r="EM297" s="155"/>
      <c r="EN297" s="428"/>
    </row>
    <row r="298" spans="1:144">
      <c r="A298" s="360"/>
      <c r="B298" s="172"/>
      <c r="C298" s="360"/>
      <c r="D298" s="172"/>
      <c r="E298" s="408"/>
      <c r="F298" s="408"/>
      <c r="G298" s="509"/>
      <c r="H298" s="546"/>
      <c r="I298" s="546"/>
      <c r="J298" s="251"/>
      <c r="K298" s="251"/>
      <c r="L298" s="509"/>
      <c r="M298" s="509"/>
      <c r="N298" s="509"/>
      <c r="O298" s="547"/>
      <c r="P298" s="200"/>
      <c r="Q298" s="174"/>
      <c r="R298" s="390"/>
      <c r="S298" s="510"/>
      <c r="T298" s="200"/>
      <c r="U298" s="174"/>
      <c r="V298" s="174"/>
      <c r="W298" s="510"/>
      <c r="X298" s="174"/>
      <c r="Y298" s="174"/>
      <c r="Z298" s="174"/>
      <c r="AA298" s="510"/>
      <c r="AB298" s="200"/>
      <c r="AC298" s="174"/>
      <c r="AD298" s="390"/>
      <c r="AE298" s="510"/>
      <c r="AF298" s="200"/>
      <c r="AG298" s="174"/>
      <c r="AH298" s="174"/>
      <c r="AI298" s="200"/>
      <c r="AJ298" s="548"/>
      <c r="AK298" s="200"/>
      <c r="AL298" s="174"/>
      <c r="AM298" s="390"/>
      <c r="AN298" s="510"/>
      <c r="AO298" s="200"/>
      <c r="AP298" s="174"/>
      <c r="AQ298" s="510"/>
      <c r="AR298" s="200"/>
      <c r="AS298" s="174"/>
      <c r="AT298" s="510"/>
      <c r="AU298" s="200"/>
      <c r="AV298" s="174"/>
      <c r="AW298" s="510"/>
      <c r="AX298" s="200"/>
      <c r="AY298" s="174"/>
      <c r="AZ298" s="510"/>
      <c r="BA298" s="174"/>
      <c r="BB298" s="174"/>
      <c r="BC298" s="174"/>
      <c r="BD298" s="174"/>
      <c r="BE298" s="174"/>
      <c r="BF298" s="510"/>
      <c r="BG298" s="174"/>
      <c r="BH298" s="174"/>
      <c r="BI298" s="174"/>
      <c r="BJ298" s="200"/>
      <c r="BK298" s="174"/>
      <c r="BL298" s="510"/>
      <c r="BM298" s="174"/>
      <c r="BN298" s="174"/>
      <c r="BO298" s="510"/>
      <c r="BP298" s="200"/>
      <c r="BQ298" s="447"/>
      <c r="BR298" s="510"/>
      <c r="BS298" s="174"/>
      <c r="BT298" s="174"/>
      <c r="BU298" s="510"/>
      <c r="BV298" s="200"/>
      <c r="BW298" s="174"/>
      <c r="BX298" s="510"/>
      <c r="BY298" s="174"/>
      <c r="BZ298" s="174"/>
      <c r="CA298" s="510"/>
      <c r="CB298" s="200"/>
      <c r="CC298" s="174"/>
      <c r="CD298" s="510"/>
      <c r="CE298" s="174"/>
      <c r="CF298" s="174"/>
      <c r="CG298" s="510"/>
      <c r="CH298" s="174"/>
      <c r="CI298" s="174"/>
      <c r="CJ298" s="174"/>
      <c r="CK298" s="174"/>
      <c r="CL298" s="174"/>
      <c r="CM298" s="510"/>
      <c r="CN298" s="174"/>
      <c r="CO298" s="549"/>
      <c r="CP298" s="510"/>
      <c r="CQ298" s="200"/>
      <c r="CR298" s="550"/>
      <c r="CS298" s="510"/>
      <c r="CT298" s="390"/>
      <c r="CU298" s="331"/>
      <c r="CV298" s="428"/>
      <c r="CW298" s="155"/>
      <c r="CX298" s="155"/>
      <c r="CY298" s="267"/>
      <c r="CZ298" s="323"/>
      <c r="DA298" s="323"/>
      <c r="DB298" s="423"/>
      <c r="DC298" s="155"/>
      <c r="DD298" s="155"/>
      <c r="DE298" s="267"/>
      <c r="DF298" s="323"/>
      <c r="DG298" s="323"/>
      <c r="DH298" s="428"/>
      <c r="DI298" s="155"/>
      <c r="DJ298" s="155"/>
      <c r="DK298" s="222"/>
      <c r="DL298" s="267"/>
      <c r="DM298" s="155"/>
      <c r="DN298" s="155"/>
      <c r="DO298" s="155"/>
      <c r="DP298" s="423"/>
      <c r="DQ298" s="155"/>
      <c r="DR298" s="155"/>
      <c r="DS298" s="222"/>
      <c r="DT298" s="267"/>
      <c r="DU298" s="174"/>
      <c r="DV298" s="174"/>
      <c r="DW298" s="200"/>
      <c r="DX298" s="428"/>
      <c r="DY298" s="155"/>
      <c r="DZ298" s="155"/>
      <c r="EA298" s="155"/>
      <c r="EB298" s="173"/>
      <c r="EC298" s="155"/>
      <c r="ED298" s="155"/>
      <c r="EE298" s="155"/>
      <c r="EF298" s="423"/>
      <c r="EG298" s="155"/>
      <c r="EH298" s="155"/>
      <c r="EI298" s="155"/>
      <c r="EJ298" s="267"/>
      <c r="EK298" s="155"/>
      <c r="EL298" s="155"/>
      <c r="EM298" s="155"/>
      <c r="EN298" s="428"/>
    </row>
    <row r="299" spans="1:144">
      <c r="A299" s="360"/>
      <c r="B299" s="172"/>
      <c r="C299" s="360"/>
      <c r="D299" s="172"/>
      <c r="E299" s="408"/>
      <c r="F299" s="408"/>
      <c r="G299" s="509"/>
      <c r="H299" s="546"/>
      <c r="I299" s="546"/>
      <c r="J299" s="251"/>
      <c r="K299" s="251"/>
      <c r="L299" s="509"/>
      <c r="M299" s="509"/>
      <c r="N299" s="509"/>
      <c r="O299" s="547"/>
      <c r="P299" s="200"/>
      <c r="Q299" s="174"/>
      <c r="R299" s="390"/>
      <c r="S299" s="510"/>
      <c r="T299" s="200"/>
      <c r="U299" s="174"/>
      <c r="V299" s="174"/>
      <c r="W299" s="510"/>
      <c r="X299" s="174"/>
      <c r="Y299" s="174"/>
      <c r="Z299" s="174"/>
      <c r="AA299" s="510"/>
      <c r="AB299" s="200"/>
      <c r="AC299" s="174"/>
      <c r="AD299" s="390"/>
      <c r="AE299" s="510"/>
      <c r="AF299" s="200"/>
      <c r="AG299" s="174"/>
      <c r="AH299" s="174"/>
      <c r="AI299" s="200"/>
      <c r="AJ299" s="548"/>
      <c r="AK299" s="200"/>
      <c r="AL299" s="174"/>
      <c r="AM299" s="390"/>
      <c r="AN299" s="510"/>
      <c r="AO299" s="200"/>
      <c r="AP299" s="174"/>
      <c r="AQ299" s="510"/>
      <c r="AR299" s="200"/>
      <c r="AS299" s="174"/>
      <c r="AT299" s="510"/>
      <c r="AU299" s="200"/>
      <c r="AV299" s="174"/>
      <c r="AW299" s="510"/>
      <c r="AX299" s="200"/>
      <c r="AY299" s="174"/>
      <c r="AZ299" s="510"/>
      <c r="BA299" s="174"/>
      <c r="BB299" s="174"/>
      <c r="BC299" s="174"/>
      <c r="BD299" s="174"/>
      <c r="BE299" s="174"/>
      <c r="BF299" s="510"/>
      <c r="BG299" s="174"/>
      <c r="BH299" s="174"/>
      <c r="BI299" s="174"/>
      <c r="BJ299" s="200"/>
      <c r="BK299" s="174"/>
      <c r="BL299" s="510"/>
      <c r="BM299" s="174"/>
      <c r="BN299" s="174"/>
      <c r="BO299" s="510"/>
      <c r="BP299" s="200"/>
      <c r="BQ299" s="447"/>
      <c r="BR299" s="510"/>
      <c r="BS299" s="174"/>
      <c r="BT299" s="174"/>
      <c r="BU299" s="510"/>
      <c r="BV299" s="200"/>
      <c r="BW299" s="174"/>
      <c r="BX299" s="510"/>
      <c r="BY299" s="174"/>
      <c r="BZ299" s="174"/>
      <c r="CA299" s="510"/>
      <c r="CB299" s="200"/>
      <c r="CC299" s="174"/>
      <c r="CD299" s="510"/>
      <c r="CE299" s="174"/>
      <c r="CF299" s="174"/>
      <c r="CG299" s="510"/>
      <c r="CH299" s="174"/>
      <c r="CI299" s="174"/>
      <c r="CJ299" s="174"/>
      <c r="CK299" s="174"/>
      <c r="CL299" s="174"/>
      <c r="CM299" s="510"/>
      <c r="CN299" s="174"/>
      <c r="CO299" s="549"/>
      <c r="CP299" s="510"/>
      <c r="CQ299" s="200"/>
      <c r="CR299" s="550"/>
      <c r="CS299" s="510"/>
      <c r="CT299" s="390"/>
      <c r="CU299" s="331"/>
      <c r="CV299" s="428"/>
      <c r="CW299" s="155"/>
      <c r="CX299" s="155"/>
      <c r="CY299" s="267"/>
      <c r="CZ299" s="323"/>
      <c r="DA299" s="323"/>
      <c r="DB299" s="423"/>
      <c r="DC299" s="155"/>
      <c r="DD299" s="155"/>
      <c r="DE299" s="267"/>
      <c r="DF299" s="323"/>
      <c r="DG299" s="323"/>
      <c r="DH299" s="428"/>
      <c r="DI299" s="155"/>
      <c r="DJ299" s="155"/>
      <c r="DK299" s="222"/>
      <c r="DL299" s="267"/>
      <c r="DM299" s="155"/>
      <c r="DN299" s="155"/>
      <c r="DO299" s="155"/>
      <c r="DP299" s="423"/>
      <c r="DQ299" s="155"/>
      <c r="DR299" s="155"/>
      <c r="DS299" s="222"/>
      <c r="DT299" s="267"/>
      <c r="DU299" s="174"/>
      <c r="DV299" s="174"/>
      <c r="DW299" s="200"/>
      <c r="DX299" s="428"/>
      <c r="DY299" s="155"/>
      <c r="DZ299" s="155"/>
      <c r="EA299" s="155"/>
      <c r="EB299" s="173"/>
      <c r="EC299" s="155"/>
      <c r="ED299" s="155"/>
      <c r="EE299" s="155"/>
      <c r="EF299" s="423"/>
      <c r="EG299" s="155"/>
      <c r="EH299" s="155"/>
      <c r="EI299" s="155"/>
      <c r="EJ299" s="267"/>
      <c r="EK299" s="155"/>
      <c r="EL299" s="155"/>
      <c r="EM299" s="155"/>
      <c r="EN299" s="428"/>
    </row>
    <row r="300" spans="1:144">
      <c r="A300" s="360"/>
      <c r="B300" s="172"/>
      <c r="C300" s="360"/>
      <c r="D300" s="172"/>
      <c r="E300" s="408"/>
      <c r="F300" s="408"/>
      <c r="G300" s="509"/>
      <c r="H300" s="546"/>
      <c r="I300" s="546"/>
      <c r="J300" s="251"/>
      <c r="K300" s="251"/>
      <c r="L300" s="509"/>
      <c r="M300" s="509"/>
      <c r="N300" s="509"/>
      <c r="O300" s="547"/>
      <c r="P300" s="200"/>
      <c r="Q300" s="174"/>
      <c r="R300" s="390"/>
      <c r="S300" s="510"/>
      <c r="T300" s="200"/>
      <c r="U300" s="174"/>
      <c r="V300" s="174"/>
      <c r="W300" s="510"/>
      <c r="X300" s="174"/>
      <c r="Y300" s="174"/>
      <c r="Z300" s="174"/>
      <c r="AA300" s="510"/>
      <c r="AB300" s="200"/>
      <c r="AC300" s="174"/>
      <c r="AD300" s="390"/>
      <c r="AE300" s="510"/>
      <c r="AF300" s="200"/>
      <c r="AG300" s="174"/>
      <c r="AH300" s="174"/>
      <c r="AI300" s="200"/>
      <c r="AJ300" s="548"/>
      <c r="AK300" s="200"/>
      <c r="AL300" s="174"/>
      <c r="AM300" s="390"/>
      <c r="AN300" s="510"/>
      <c r="AO300" s="200"/>
      <c r="AP300" s="174"/>
      <c r="AQ300" s="510"/>
      <c r="AR300" s="200"/>
      <c r="AS300" s="174"/>
      <c r="AT300" s="510"/>
      <c r="AU300" s="200"/>
      <c r="AV300" s="174"/>
      <c r="AW300" s="510"/>
      <c r="AX300" s="200"/>
      <c r="AY300" s="174"/>
      <c r="AZ300" s="510"/>
      <c r="BA300" s="174"/>
      <c r="BB300" s="174"/>
      <c r="BC300" s="174"/>
      <c r="BD300" s="174"/>
      <c r="BE300" s="174"/>
      <c r="BF300" s="510"/>
      <c r="BG300" s="174"/>
      <c r="BH300" s="174"/>
      <c r="BI300" s="174"/>
      <c r="BJ300" s="200"/>
      <c r="BK300" s="174"/>
      <c r="BL300" s="510"/>
      <c r="BM300" s="174"/>
      <c r="BN300" s="174"/>
      <c r="BO300" s="510"/>
      <c r="BP300" s="200"/>
      <c r="BQ300" s="447"/>
      <c r="BR300" s="510"/>
      <c r="BS300" s="174"/>
      <c r="BT300" s="174"/>
      <c r="BU300" s="510"/>
      <c r="BV300" s="200"/>
      <c r="BW300" s="174"/>
      <c r="BX300" s="510"/>
      <c r="BY300" s="174"/>
      <c r="BZ300" s="174"/>
      <c r="CA300" s="510"/>
      <c r="CB300" s="200"/>
      <c r="CC300" s="174"/>
      <c r="CD300" s="510"/>
      <c r="CE300" s="174"/>
      <c r="CF300" s="174"/>
      <c r="CG300" s="510"/>
      <c r="CH300" s="174"/>
      <c r="CI300" s="174"/>
      <c r="CJ300" s="174"/>
      <c r="CK300" s="174"/>
      <c r="CL300" s="174"/>
      <c r="CM300" s="510"/>
      <c r="CN300" s="174"/>
      <c r="CO300" s="549"/>
      <c r="CP300" s="510"/>
      <c r="CQ300" s="200"/>
      <c r="CR300" s="550"/>
      <c r="CS300" s="510"/>
      <c r="CT300" s="390"/>
      <c r="CU300" s="331"/>
      <c r="CV300" s="428"/>
      <c r="CW300" s="155"/>
      <c r="CX300" s="155"/>
      <c r="CY300" s="267"/>
      <c r="CZ300" s="323"/>
      <c r="DA300" s="323"/>
      <c r="DB300" s="423"/>
      <c r="DC300" s="155"/>
      <c r="DD300" s="155"/>
      <c r="DE300" s="267"/>
      <c r="DF300" s="323"/>
      <c r="DG300" s="323"/>
      <c r="DH300" s="428"/>
      <c r="DI300" s="155"/>
      <c r="DJ300" s="155"/>
      <c r="DK300" s="222"/>
      <c r="DL300" s="267"/>
      <c r="DM300" s="155"/>
      <c r="DN300" s="155"/>
      <c r="DO300" s="155"/>
      <c r="DP300" s="423"/>
      <c r="DQ300" s="155"/>
      <c r="DR300" s="155"/>
      <c r="DS300" s="222"/>
      <c r="DT300" s="267"/>
      <c r="DU300" s="174"/>
      <c r="DV300" s="174"/>
      <c r="DW300" s="200"/>
      <c r="DX300" s="428"/>
      <c r="DY300" s="155"/>
      <c r="DZ300" s="155"/>
      <c r="EA300" s="155"/>
      <c r="EB300" s="173"/>
      <c r="EC300" s="155"/>
      <c r="ED300" s="155"/>
      <c r="EE300" s="155"/>
      <c r="EF300" s="423"/>
      <c r="EG300" s="155"/>
      <c r="EH300" s="155"/>
      <c r="EI300" s="155"/>
      <c r="EJ300" s="267"/>
      <c r="EK300" s="155"/>
      <c r="EL300" s="155"/>
      <c r="EM300" s="155"/>
      <c r="EN300" s="428"/>
    </row>
    <row r="301" spans="1:144">
      <c r="A301" s="360"/>
      <c r="B301" s="172"/>
      <c r="C301" s="360"/>
      <c r="D301" s="172"/>
      <c r="E301" s="408"/>
      <c r="F301" s="408"/>
      <c r="G301" s="509"/>
      <c r="H301" s="546"/>
      <c r="I301" s="546"/>
      <c r="J301" s="251"/>
      <c r="K301" s="251"/>
      <c r="L301" s="509"/>
      <c r="M301" s="509"/>
      <c r="N301" s="509"/>
      <c r="O301" s="547"/>
      <c r="P301" s="200"/>
      <c r="Q301" s="174"/>
      <c r="R301" s="390"/>
      <c r="S301" s="510"/>
      <c r="T301" s="200"/>
      <c r="U301" s="174"/>
      <c r="V301" s="174"/>
      <c r="W301" s="510"/>
      <c r="X301" s="174"/>
      <c r="Y301" s="174"/>
      <c r="Z301" s="174"/>
      <c r="AA301" s="510"/>
      <c r="AB301" s="200"/>
      <c r="AC301" s="174"/>
      <c r="AD301" s="390"/>
      <c r="AE301" s="510"/>
      <c r="AF301" s="200"/>
      <c r="AG301" s="174"/>
      <c r="AH301" s="174"/>
      <c r="AI301" s="200"/>
      <c r="AJ301" s="548"/>
      <c r="AK301" s="200"/>
      <c r="AL301" s="174"/>
      <c r="AM301" s="390"/>
      <c r="AN301" s="510"/>
      <c r="AO301" s="200"/>
      <c r="AP301" s="174"/>
      <c r="AQ301" s="510"/>
      <c r="AR301" s="200"/>
      <c r="AS301" s="174"/>
      <c r="AT301" s="510"/>
      <c r="AU301" s="200"/>
      <c r="AV301" s="174"/>
      <c r="AW301" s="510"/>
      <c r="AX301" s="200"/>
      <c r="AY301" s="174"/>
      <c r="AZ301" s="510"/>
      <c r="BA301" s="174"/>
      <c r="BB301" s="174"/>
      <c r="BC301" s="174"/>
      <c r="BD301" s="174"/>
      <c r="BE301" s="174"/>
      <c r="BF301" s="510"/>
      <c r="BG301" s="174"/>
      <c r="BH301" s="174"/>
      <c r="BI301" s="174"/>
      <c r="BJ301" s="200"/>
      <c r="BK301" s="174"/>
      <c r="BL301" s="510"/>
      <c r="BM301" s="174"/>
      <c r="BN301" s="174"/>
      <c r="BO301" s="510"/>
      <c r="BP301" s="200"/>
      <c r="BQ301" s="447"/>
      <c r="BR301" s="510"/>
      <c r="BS301" s="174"/>
      <c r="BT301" s="174"/>
      <c r="BU301" s="510"/>
      <c r="BV301" s="200"/>
      <c r="BW301" s="174"/>
      <c r="BX301" s="510"/>
      <c r="BY301" s="174"/>
      <c r="BZ301" s="174"/>
      <c r="CA301" s="510"/>
      <c r="CB301" s="200"/>
      <c r="CC301" s="174"/>
      <c r="CD301" s="510"/>
      <c r="CE301" s="174"/>
      <c r="CF301" s="174"/>
      <c r="CG301" s="510"/>
      <c r="CH301" s="174"/>
      <c r="CI301" s="174"/>
      <c r="CJ301" s="174"/>
      <c r="CK301" s="174"/>
      <c r="CL301" s="174"/>
      <c r="CM301" s="510"/>
      <c r="CN301" s="174"/>
      <c r="CO301" s="549"/>
      <c r="CP301" s="510"/>
      <c r="CQ301" s="200"/>
      <c r="CR301" s="550"/>
      <c r="CS301" s="510"/>
      <c r="CT301" s="390"/>
      <c r="CU301" s="331"/>
      <c r="CV301" s="428"/>
      <c r="CW301" s="155"/>
      <c r="CX301" s="155"/>
      <c r="CY301" s="267"/>
      <c r="CZ301" s="323"/>
      <c r="DA301" s="323"/>
      <c r="DB301" s="423"/>
      <c r="DC301" s="155"/>
      <c r="DD301" s="155"/>
      <c r="DE301" s="267"/>
      <c r="DF301" s="323"/>
      <c r="DG301" s="323"/>
      <c r="DH301" s="428"/>
      <c r="DI301" s="155"/>
      <c r="DJ301" s="155"/>
      <c r="DK301" s="222"/>
      <c r="DL301" s="267"/>
      <c r="DM301" s="155"/>
      <c r="DN301" s="155"/>
      <c r="DO301" s="155"/>
      <c r="DP301" s="423"/>
      <c r="DQ301" s="155"/>
      <c r="DR301" s="155"/>
      <c r="DS301" s="222"/>
      <c r="DT301" s="267"/>
      <c r="DU301" s="174"/>
      <c r="DV301" s="174"/>
      <c r="DW301" s="200"/>
      <c r="DX301" s="428"/>
      <c r="DY301" s="155"/>
      <c r="DZ301" s="155"/>
      <c r="EA301" s="155"/>
      <c r="EB301" s="173"/>
      <c r="EC301" s="155"/>
      <c r="ED301" s="155"/>
      <c r="EE301" s="155"/>
      <c r="EF301" s="423"/>
      <c r="EG301" s="155"/>
      <c r="EH301" s="155"/>
      <c r="EI301" s="155"/>
      <c r="EJ301" s="267"/>
      <c r="EK301" s="155"/>
      <c r="EL301" s="155"/>
      <c r="EM301" s="155"/>
      <c r="EN301" s="428"/>
    </row>
    <row r="302" spans="1:144">
      <c r="A302" s="360"/>
      <c r="B302" s="172"/>
      <c r="C302" s="360"/>
      <c r="D302" s="172"/>
      <c r="E302" s="408"/>
      <c r="F302" s="408"/>
      <c r="G302" s="509"/>
      <c r="H302" s="546"/>
      <c r="I302" s="546"/>
      <c r="J302" s="251"/>
      <c r="K302" s="251"/>
      <c r="L302" s="509"/>
      <c r="M302" s="509"/>
      <c r="N302" s="509"/>
      <c r="O302" s="547"/>
      <c r="P302" s="200"/>
      <c r="Q302" s="174"/>
      <c r="R302" s="390"/>
      <c r="S302" s="510"/>
      <c r="T302" s="200"/>
      <c r="U302" s="174"/>
      <c r="V302" s="174"/>
      <c r="W302" s="510"/>
      <c r="X302" s="174"/>
      <c r="Y302" s="174"/>
      <c r="Z302" s="174"/>
      <c r="AA302" s="510"/>
      <c r="AB302" s="200"/>
      <c r="AC302" s="174"/>
      <c r="AD302" s="390"/>
      <c r="AE302" s="510"/>
      <c r="AF302" s="200"/>
      <c r="AG302" s="174"/>
      <c r="AH302" s="174"/>
      <c r="AI302" s="200"/>
      <c r="AJ302" s="548"/>
      <c r="AK302" s="200"/>
      <c r="AL302" s="174"/>
      <c r="AM302" s="390"/>
      <c r="AN302" s="510"/>
      <c r="AO302" s="200"/>
      <c r="AP302" s="174"/>
      <c r="AQ302" s="510"/>
      <c r="AR302" s="200"/>
      <c r="AS302" s="174"/>
      <c r="AT302" s="510"/>
      <c r="AU302" s="200"/>
      <c r="AV302" s="174"/>
      <c r="AW302" s="510"/>
      <c r="AX302" s="200"/>
      <c r="AY302" s="174"/>
      <c r="AZ302" s="510"/>
      <c r="BA302" s="174"/>
      <c r="BB302" s="174"/>
      <c r="BC302" s="174"/>
      <c r="BD302" s="174"/>
      <c r="BE302" s="174"/>
      <c r="BF302" s="510"/>
      <c r="BG302" s="174"/>
      <c r="BH302" s="174"/>
      <c r="BI302" s="174"/>
      <c r="BJ302" s="200"/>
      <c r="BK302" s="174"/>
      <c r="BL302" s="510"/>
      <c r="BM302" s="174"/>
      <c r="BN302" s="174"/>
      <c r="BO302" s="510"/>
      <c r="BP302" s="200"/>
      <c r="BQ302" s="447"/>
      <c r="BR302" s="510"/>
      <c r="BS302" s="174"/>
      <c r="BT302" s="174"/>
      <c r="BU302" s="510"/>
      <c r="BV302" s="200"/>
      <c r="BW302" s="174"/>
      <c r="BX302" s="510"/>
      <c r="BY302" s="174"/>
      <c r="BZ302" s="174"/>
      <c r="CA302" s="510"/>
      <c r="CB302" s="200"/>
      <c r="CC302" s="174"/>
      <c r="CD302" s="510"/>
      <c r="CE302" s="174"/>
      <c r="CF302" s="174"/>
      <c r="CG302" s="510"/>
      <c r="CH302" s="174"/>
      <c r="CI302" s="174"/>
      <c r="CJ302" s="174"/>
      <c r="CK302" s="174"/>
      <c r="CL302" s="174"/>
      <c r="CM302" s="510"/>
      <c r="CN302" s="174"/>
      <c r="CO302" s="549"/>
      <c r="CP302" s="510"/>
      <c r="CQ302" s="200"/>
      <c r="CR302" s="550"/>
      <c r="CS302" s="510"/>
      <c r="CT302" s="390"/>
      <c r="CU302" s="331"/>
      <c r="CV302" s="428"/>
      <c r="CW302" s="155"/>
      <c r="CX302" s="155"/>
      <c r="CY302" s="267"/>
      <c r="CZ302" s="323"/>
      <c r="DA302" s="323"/>
      <c r="DB302" s="423"/>
      <c r="DC302" s="155"/>
      <c r="DD302" s="155"/>
      <c r="DE302" s="267"/>
      <c r="DF302" s="323"/>
      <c r="DG302" s="323"/>
      <c r="DH302" s="428"/>
      <c r="DI302" s="155"/>
      <c r="DJ302" s="155"/>
      <c r="DK302" s="222"/>
      <c r="DL302" s="267"/>
      <c r="DM302" s="155"/>
      <c r="DN302" s="155"/>
      <c r="DO302" s="155"/>
      <c r="DP302" s="423"/>
      <c r="DQ302" s="155"/>
      <c r="DR302" s="155"/>
      <c r="DS302" s="222"/>
      <c r="DT302" s="267"/>
      <c r="DU302" s="174"/>
      <c r="DV302" s="174"/>
      <c r="DW302" s="200"/>
      <c r="DX302" s="428"/>
      <c r="DY302" s="155"/>
      <c r="DZ302" s="155"/>
      <c r="EA302" s="155"/>
      <c r="EB302" s="173"/>
      <c r="EC302" s="155"/>
      <c r="ED302" s="155"/>
      <c r="EE302" s="155"/>
      <c r="EF302" s="423"/>
      <c r="EG302" s="155"/>
      <c r="EH302" s="155"/>
      <c r="EI302" s="155"/>
      <c r="EJ302" s="267"/>
      <c r="EK302" s="155"/>
      <c r="EL302" s="155"/>
      <c r="EM302" s="155"/>
      <c r="EN302" s="428"/>
    </row>
    <row r="303" spans="1:144">
      <c r="A303" s="360"/>
      <c r="B303" s="172"/>
      <c r="C303" s="360"/>
      <c r="D303" s="172"/>
      <c r="E303" s="408"/>
      <c r="F303" s="408"/>
      <c r="G303" s="509"/>
      <c r="H303" s="546"/>
      <c r="I303" s="546"/>
      <c r="J303" s="251"/>
      <c r="K303" s="251"/>
      <c r="L303" s="509"/>
      <c r="M303" s="509"/>
      <c r="N303" s="509"/>
      <c r="O303" s="547"/>
      <c r="P303" s="200"/>
      <c r="Q303" s="174"/>
      <c r="R303" s="390"/>
      <c r="S303" s="510"/>
      <c r="T303" s="200"/>
      <c r="U303" s="174"/>
      <c r="V303" s="174"/>
      <c r="W303" s="510"/>
      <c r="X303" s="174"/>
      <c r="Y303" s="174"/>
      <c r="Z303" s="174"/>
      <c r="AA303" s="510"/>
      <c r="AB303" s="200"/>
      <c r="AC303" s="174"/>
      <c r="AD303" s="390"/>
      <c r="AE303" s="510"/>
      <c r="AF303" s="200"/>
      <c r="AG303" s="174"/>
      <c r="AH303" s="174"/>
      <c r="AI303" s="200"/>
      <c r="AJ303" s="548"/>
      <c r="AK303" s="200"/>
      <c r="AL303" s="174"/>
      <c r="AM303" s="390"/>
      <c r="AN303" s="510"/>
      <c r="AO303" s="200"/>
      <c r="AP303" s="174"/>
      <c r="AQ303" s="510"/>
      <c r="AR303" s="200"/>
      <c r="AS303" s="174"/>
      <c r="AT303" s="510"/>
      <c r="AU303" s="200"/>
      <c r="AV303" s="174"/>
      <c r="AW303" s="510"/>
      <c r="AX303" s="200"/>
      <c r="AY303" s="174"/>
      <c r="AZ303" s="510"/>
      <c r="BA303" s="174"/>
      <c r="BB303" s="174"/>
      <c r="BC303" s="174"/>
      <c r="BD303" s="174"/>
      <c r="BE303" s="174"/>
      <c r="BF303" s="510"/>
      <c r="BG303" s="174"/>
      <c r="BH303" s="174"/>
      <c r="BI303" s="174"/>
      <c r="BJ303" s="200"/>
      <c r="BK303" s="174"/>
      <c r="BL303" s="510"/>
      <c r="BM303" s="174"/>
      <c r="BN303" s="174"/>
      <c r="BO303" s="510"/>
      <c r="BP303" s="200"/>
      <c r="BQ303" s="447"/>
      <c r="BR303" s="510"/>
      <c r="BS303" s="174"/>
      <c r="BT303" s="174"/>
      <c r="BU303" s="510"/>
      <c r="BV303" s="200"/>
      <c r="BW303" s="174"/>
      <c r="BX303" s="510"/>
      <c r="BY303" s="174"/>
      <c r="BZ303" s="174"/>
      <c r="CA303" s="510"/>
      <c r="CB303" s="200"/>
      <c r="CC303" s="174"/>
      <c r="CD303" s="510"/>
      <c r="CE303" s="174"/>
      <c r="CF303" s="174"/>
      <c r="CG303" s="510"/>
      <c r="CH303" s="174"/>
      <c r="CI303" s="174"/>
      <c r="CJ303" s="174"/>
      <c r="CK303" s="174"/>
      <c r="CL303" s="174"/>
      <c r="CM303" s="510"/>
      <c r="CN303" s="174"/>
      <c r="CO303" s="549"/>
      <c r="CP303" s="510"/>
      <c r="CQ303" s="200"/>
      <c r="CR303" s="550"/>
      <c r="CS303" s="510"/>
      <c r="CT303" s="390"/>
      <c r="CU303" s="331"/>
      <c r="CV303" s="428"/>
      <c r="CW303" s="155"/>
      <c r="CX303" s="155"/>
      <c r="CY303" s="267"/>
      <c r="CZ303" s="323"/>
      <c r="DA303" s="323"/>
      <c r="DB303" s="423"/>
      <c r="DC303" s="155"/>
      <c r="DD303" s="155"/>
      <c r="DE303" s="267"/>
      <c r="DF303" s="323"/>
      <c r="DG303" s="323"/>
      <c r="DH303" s="428"/>
      <c r="DI303" s="155"/>
      <c r="DJ303" s="155"/>
      <c r="DK303" s="222"/>
      <c r="DL303" s="267"/>
      <c r="DM303" s="155"/>
      <c r="DN303" s="155"/>
      <c r="DO303" s="155"/>
      <c r="DP303" s="423"/>
      <c r="DQ303" s="155"/>
      <c r="DR303" s="155"/>
      <c r="DS303" s="222"/>
      <c r="DT303" s="267"/>
      <c r="DU303" s="174"/>
      <c r="DV303" s="174"/>
      <c r="DW303" s="200"/>
      <c r="DX303" s="428"/>
      <c r="DY303" s="155"/>
      <c r="DZ303" s="155"/>
      <c r="EA303" s="155"/>
      <c r="EB303" s="173"/>
      <c r="EC303" s="155"/>
      <c r="ED303" s="155"/>
      <c r="EE303" s="155"/>
      <c r="EF303" s="423"/>
      <c r="EG303" s="155"/>
      <c r="EH303" s="155"/>
      <c r="EI303" s="155"/>
      <c r="EJ303" s="267"/>
      <c r="EK303" s="155"/>
      <c r="EL303" s="155"/>
      <c r="EM303" s="155"/>
      <c r="EN303" s="428"/>
    </row>
    <row r="304" spans="1:144">
      <c r="A304" s="360"/>
      <c r="B304" s="172"/>
      <c r="C304" s="360"/>
      <c r="D304" s="172"/>
      <c r="E304" s="408"/>
      <c r="F304" s="408"/>
      <c r="G304" s="509"/>
      <c r="H304" s="546"/>
      <c r="I304" s="546"/>
      <c r="J304" s="251"/>
      <c r="K304" s="251"/>
      <c r="L304" s="509"/>
      <c r="M304" s="509"/>
      <c r="N304" s="509"/>
      <c r="O304" s="547"/>
      <c r="P304" s="200"/>
      <c r="Q304" s="174"/>
      <c r="R304" s="390"/>
      <c r="S304" s="510"/>
      <c r="T304" s="200"/>
      <c r="U304" s="174"/>
      <c r="V304" s="174"/>
      <c r="W304" s="510"/>
      <c r="X304" s="174"/>
      <c r="Y304" s="174"/>
      <c r="Z304" s="174"/>
      <c r="AA304" s="510"/>
      <c r="AB304" s="200"/>
      <c r="AC304" s="174"/>
      <c r="AD304" s="390"/>
      <c r="AE304" s="510"/>
      <c r="AF304" s="200"/>
      <c r="AG304" s="174"/>
      <c r="AH304" s="174"/>
      <c r="AI304" s="200"/>
      <c r="AJ304" s="548"/>
      <c r="AK304" s="200"/>
      <c r="AL304" s="174"/>
      <c r="AM304" s="390"/>
      <c r="AN304" s="510"/>
      <c r="AO304" s="200"/>
      <c r="AP304" s="174"/>
      <c r="AQ304" s="510"/>
      <c r="AR304" s="200"/>
      <c r="AS304" s="174"/>
      <c r="AT304" s="510"/>
      <c r="AU304" s="200"/>
      <c r="AV304" s="174"/>
      <c r="AW304" s="510"/>
      <c r="AX304" s="200"/>
      <c r="AY304" s="174"/>
      <c r="AZ304" s="510"/>
      <c r="BA304" s="174"/>
      <c r="BB304" s="174"/>
      <c r="BC304" s="174"/>
      <c r="BD304" s="174"/>
      <c r="BE304" s="174"/>
      <c r="BF304" s="510"/>
      <c r="BG304" s="174"/>
      <c r="BH304" s="174"/>
      <c r="BI304" s="174"/>
      <c r="BJ304" s="200"/>
      <c r="BK304" s="174"/>
      <c r="BL304" s="510"/>
      <c r="BM304" s="174"/>
      <c r="BN304" s="174"/>
      <c r="BO304" s="510"/>
      <c r="BP304" s="200"/>
      <c r="BQ304" s="447"/>
      <c r="BR304" s="510"/>
      <c r="BS304" s="174"/>
      <c r="BT304" s="174"/>
      <c r="BU304" s="510"/>
      <c r="BV304" s="200"/>
      <c r="BW304" s="174"/>
      <c r="BX304" s="510"/>
      <c r="BY304" s="174"/>
      <c r="BZ304" s="174"/>
      <c r="CA304" s="510"/>
      <c r="CB304" s="200"/>
      <c r="CC304" s="174"/>
      <c r="CD304" s="510"/>
      <c r="CE304" s="174"/>
      <c r="CF304" s="174"/>
      <c r="CG304" s="510"/>
      <c r="CH304" s="174"/>
      <c r="CI304" s="174"/>
      <c r="CJ304" s="174"/>
      <c r="CK304" s="174"/>
      <c r="CL304" s="174"/>
      <c r="CM304" s="510"/>
      <c r="CN304" s="174"/>
      <c r="CO304" s="549"/>
      <c r="CP304" s="510"/>
      <c r="CQ304" s="200"/>
      <c r="CR304" s="550"/>
      <c r="CS304" s="510"/>
      <c r="CT304" s="390"/>
      <c r="CU304" s="331"/>
      <c r="CV304" s="428"/>
      <c r="CW304" s="155"/>
      <c r="CX304" s="155"/>
      <c r="CY304" s="267"/>
      <c r="CZ304" s="323"/>
      <c r="DA304" s="323"/>
      <c r="DB304" s="423"/>
      <c r="DC304" s="155"/>
      <c r="DD304" s="155"/>
      <c r="DE304" s="267"/>
      <c r="DF304" s="323"/>
      <c r="DG304" s="323"/>
      <c r="DH304" s="428"/>
      <c r="DI304" s="155"/>
      <c r="DJ304" s="155"/>
      <c r="DK304" s="222"/>
      <c r="DL304" s="267"/>
      <c r="DM304" s="155"/>
      <c r="DN304" s="155"/>
      <c r="DO304" s="155"/>
      <c r="DP304" s="423"/>
      <c r="DQ304" s="155"/>
      <c r="DR304" s="155"/>
      <c r="DS304" s="222"/>
      <c r="DT304" s="267"/>
      <c r="DU304" s="174"/>
      <c r="DV304" s="174"/>
      <c r="DW304" s="200"/>
      <c r="DX304" s="428"/>
      <c r="DY304" s="155"/>
      <c r="DZ304" s="155"/>
      <c r="EA304" s="155"/>
      <c r="EB304" s="173"/>
      <c r="EC304" s="155"/>
      <c r="ED304" s="155"/>
      <c r="EE304" s="155"/>
      <c r="EF304" s="423"/>
      <c r="EG304" s="155"/>
      <c r="EH304" s="155"/>
      <c r="EI304" s="155"/>
      <c r="EJ304" s="267"/>
      <c r="EK304" s="155"/>
      <c r="EL304" s="155"/>
      <c r="EM304" s="155"/>
      <c r="EN304" s="428"/>
    </row>
    <row r="305" spans="1:144">
      <c r="A305" s="360"/>
      <c r="B305" s="172"/>
      <c r="C305" s="360"/>
      <c r="D305" s="172"/>
      <c r="E305" s="408"/>
      <c r="F305" s="408"/>
      <c r="G305" s="509"/>
      <c r="H305" s="546"/>
      <c r="I305" s="546"/>
      <c r="J305" s="251"/>
      <c r="K305" s="251"/>
      <c r="L305" s="509"/>
      <c r="M305" s="509"/>
      <c r="N305" s="509"/>
      <c r="O305" s="547"/>
      <c r="P305" s="200"/>
      <c r="Q305" s="174"/>
      <c r="R305" s="390"/>
      <c r="S305" s="510"/>
      <c r="T305" s="200"/>
      <c r="U305" s="174"/>
      <c r="V305" s="174"/>
      <c r="W305" s="510"/>
      <c r="X305" s="174"/>
      <c r="Y305" s="174"/>
      <c r="Z305" s="174"/>
      <c r="AA305" s="510"/>
      <c r="AB305" s="200"/>
      <c r="AC305" s="174"/>
      <c r="AD305" s="390"/>
      <c r="AE305" s="510"/>
      <c r="AF305" s="200"/>
      <c r="AG305" s="174"/>
      <c r="AH305" s="174"/>
      <c r="AI305" s="200"/>
      <c r="AJ305" s="548"/>
      <c r="AK305" s="200"/>
      <c r="AL305" s="174"/>
      <c r="AM305" s="390"/>
      <c r="AN305" s="510"/>
      <c r="AO305" s="200"/>
      <c r="AP305" s="174"/>
      <c r="AQ305" s="510"/>
      <c r="AR305" s="200"/>
      <c r="AS305" s="174"/>
      <c r="AT305" s="510"/>
      <c r="AU305" s="200"/>
      <c r="AV305" s="174"/>
      <c r="AW305" s="510"/>
      <c r="AX305" s="200"/>
      <c r="AY305" s="174"/>
      <c r="AZ305" s="510"/>
      <c r="BA305" s="174"/>
      <c r="BB305" s="174"/>
      <c r="BC305" s="174"/>
      <c r="BD305" s="174"/>
      <c r="BE305" s="174"/>
      <c r="BF305" s="510"/>
      <c r="BG305" s="174"/>
      <c r="BH305" s="174"/>
      <c r="BI305" s="174"/>
      <c r="BJ305" s="200"/>
      <c r="BK305" s="174"/>
      <c r="BL305" s="510"/>
      <c r="BM305" s="174"/>
      <c r="BN305" s="174"/>
      <c r="BO305" s="510"/>
      <c r="BP305" s="200"/>
      <c r="BQ305" s="447"/>
      <c r="BR305" s="510"/>
      <c r="BS305" s="174"/>
      <c r="BT305" s="174"/>
      <c r="BU305" s="510"/>
      <c r="BV305" s="200"/>
      <c r="BW305" s="174"/>
      <c r="BX305" s="510"/>
      <c r="BY305" s="174"/>
      <c r="BZ305" s="174"/>
      <c r="CA305" s="510"/>
      <c r="CB305" s="200"/>
      <c r="CC305" s="174"/>
      <c r="CD305" s="510"/>
      <c r="CE305" s="174"/>
      <c r="CF305" s="174"/>
      <c r="CG305" s="510"/>
      <c r="CH305" s="174"/>
      <c r="CI305" s="174"/>
      <c r="CJ305" s="174"/>
      <c r="CK305" s="174"/>
      <c r="CL305" s="174"/>
      <c r="CM305" s="510"/>
      <c r="CN305" s="174"/>
      <c r="CO305" s="549"/>
      <c r="CP305" s="510"/>
      <c r="CQ305" s="200"/>
      <c r="CR305" s="550"/>
      <c r="CS305" s="510"/>
      <c r="CT305" s="390"/>
      <c r="CU305" s="331"/>
      <c r="CV305" s="428"/>
      <c r="CW305" s="155"/>
      <c r="CX305" s="155"/>
      <c r="CY305" s="267"/>
      <c r="CZ305" s="323"/>
      <c r="DA305" s="323"/>
      <c r="DB305" s="423"/>
      <c r="DC305" s="155"/>
      <c r="DD305" s="155"/>
      <c r="DE305" s="267"/>
      <c r="DF305" s="323"/>
      <c r="DG305" s="323"/>
      <c r="DH305" s="428"/>
      <c r="DI305" s="155"/>
      <c r="DJ305" s="155"/>
      <c r="DK305" s="222"/>
      <c r="DL305" s="267"/>
      <c r="DM305" s="155"/>
      <c r="DN305" s="155"/>
      <c r="DO305" s="155"/>
      <c r="DP305" s="423"/>
      <c r="DQ305" s="155"/>
      <c r="DR305" s="155"/>
      <c r="DS305" s="222"/>
      <c r="DT305" s="267"/>
      <c r="DU305" s="174"/>
      <c r="DV305" s="174"/>
      <c r="DW305" s="200"/>
      <c r="DX305" s="428"/>
      <c r="DY305" s="155"/>
      <c r="DZ305" s="155"/>
      <c r="EA305" s="155"/>
      <c r="EB305" s="173"/>
      <c r="EC305" s="155"/>
      <c r="ED305" s="155"/>
      <c r="EE305" s="155"/>
      <c r="EF305" s="423"/>
      <c r="EG305" s="155"/>
      <c r="EH305" s="155"/>
      <c r="EI305" s="155"/>
      <c r="EJ305" s="267"/>
      <c r="EK305" s="155"/>
      <c r="EL305" s="155"/>
      <c r="EM305" s="155"/>
      <c r="EN305" s="428"/>
    </row>
    <row r="306" spans="1:144">
      <c r="A306" s="360"/>
      <c r="B306" s="172"/>
      <c r="C306" s="360"/>
      <c r="D306" s="172"/>
      <c r="E306" s="408"/>
      <c r="F306" s="408"/>
      <c r="G306" s="509"/>
      <c r="H306" s="546"/>
      <c r="I306" s="546"/>
      <c r="J306" s="251"/>
      <c r="K306" s="251"/>
      <c r="L306" s="509"/>
      <c r="M306" s="509"/>
      <c r="N306" s="509"/>
      <c r="O306" s="547"/>
      <c r="P306" s="200"/>
      <c r="Q306" s="174"/>
      <c r="R306" s="390"/>
      <c r="S306" s="510"/>
      <c r="T306" s="200"/>
      <c r="U306" s="174"/>
      <c r="V306" s="174"/>
      <c r="W306" s="510"/>
      <c r="X306" s="174"/>
      <c r="Y306" s="174"/>
      <c r="Z306" s="174"/>
      <c r="AA306" s="510"/>
      <c r="AB306" s="200"/>
      <c r="AC306" s="174"/>
      <c r="AD306" s="390"/>
      <c r="AE306" s="510"/>
      <c r="AF306" s="200"/>
      <c r="AG306" s="174"/>
      <c r="AH306" s="174"/>
      <c r="AI306" s="200"/>
      <c r="AJ306" s="548"/>
      <c r="AK306" s="200"/>
      <c r="AL306" s="174"/>
      <c r="AM306" s="390"/>
      <c r="AN306" s="510"/>
      <c r="AO306" s="200"/>
      <c r="AP306" s="174"/>
      <c r="AQ306" s="510"/>
      <c r="AR306" s="200"/>
      <c r="AS306" s="174"/>
      <c r="AT306" s="510"/>
      <c r="AU306" s="200"/>
      <c r="AV306" s="174"/>
      <c r="AW306" s="510"/>
      <c r="AX306" s="200"/>
      <c r="AY306" s="174"/>
      <c r="AZ306" s="510"/>
      <c r="BA306" s="174"/>
      <c r="BB306" s="174"/>
      <c r="BC306" s="174"/>
      <c r="BD306" s="174"/>
      <c r="BE306" s="174"/>
      <c r="BF306" s="510"/>
      <c r="BG306" s="174"/>
      <c r="BH306" s="174"/>
      <c r="BI306" s="174"/>
      <c r="BJ306" s="200"/>
      <c r="BK306" s="174"/>
      <c r="BL306" s="510"/>
      <c r="BM306" s="174"/>
      <c r="BN306" s="174"/>
      <c r="BO306" s="510"/>
      <c r="BP306" s="200"/>
      <c r="BQ306" s="447"/>
      <c r="BR306" s="510"/>
      <c r="BS306" s="174"/>
      <c r="BT306" s="174"/>
      <c r="BU306" s="510"/>
      <c r="BV306" s="200"/>
      <c r="BW306" s="174"/>
      <c r="BX306" s="510"/>
      <c r="BY306" s="174"/>
      <c r="BZ306" s="174"/>
      <c r="CA306" s="510"/>
      <c r="CB306" s="200"/>
      <c r="CC306" s="174"/>
      <c r="CD306" s="510"/>
      <c r="CE306" s="174"/>
      <c r="CF306" s="174"/>
      <c r="CG306" s="510"/>
      <c r="CH306" s="174"/>
      <c r="CI306" s="174"/>
      <c r="CJ306" s="174"/>
      <c r="CK306" s="174"/>
      <c r="CL306" s="174"/>
      <c r="CM306" s="510"/>
      <c r="CN306" s="174"/>
      <c r="CO306" s="549"/>
      <c r="CP306" s="510"/>
      <c r="CQ306" s="200"/>
      <c r="CR306" s="550"/>
      <c r="CS306" s="510"/>
      <c r="CT306" s="390"/>
      <c r="CU306" s="331"/>
      <c r="CV306" s="428"/>
      <c r="CW306" s="155"/>
      <c r="CX306" s="155"/>
      <c r="CY306" s="267"/>
      <c r="CZ306" s="323"/>
      <c r="DA306" s="323"/>
      <c r="DB306" s="423"/>
      <c r="DC306" s="155"/>
      <c r="DD306" s="155"/>
      <c r="DE306" s="267"/>
      <c r="DF306" s="323"/>
      <c r="DG306" s="323"/>
      <c r="DH306" s="428"/>
      <c r="DI306" s="155"/>
      <c r="DJ306" s="155"/>
      <c r="DK306" s="222"/>
      <c r="DL306" s="267"/>
      <c r="DM306" s="155"/>
      <c r="DN306" s="155"/>
      <c r="DO306" s="155"/>
      <c r="DP306" s="423"/>
      <c r="DQ306" s="155"/>
      <c r="DR306" s="155"/>
      <c r="DS306" s="222"/>
      <c r="DT306" s="267"/>
      <c r="DU306" s="174"/>
      <c r="DV306" s="174"/>
      <c r="DW306" s="200"/>
      <c r="DX306" s="428"/>
      <c r="DY306" s="155"/>
      <c r="DZ306" s="155"/>
      <c r="EA306" s="155"/>
      <c r="EB306" s="173"/>
      <c r="EC306" s="155"/>
      <c r="ED306" s="155"/>
      <c r="EE306" s="155"/>
      <c r="EF306" s="423"/>
      <c r="EG306" s="155"/>
      <c r="EH306" s="155"/>
      <c r="EI306" s="155"/>
      <c r="EJ306" s="267"/>
      <c r="EK306" s="155"/>
      <c r="EL306" s="155"/>
      <c r="EM306" s="155"/>
      <c r="EN306" s="428"/>
    </row>
    <row r="307" spans="1:144">
      <c r="A307" s="360"/>
      <c r="B307" s="172"/>
      <c r="C307" s="360"/>
      <c r="D307" s="172"/>
      <c r="E307" s="408"/>
      <c r="F307" s="408"/>
      <c r="G307" s="509"/>
      <c r="H307" s="546"/>
      <c r="I307" s="546"/>
      <c r="J307" s="251"/>
      <c r="K307" s="251"/>
      <c r="L307" s="509"/>
      <c r="M307" s="509"/>
      <c r="N307" s="509"/>
      <c r="O307" s="547"/>
      <c r="P307" s="200"/>
      <c r="Q307" s="174"/>
      <c r="R307" s="390"/>
      <c r="S307" s="510"/>
      <c r="T307" s="200"/>
      <c r="U307" s="174"/>
      <c r="V307" s="174"/>
      <c r="W307" s="510"/>
      <c r="X307" s="174"/>
      <c r="Y307" s="174"/>
      <c r="Z307" s="174"/>
      <c r="AA307" s="510"/>
      <c r="AB307" s="200"/>
      <c r="AC307" s="174"/>
      <c r="AD307" s="390"/>
      <c r="AE307" s="510"/>
      <c r="AF307" s="200"/>
      <c r="AG307" s="174"/>
      <c r="AH307" s="174"/>
      <c r="AI307" s="200"/>
      <c r="AJ307" s="548"/>
      <c r="AK307" s="200"/>
      <c r="AL307" s="174"/>
      <c r="AM307" s="390"/>
      <c r="AN307" s="510"/>
      <c r="AO307" s="200"/>
      <c r="AP307" s="174"/>
      <c r="AQ307" s="510"/>
      <c r="AR307" s="200"/>
      <c r="AS307" s="174"/>
      <c r="AT307" s="510"/>
      <c r="AU307" s="200"/>
      <c r="AV307" s="174"/>
      <c r="AW307" s="510"/>
      <c r="AX307" s="200"/>
      <c r="AY307" s="174"/>
      <c r="AZ307" s="510"/>
      <c r="BA307" s="174"/>
      <c r="BB307" s="174"/>
      <c r="BC307" s="174"/>
      <c r="BD307" s="174"/>
      <c r="BE307" s="174"/>
      <c r="BF307" s="510"/>
      <c r="BG307" s="174"/>
      <c r="BH307" s="174"/>
      <c r="BI307" s="174"/>
      <c r="BJ307" s="200"/>
      <c r="BK307" s="174"/>
      <c r="BL307" s="510"/>
      <c r="BM307" s="174"/>
      <c r="BN307" s="174"/>
      <c r="BO307" s="510"/>
      <c r="BP307" s="200"/>
      <c r="BQ307" s="447"/>
      <c r="BR307" s="510"/>
      <c r="BS307" s="174"/>
      <c r="BT307" s="174"/>
      <c r="BU307" s="510"/>
      <c r="BV307" s="200"/>
      <c r="BW307" s="174"/>
      <c r="BX307" s="510"/>
      <c r="BY307" s="174"/>
      <c r="BZ307" s="174"/>
      <c r="CA307" s="510"/>
      <c r="CB307" s="200"/>
      <c r="CC307" s="174"/>
      <c r="CD307" s="510"/>
      <c r="CE307" s="174"/>
      <c r="CF307" s="174"/>
      <c r="CG307" s="510"/>
      <c r="CH307" s="174"/>
      <c r="CI307" s="174"/>
      <c r="CJ307" s="174"/>
      <c r="CK307" s="174"/>
      <c r="CL307" s="174"/>
      <c r="CM307" s="510"/>
      <c r="CN307" s="174"/>
      <c r="CO307" s="549"/>
      <c r="CP307" s="510"/>
      <c r="CQ307" s="200"/>
      <c r="CR307" s="550"/>
      <c r="CS307" s="510"/>
      <c r="CT307" s="390"/>
      <c r="CU307" s="331"/>
      <c r="CV307" s="428"/>
      <c r="CW307" s="155"/>
      <c r="CX307" s="155"/>
      <c r="CY307" s="267"/>
      <c r="CZ307" s="323"/>
      <c r="DA307" s="323"/>
      <c r="DB307" s="423"/>
      <c r="DC307" s="155"/>
      <c r="DD307" s="155"/>
      <c r="DE307" s="267"/>
      <c r="DF307" s="323"/>
      <c r="DG307" s="323"/>
      <c r="DH307" s="428"/>
      <c r="DI307" s="155"/>
      <c r="DJ307" s="155"/>
      <c r="DK307" s="222"/>
      <c r="DL307" s="267"/>
      <c r="DM307" s="155"/>
      <c r="DN307" s="155"/>
      <c r="DO307" s="155"/>
      <c r="DP307" s="423"/>
      <c r="DQ307" s="155"/>
      <c r="DR307" s="155"/>
      <c r="DS307" s="222"/>
      <c r="DT307" s="267"/>
      <c r="DU307" s="174"/>
      <c r="DV307" s="174"/>
      <c r="DW307" s="200"/>
      <c r="DX307" s="428"/>
      <c r="DY307" s="155"/>
      <c r="DZ307" s="155"/>
      <c r="EA307" s="155"/>
      <c r="EB307" s="173"/>
      <c r="EC307" s="155"/>
      <c r="ED307" s="155"/>
      <c r="EE307" s="155"/>
      <c r="EF307" s="423"/>
      <c r="EG307" s="155"/>
      <c r="EH307" s="155"/>
      <c r="EI307" s="155"/>
      <c r="EJ307" s="267"/>
      <c r="EK307" s="155"/>
      <c r="EL307" s="155"/>
      <c r="EM307" s="155"/>
      <c r="EN307" s="428"/>
    </row>
    <row r="308" spans="1:144">
      <c r="A308" s="360"/>
      <c r="B308" s="172"/>
      <c r="C308" s="360"/>
      <c r="D308" s="172"/>
      <c r="E308" s="408"/>
      <c r="F308" s="408"/>
      <c r="G308" s="509"/>
      <c r="H308" s="546"/>
      <c r="I308" s="546"/>
      <c r="J308" s="251"/>
      <c r="K308" s="251"/>
      <c r="L308" s="509"/>
      <c r="M308" s="509"/>
      <c r="N308" s="509"/>
      <c r="O308" s="547"/>
      <c r="P308" s="200"/>
      <c r="Q308" s="174"/>
      <c r="R308" s="390"/>
      <c r="S308" s="510"/>
      <c r="T308" s="200"/>
      <c r="U308" s="174"/>
      <c r="V308" s="174"/>
      <c r="W308" s="510"/>
      <c r="X308" s="174"/>
      <c r="Y308" s="174"/>
      <c r="Z308" s="174"/>
      <c r="AA308" s="510"/>
      <c r="AB308" s="200"/>
      <c r="AC308" s="174"/>
      <c r="AD308" s="390"/>
      <c r="AE308" s="510"/>
      <c r="AF308" s="200"/>
      <c r="AG308" s="174"/>
      <c r="AH308" s="174"/>
      <c r="AI308" s="200"/>
      <c r="AJ308" s="548"/>
      <c r="AK308" s="200"/>
      <c r="AL308" s="174"/>
      <c r="AM308" s="390"/>
      <c r="AN308" s="510"/>
      <c r="AO308" s="200"/>
      <c r="AP308" s="174"/>
      <c r="AQ308" s="510"/>
      <c r="AR308" s="200"/>
      <c r="AS308" s="174"/>
      <c r="AT308" s="510"/>
      <c r="AU308" s="200"/>
      <c r="AV308" s="174"/>
      <c r="AW308" s="510"/>
      <c r="AX308" s="200"/>
      <c r="AY308" s="174"/>
      <c r="AZ308" s="510"/>
      <c r="BA308" s="174"/>
      <c r="BB308" s="174"/>
      <c r="BC308" s="174"/>
      <c r="BD308" s="174"/>
      <c r="BE308" s="174"/>
      <c r="BF308" s="510"/>
      <c r="BG308" s="174"/>
      <c r="BH308" s="174"/>
      <c r="BI308" s="174"/>
      <c r="BJ308" s="200"/>
      <c r="BK308" s="174"/>
      <c r="BL308" s="510"/>
      <c r="BM308" s="174"/>
      <c r="BN308" s="174"/>
      <c r="BO308" s="510"/>
      <c r="BP308" s="200"/>
      <c r="BQ308" s="447"/>
      <c r="BR308" s="510"/>
      <c r="BS308" s="174"/>
      <c r="BT308" s="174"/>
      <c r="BU308" s="510"/>
      <c r="BV308" s="200"/>
      <c r="BW308" s="174"/>
      <c r="BX308" s="510"/>
      <c r="BY308" s="174"/>
      <c r="BZ308" s="174"/>
      <c r="CA308" s="510"/>
      <c r="CB308" s="200"/>
      <c r="CC308" s="174"/>
      <c r="CD308" s="510"/>
      <c r="CE308" s="174"/>
      <c r="CF308" s="174"/>
      <c r="CG308" s="510"/>
      <c r="CH308" s="174"/>
      <c r="CI308" s="174"/>
      <c r="CJ308" s="174"/>
      <c r="CK308" s="174"/>
      <c r="CL308" s="174"/>
      <c r="CM308" s="510"/>
      <c r="CN308" s="174"/>
      <c r="CO308" s="549"/>
      <c r="CP308" s="510"/>
      <c r="CQ308" s="200"/>
      <c r="CR308" s="550"/>
      <c r="CS308" s="510"/>
      <c r="CT308" s="390"/>
      <c r="CU308" s="331"/>
      <c r="CV308" s="428"/>
      <c r="CW308" s="155"/>
      <c r="CX308" s="155"/>
      <c r="CY308" s="267"/>
      <c r="CZ308" s="323"/>
      <c r="DA308" s="323"/>
      <c r="DB308" s="423"/>
      <c r="DC308" s="155"/>
      <c r="DD308" s="155"/>
      <c r="DE308" s="267"/>
      <c r="DF308" s="323"/>
      <c r="DG308" s="323"/>
      <c r="DH308" s="428"/>
      <c r="DI308" s="155"/>
      <c r="DJ308" s="155"/>
      <c r="DK308" s="222"/>
      <c r="DL308" s="267"/>
      <c r="DM308" s="155"/>
      <c r="DN308" s="155"/>
      <c r="DO308" s="155"/>
      <c r="DP308" s="423"/>
      <c r="DQ308" s="155"/>
      <c r="DR308" s="155"/>
      <c r="DS308" s="222"/>
      <c r="DT308" s="267"/>
      <c r="DU308" s="174"/>
      <c r="DV308" s="174"/>
      <c r="DW308" s="200"/>
      <c r="DX308" s="428"/>
      <c r="DY308" s="155"/>
      <c r="DZ308" s="155"/>
      <c r="EA308" s="155"/>
      <c r="EB308" s="173"/>
      <c r="EC308" s="155"/>
      <c r="ED308" s="155"/>
      <c r="EE308" s="155"/>
      <c r="EF308" s="423"/>
      <c r="EG308" s="155"/>
      <c r="EH308" s="155"/>
      <c r="EI308" s="155"/>
      <c r="EJ308" s="267"/>
      <c r="EK308" s="155"/>
      <c r="EL308" s="155"/>
      <c r="EM308" s="155"/>
      <c r="EN308" s="428"/>
    </row>
    <row r="309" spans="1:144">
      <c r="A309" s="360"/>
      <c r="B309" s="172"/>
      <c r="C309" s="360"/>
      <c r="D309" s="172"/>
      <c r="E309" s="408"/>
      <c r="F309" s="408"/>
      <c r="G309" s="509"/>
      <c r="H309" s="546"/>
      <c r="I309" s="546"/>
      <c r="J309" s="251"/>
      <c r="K309" s="251"/>
      <c r="L309" s="509"/>
      <c r="M309" s="509"/>
      <c r="N309" s="509"/>
      <c r="O309" s="547"/>
      <c r="P309" s="200"/>
      <c r="Q309" s="174"/>
      <c r="R309" s="390"/>
      <c r="S309" s="510"/>
      <c r="T309" s="200"/>
      <c r="U309" s="174"/>
      <c r="V309" s="174"/>
      <c r="W309" s="510"/>
      <c r="X309" s="174"/>
      <c r="Y309" s="174"/>
      <c r="Z309" s="174"/>
      <c r="AA309" s="510"/>
      <c r="AB309" s="200"/>
      <c r="AC309" s="174"/>
      <c r="AD309" s="390"/>
      <c r="AE309" s="510"/>
      <c r="AF309" s="200"/>
      <c r="AG309" s="174"/>
      <c r="AH309" s="174"/>
      <c r="AI309" s="200"/>
      <c r="AJ309" s="548"/>
      <c r="AK309" s="200"/>
      <c r="AL309" s="174"/>
      <c r="AM309" s="390"/>
      <c r="AN309" s="510"/>
      <c r="AO309" s="200"/>
      <c r="AP309" s="174"/>
      <c r="AQ309" s="510"/>
      <c r="AR309" s="200"/>
      <c r="AS309" s="174"/>
      <c r="AT309" s="510"/>
      <c r="AU309" s="200"/>
      <c r="AV309" s="174"/>
      <c r="AW309" s="510"/>
      <c r="AX309" s="200"/>
      <c r="AY309" s="174"/>
      <c r="AZ309" s="510"/>
      <c r="BA309" s="174"/>
      <c r="BB309" s="174"/>
      <c r="BC309" s="174"/>
      <c r="BD309" s="174"/>
      <c r="BE309" s="174"/>
      <c r="BF309" s="510"/>
      <c r="BG309" s="174"/>
      <c r="BH309" s="174"/>
      <c r="BI309" s="174"/>
      <c r="BJ309" s="200"/>
      <c r="BK309" s="174"/>
      <c r="BL309" s="510"/>
      <c r="BM309" s="174"/>
      <c r="BN309" s="174"/>
      <c r="BO309" s="510"/>
      <c r="BP309" s="200"/>
      <c r="BQ309" s="447"/>
      <c r="BR309" s="510"/>
      <c r="BS309" s="174"/>
      <c r="BT309" s="174"/>
      <c r="BU309" s="510"/>
      <c r="BV309" s="200"/>
      <c r="BW309" s="174"/>
      <c r="BX309" s="510"/>
      <c r="BY309" s="174"/>
      <c r="BZ309" s="174"/>
      <c r="CA309" s="510"/>
      <c r="CB309" s="200"/>
      <c r="CC309" s="174"/>
      <c r="CD309" s="510"/>
      <c r="CE309" s="174"/>
      <c r="CF309" s="174"/>
      <c r="CG309" s="510"/>
      <c r="CH309" s="174"/>
      <c r="CI309" s="174"/>
      <c r="CJ309" s="174"/>
      <c r="CK309" s="174"/>
      <c r="CL309" s="174"/>
      <c r="CM309" s="510"/>
      <c r="CN309" s="174"/>
      <c r="CO309" s="549"/>
      <c r="CP309" s="510"/>
      <c r="CQ309" s="200"/>
      <c r="CR309" s="550"/>
      <c r="CS309" s="510"/>
      <c r="CT309" s="390"/>
      <c r="CU309" s="331"/>
      <c r="CV309" s="428"/>
      <c r="CW309" s="155"/>
      <c r="CX309" s="155"/>
      <c r="CY309" s="267"/>
      <c r="CZ309" s="323"/>
      <c r="DA309" s="323"/>
      <c r="DB309" s="423"/>
      <c r="DC309" s="155"/>
      <c r="DD309" s="155"/>
      <c r="DE309" s="267"/>
      <c r="DF309" s="323"/>
      <c r="DG309" s="323"/>
      <c r="DH309" s="428"/>
      <c r="DI309" s="155"/>
      <c r="DJ309" s="155"/>
      <c r="DK309" s="222"/>
      <c r="DL309" s="267"/>
      <c r="DM309" s="155"/>
      <c r="DN309" s="155"/>
      <c r="DO309" s="155"/>
      <c r="DP309" s="423"/>
      <c r="DQ309" s="155"/>
      <c r="DR309" s="155"/>
      <c r="DS309" s="222"/>
      <c r="DT309" s="267"/>
      <c r="DU309" s="174"/>
      <c r="DV309" s="174"/>
      <c r="DW309" s="200"/>
      <c r="DX309" s="428"/>
      <c r="DY309" s="155"/>
      <c r="DZ309" s="155"/>
      <c r="EA309" s="155"/>
      <c r="EB309" s="173"/>
      <c r="EC309" s="155"/>
      <c r="ED309" s="155"/>
      <c r="EE309" s="155"/>
      <c r="EF309" s="423"/>
      <c r="EG309" s="155"/>
      <c r="EH309" s="155"/>
      <c r="EI309" s="155"/>
      <c r="EJ309" s="267"/>
      <c r="EK309" s="155"/>
      <c r="EL309" s="155"/>
      <c r="EM309" s="155"/>
      <c r="EN309" s="428"/>
    </row>
    <row r="310" spans="1:144">
      <c r="A310" s="360"/>
      <c r="B310" s="172"/>
      <c r="C310" s="360"/>
      <c r="D310" s="172"/>
      <c r="E310" s="408"/>
      <c r="F310" s="408"/>
      <c r="G310" s="509"/>
      <c r="H310" s="546"/>
      <c r="I310" s="546"/>
      <c r="J310" s="251"/>
      <c r="K310" s="251"/>
      <c r="L310" s="509"/>
      <c r="M310" s="509"/>
      <c r="N310" s="509"/>
      <c r="O310" s="547"/>
      <c r="P310" s="200"/>
      <c r="Q310" s="174"/>
      <c r="R310" s="390"/>
      <c r="S310" s="510"/>
      <c r="T310" s="200"/>
      <c r="U310" s="174"/>
      <c r="V310" s="174"/>
      <c r="W310" s="510"/>
      <c r="X310" s="174"/>
      <c r="Y310" s="174"/>
      <c r="Z310" s="174"/>
      <c r="AA310" s="510"/>
      <c r="AB310" s="200"/>
      <c r="AC310" s="174"/>
      <c r="AD310" s="390"/>
      <c r="AE310" s="510"/>
      <c r="AF310" s="200"/>
      <c r="AG310" s="174"/>
      <c r="AH310" s="174"/>
      <c r="AI310" s="200"/>
      <c r="AJ310" s="548"/>
      <c r="AK310" s="200"/>
      <c r="AL310" s="174"/>
      <c r="AM310" s="390"/>
      <c r="AN310" s="510"/>
      <c r="AO310" s="200"/>
      <c r="AP310" s="174"/>
      <c r="AQ310" s="510"/>
      <c r="AR310" s="200"/>
      <c r="AS310" s="174"/>
      <c r="AT310" s="510"/>
      <c r="AU310" s="200"/>
      <c r="AV310" s="174"/>
      <c r="AW310" s="510"/>
      <c r="AX310" s="200"/>
      <c r="AY310" s="174"/>
      <c r="AZ310" s="510"/>
      <c r="BA310" s="174"/>
      <c r="BB310" s="174"/>
      <c r="BC310" s="174"/>
      <c r="BD310" s="174"/>
      <c r="BE310" s="174"/>
      <c r="BF310" s="510"/>
      <c r="BG310" s="174"/>
      <c r="BH310" s="174"/>
      <c r="BI310" s="174"/>
      <c r="BJ310" s="200"/>
      <c r="BK310" s="174"/>
      <c r="BL310" s="510"/>
      <c r="BM310" s="174"/>
      <c r="BN310" s="174"/>
      <c r="BO310" s="510"/>
      <c r="BP310" s="200"/>
      <c r="BQ310" s="447"/>
      <c r="BR310" s="510"/>
      <c r="BS310" s="174"/>
      <c r="BT310" s="174"/>
      <c r="BU310" s="510"/>
      <c r="BV310" s="200"/>
      <c r="BW310" s="174"/>
      <c r="BX310" s="510"/>
      <c r="BY310" s="174"/>
      <c r="BZ310" s="174"/>
      <c r="CA310" s="510"/>
      <c r="CB310" s="200"/>
      <c r="CC310" s="174"/>
      <c r="CD310" s="510"/>
      <c r="CE310" s="174"/>
      <c r="CF310" s="174"/>
      <c r="CG310" s="510"/>
      <c r="CH310" s="174"/>
      <c r="CI310" s="174"/>
      <c r="CJ310" s="174"/>
      <c r="CK310" s="174"/>
      <c r="CL310" s="174"/>
      <c r="CM310" s="510"/>
      <c r="CN310" s="174"/>
      <c r="CO310" s="549"/>
      <c r="CP310" s="510"/>
      <c r="CQ310" s="200"/>
      <c r="CR310" s="550"/>
      <c r="CS310" s="510"/>
      <c r="CT310" s="390"/>
      <c r="CU310" s="331"/>
      <c r="CV310" s="428"/>
      <c r="CW310" s="155"/>
      <c r="CX310" s="155"/>
      <c r="CY310" s="267"/>
      <c r="CZ310" s="323"/>
      <c r="DA310" s="323"/>
      <c r="DB310" s="423"/>
      <c r="DC310" s="155"/>
      <c r="DD310" s="155"/>
      <c r="DE310" s="267"/>
      <c r="DF310" s="323"/>
      <c r="DG310" s="323"/>
      <c r="DH310" s="428"/>
      <c r="DI310" s="155"/>
      <c r="DJ310" s="155"/>
      <c r="DK310" s="222"/>
      <c r="DL310" s="267"/>
      <c r="DM310" s="155"/>
      <c r="DN310" s="155"/>
      <c r="DO310" s="155"/>
      <c r="DP310" s="423"/>
      <c r="DQ310" s="155"/>
      <c r="DR310" s="155"/>
      <c r="DS310" s="222"/>
      <c r="DT310" s="267"/>
      <c r="DU310" s="174"/>
      <c r="DV310" s="174"/>
      <c r="DW310" s="200"/>
      <c r="DX310" s="428"/>
      <c r="DY310" s="155"/>
      <c r="DZ310" s="155"/>
      <c r="EA310" s="155"/>
      <c r="EB310" s="173"/>
      <c r="EC310" s="155"/>
      <c r="ED310" s="155"/>
      <c r="EE310" s="155"/>
      <c r="EF310" s="423"/>
      <c r="EG310" s="155"/>
      <c r="EH310" s="155"/>
      <c r="EI310" s="155"/>
      <c r="EJ310" s="267"/>
      <c r="EK310" s="155"/>
      <c r="EL310" s="155"/>
      <c r="EM310" s="155"/>
      <c r="EN310" s="428"/>
    </row>
    <row r="311" spans="1:144">
      <c r="A311" s="360"/>
      <c r="B311" s="172"/>
      <c r="C311" s="360"/>
      <c r="D311" s="172"/>
      <c r="E311" s="408"/>
      <c r="F311" s="408"/>
      <c r="G311" s="509"/>
      <c r="H311" s="546"/>
      <c r="I311" s="546"/>
      <c r="J311" s="251"/>
      <c r="K311" s="251"/>
      <c r="L311" s="509"/>
      <c r="M311" s="509"/>
      <c r="N311" s="509"/>
      <c r="O311" s="547"/>
      <c r="P311" s="200"/>
      <c r="Q311" s="174"/>
      <c r="R311" s="390"/>
      <c r="S311" s="510"/>
      <c r="T311" s="200"/>
      <c r="U311" s="174"/>
      <c r="V311" s="174"/>
      <c r="W311" s="510"/>
      <c r="X311" s="174"/>
      <c r="Y311" s="174"/>
      <c r="Z311" s="174"/>
      <c r="AA311" s="510"/>
      <c r="AB311" s="200"/>
      <c r="AC311" s="174"/>
      <c r="AD311" s="390"/>
      <c r="AE311" s="510"/>
      <c r="AF311" s="200"/>
      <c r="AG311" s="174"/>
      <c r="AH311" s="174"/>
      <c r="AI311" s="200"/>
      <c r="AJ311" s="548"/>
      <c r="AK311" s="200"/>
      <c r="AL311" s="174"/>
      <c r="AM311" s="390"/>
      <c r="AN311" s="510"/>
      <c r="AO311" s="200"/>
      <c r="AP311" s="174"/>
      <c r="AQ311" s="510"/>
      <c r="AR311" s="200"/>
      <c r="AS311" s="174"/>
      <c r="AT311" s="510"/>
      <c r="AU311" s="200"/>
      <c r="AV311" s="174"/>
      <c r="AW311" s="510"/>
      <c r="AX311" s="200"/>
      <c r="AY311" s="174"/>
      <c r="AZ311" s="510"/>
      <c r="BA311" s="174"/>
      <c r="BB311" s="174"/>
      <c r="BC311" s="174"/>
      <c r="BD311" s="174"/>
      <c r="BE311" s="174"/>
      <c r="BF311" s="510"/>
      <c r="BG311" s="174"/>
      <c r="BH311" s="174"/>
      <c r="BI311" s="174"/>
      <c r="BJ311" s="200"/>
      <c r="BK311" s="174"/>
      <c r="BL311" s="510"/>
      <c r="BM311" s="174"/>
      <c r="BN311" s="174"/>
      <c r="BO311" s="510"/>
      <c r="BP311" s="200"/>
      <c r="BQ311" s="447"/>
      <c r="BR311" s="510"/>
      <c r="BS311" s="174"/>
      <c r="BT311" s="174"/>
      <c r="BU311" s="510"/>
      <c r="BV311" s="200"/>
      <c r="BW311" s="174"/>
      <c r="BX311" s="510"/>
      <c r="BY311" s="174"/>
      <c r="BZ311" s="174"/>
      <c r="CA311" s="510"/>
      <c r="CB311" s="200"/>
      <c r="CC311" s="174"/>
      <c r="CD311" s="510"/>
      <c r="CE311" s="174"/>
      <c r="CF311" s="174"/>
      <c r="CG311" s="510"/>
      <c r="CH311" s="174"/>
      <c r="CI311" s="174"/>
      <c r="CJ311" s="174"/>
      <c r="CK311" s="174"/>
      <c r="CL311" s="174"/>
      <c r="CM311" s="510"/>
      <c r="CN311" s="174"/>
      <c r="CO311" s="549"/>
      <c r="CP311" s="510"/>
      <c r="CQ311" s="200"/>
      <c r="CR311" s="550"/>
      <c r="CS311" s="510"/>
      <c r="CT311" s="390"/>
      <c r="CU311" s="331"/>
      <c r="CV311" s="428"/>
      <c r="CW311" s="155"/>
      <c r="CX311" s="155"/>
      <c r="CY311" s="267"/>
      <c r="CZ311" s="323"/>
      <c r="DA311" s="323"/>
      <c r="DB311" s="423"/>
      <c r="DC311" s="155"/>
      <c r="DD311" s="155"/>
      <c r="DE311" s="267"/>
      <c r="DF311" s="323"/>
      <c r="DG311" s="323"/>
      <c r="DH311" s="428"/>
      <c r="DI311" s="155"/>
      <c r="DJ311" s="155"/>
      <c r="DK311" s="222"/>
      <c r="DL311" s="267"/>
      <c r="DM311" s="155"/>
      <c r="DN311" s="155"/>
      <c r="DO311" s="155"/>
      <c r="DP311" s="423"/>
      <c r="DQ311" s="155"/>
      <c r="DR311" s="155"/>
      <c r="DS311" s="222"/>
      <c r="DT311" s="267"/>
      <c r="DU311" s="174"/>
      <c r="DV311" s="174"/>
      <c r="DW311" s="200"/>
      <c r="DX311" s="428"/>
      <c r="DY311" s="155"/>
      <c r="DZ311" s="155"/>
      <c r="EA311" s="155"/>
      <c r="EB311" s="173"/>
      <c r="EC311" s="155"/>
      <c r="ED311" s="155"/>
      <c r="EE311" s="155"/>
      <c r="EF311" s="423"/>
      <c r="EG311" s="155"/>
      <c r="EH311" s="155"/>
      <c r="EI311" s="155"/>
      <c r="EJ311" s="267"/>
      <c r="EK311" s="155"/>
      <c r="EL311" s="155"/>
      <c r="EM311" s="155"/>
      <c r="EN311" s="428"/>
    </row>
    <row r="312" spans="1:144">
      <c r="A312" s="360"/>
      <c r="B312" s="172"/>
      <c r="C312" s="360"/>
      <c r="D312" s="172"/>
      <c r="E312" s="408"/>
      <c r="F312" s="408"/>
      <c r="G312" s="509"/>
      <c r="H312" s="546"/>
      <c r="I312" s="546"/>
      <c r="J312" s="251"/>
      <c r="K312" s="251"/>
      <c r="L312" s="509"/>
      <c r="M312" s="509"/>
      <c r="N312" s="509"/>
      <c r="O312" s="547"/>
      <c r="P312" s="200"/>
      <c r="Q312" s="174"/>
      <c r="R312" s="390"/>
      <c r="S312" s="510"/>
      <c r="T312" s="200"/>
      <c r="U312" s="174"/>
      <c r="V312" s="174"/>
      <c r="W312" s="510"/>
      <c r="X312" s="174"/>
      <c r="Y312" s="174"/>
      <c r="Z312" s="174"/>
      <c r="AA312" s="510"/>
      <c r="AB312" s="200"/>
      <c r="AC312" s="174"/>
      <c r="AD312" s="390"/>
      <c r="AE312" s="510"/>
      <c r="AF312" s="200"/>
      <c r="AG312" s="174"/>
      <c r="AH312" s="174"/>
      <c r="AI312" s="200"/>
      <c r="AJ312" s="548"/>
      <c r="AK312" s="200"/>
      <c r="AL312" s="174"/>
      <c r="AM312" s="390"/>
      <c r="AN312" s="510"/>
      <c r="AO312" s="200"/>
      <c r="AP312" s="174"/>
      <c r="AQ312" s="510"/>
      <c r="AR312" s="200"/>
      <c r="AS312" s="174"/>
      <c r="AT312" s="510"/>
      <c r="AU312" s="200"/>
      <c r="AV312" s="174"/>
      <c r="AW312" s="510"/>
      <c r="AX312" s="200"/>
      <c r="AY312" s="174"/>
      <c r="AZ312" s="510"/>
      <c r="BA312" s="174"/>
      <c r="BB312" s="174"/>
      <c r="BC312" s="174"/>
      <c r="BD312" s="174"/>
      <c r="BE312" s="174"/>
      <c r="BF312" s="510"/>
      <c r="BG312" s="174"/>
      <c r="BH312" s="174"/>
      <c r="BI312" s="174"/>
      <c r="BJ312" s="200"/>
      <c r="BK312" s="174"/>
      <c r="BL312" s="510"/>
      <c r="BM312" s="174"/>
      <c r="BN312" s="174"/>
      <c r="BO312" s="510"/>
      <c r="BP312" s="200"/>
      <c r="BQ312" s="447"/>
      <c r="BR312" s="510"/>
      <c r="BS312" s="174"/>
      <c r="BT312" s="174"/>
      <c r="BU312" s="510"/>
      <c r="BV312" s="200"/>
      <c r="BW312" s="174"/>
      <c r="BX312" s="510"/>
      <c r="BY312" s="174"/>
      <c r="BZ312" s="174"/>
      <c r="CA312" s="510"/>
      <c r="CB312" s="200"/>
      <c r="CC312" s="174"/>
      <c r="CD312" s="510"/>
      <c r="CE312" s="174"/>
      <c r="CF312" s="174"/>
      <c r="CG312" s="510"/>
      <c r="CH312" s="174"/>
      <c r="CI312" s="174"/>
      <c r="CJ312" s="174"/>
      <c r="CK312" s="174"/>
      <c r="CL312" s="174"/>
      <c r="CM312" s="510"/>
      <c r="CN312" s="174"/>
      <c r="CO312" s="549"/>
      <c r="CP312" s="510"/>
      <c r="CQ312" s="200"/>
      <c r="CR312" s="550"/>
      <c r="CS312" s="510"/>
      <c r="CT312" s="390"/>
      <c r="CU312" s="331"/>
      <c r="CV312" s="428"/>
      <c r="CW312" s="155"/>
      <c r="CX312" s="155"/>
      <c r="CY312" s="267"/>
      <c r="CZ312" s="323"/>
      <c r="DA312" s="323"/>
      <c r="DB312" s="423"/>
      <c r="DC312" s="155"/>
      <c r="DD312" s="155"/>
      <c r="DE312" s="267"/>
      <c r="DF312" s="323"/>
      <c r="DG312" s="323"/>
      <c r="DH312" s="428"/>
      <c r="DI312" s="155"/>
      <c r="DJ312" s="155"/>
      <c r="DK312" s="222"/>
      <c r="DL312" s="267"/>
      <c r="DM312" s="155"/>
      <c r="DN312" s="155"/>
      <c r="DO312" s="155"/>
      <c r="DP312" s="423"/>
      <c r="DQ312" s="155"/>
      <c r="DR312" s="155"/>
      <c r="DS312" s="222"/>
      <c r="DT312" s="267"/>
      <c r="DU312" s="174"/>
      <c r="DV312" s="174"/>
      <c r="DW312" s="200"/>
      <c r="DX312" s="428"/>
      <c r="DY312" s="155"/>
      <c r="DZ312" s="155"/>
      <c r="EA312" s="155"/>
      <c r="EB312" s="173"/>
      <c r="EC312" s="155"/>
      <c r="ED312" s="155"/>
      <c r="EE312" s="155"/>
      <c r="EF312" s="423"/>
      <c r="EG312" s="155"/>
      <c r="EH312" s="155"/>
      <c r="EI312" s="155"/>
      <c r="EJ312" s="267"/>
      <c r="EK312" s="155"/>
      <c r="EL312" s="155"/>
      <c r="EM312" s="155"/>
      <c r="EN312" s="428"/>
    </row>
    <row r="313" spans="1:144">
      <c r="A313" s="360"/>
      <c r="B313" s="172"/>
      <c r="C313" s="360"/>
      <c r="D313" s="172"/>
      <c r="E313" s="408"/>
      <c r="F313" s="408"/>
      <c r="G313" s="509"/>
      <c r="H313" s="546"/>
      <c r="I313" s="546"/>
      <c r="J313" s="251"/>
      <c r="K313" s="251"/>
      <c r="L313" s="509"/>
      <c r="M313" s="509"/>
      <c r="N313" s="509"/>
      <c r="O313" s="547"/>
      <c r="P313" s="200"/>
      <c r="Q313" s="174"/>
      <c r="R313" s="390"/>
      <c r="S313" s="510"/>
      <c r="T313" s="200"/>
      <c r="U313" s="174"/>
      <c r="V313" s="174"/>
      <c r="W313" s="510"/>
      <c r="X313" s="174"/>
      <c r="Y313" s="174"/>
      <c r="Z313" s="174"/>
      <c r="AA313" s="510"/>
      <c r="AB313" s="200"/>
      <c r="AC313" s="174"/>
      <c r="AD313" s="390"/>
      <c r="AE313" s="510"/>
      <c r="AF313" s="200"/>
      <c r="AG313" s="174"/>
      <c r="AH313" s="174"/>
      <c r="AI313" s="200"/>
      <c r="AJ313" s="548"/>
      <c r="AK313" s="200"/>
      <c r="AL313" s="174"/>
      <c r="AM313" s="390"/>
      <c r="AN313" s="510"/>
      <c r="AO313" s="200"/>
      <c r="AP313" s="174"/>
      <c r="AQ313" s="510"/>
      <c r="AR313" s="200"/>
      <c r="AS313" s="174"/>
      <c r="AT313" s="510"/>
      <c r="AU313" s="200"/>
      <c r="AV313" s="174"/>
      <c r="AW313" s="510"/>
      <c r="AX313" s="200"/>
      <c r="AY313" s="174"/>
      <c r="AZ313" s="510"/>
      <c r="BA313" s="174"/>
      <c r="BB313" s="174"/>
      <c r="BC313" s="174"/>
      <c r="BD313" s="174"/>
      <c r="BE313" s="174"/>
      <c r="BF313" s="510"/>
      <c r="BG313" s="174"/>
      <c r="BH313" s="174"/>
      <c r="BI313" s="174"/>
      <c r="BJ313" s="200"/>
      <c r="BK313" s="174"/>
      <c r="BL313" s="510"/>
      <c r="BM313" s="174"/>
      <c r="BN313" s="174"/>
      <c r="BO313" s="510"/>
      <c r="BP313" s="200"/>
      <c r="BQ313" s="447"/>
      <c r="BR313" s="510"/>
      <c r="BS313" s="174"/>
      <c r="BT313" s="174"/>
      <c r="BU313" s="510"/>
      <c r="BV313" s="200"/>
      <c r="BW313" s="174"/>
      <c r="BX313" s="510"/>
      <c r="BY313" s="174"/>
      <c r="BZ313" s="174"/>
      <c r="CA313" s="510"/>
      <c r="CB313" s="200"/>
      <c r="CC313" s="174"/>
      <c r="CD313" s="510"/>
      <c r="CE313" s="174"/>
      <c r="CF313" s="174"/>
      <c r="CG313" s="510"/>
      <c r="CH313" s="174"/>
      <c r="CI313" s="174"/>
      <c r="CJ313" s="174"/>
      <c r="CK313" s="174"/>
      <c r="CL313" s="174"/>
      <c r="CM313" s="510"/>
      <c r="CN313" s="174"/>
      <c r="CO313" s="549"/>
      <c r="CP313" s="510"/>
      <c r="CQ313" s="200"/>
      <c r="CR313" s="550"/>
      <c r="CS313" s="510"/>
      <c r="CT313" s="390"/>
      <c r="CU313" s="331"/>
      <c r="CV313" s="428"/>
      <c r="CW313" s="155"/>
      <c r="CX313" s="155"/>
      <c r="CY313" s="267"/>
      <c r="CZ313" s="323"/>
      <c r="DA313" s="323"/>
      <c r="DB313" s="423"/>
      <c r="DC313" s="155"/>
      <c r="DD313" s="155"/>
      <c r="DE313" s="267"/>
      <c r="DF313" s="323"/>
      <c r="DG313" s="323"/>
      <c r="DH313" s="428"/>
      <c r="DI313" s="155"/>
      <c r="DJ313" s="155"/>
      <c r="DK313" s="222"/>
      <c r="DL313" s="267"/>
      <c r="DM313" s="155"/>
      <c r="DN313" s="155"/>
      <c r="DO313" s="155"/>
      <c r="DP313" s="423"/>
      <c r="DQ313" s="155"/>
      <c r="DR313" s="155"/>
      <c r="DS313" s="222"/>
      <c r="DT313" s="267"/>
      <c r="DU313" s="174"/>
      <c r="DV313" s="174"/>
      <c r="DW313" s="200"/>
      <c r="DX313" s="428"/>
      <c r="DY313" s="155"/>
      <c r="DZ313" s="155"/>
      <c r="EA313" s="155"/>
      <c r="EB313" s="173"/>
      <c r="EC313" s="155"/>
      <c r="ED313" s="155"/>
      <c r="EE313" s="155"/>
      <c r="EF313" s="423"/>
      <c r="EG313" s="155"/>
      <c r="EH313" s="155"/>
      <c r="EI313" s="155"/>
      <c r="EJ313" s="267"/>
      <c r="EK313" s="155"/>
      <c r="EL313" s="155"/>
      <c r="EM313" s="155"/>
      <c r="EN313" s="428"/>
    </row>
    <row r="314" spans="1:144">
      <c r="A314" s="360"/>
      <c r="B314" s="172"/>
      <c r="C314" s="360"/>
      <c r="D314" s="172"/>
      <c r="E314" s="408"/>
      <c r="F314" s="408"/>
      <c r="G314" s="509"/>
      <c r="H314" s="546"/>
      <c r="I314" s="546"/>
      <c r="J314" s="251"/>
      <c r="K314" s="251"/>
      <c r="L314" s="509"/>
      <c r="M314" s="509"/>
      <c r="N314" s="509"/>
      <c r="O314" s="547"/>
      <c r="P314" s="200"/>
      <c r="Q314" s="174"/>
      <c r="R314" s="390"/>
      <c r="S314" s="510"/>
      <c r="T314" s="200"/>
      <c r="U314" s="174"/>
      <c r="V314" s="174"/>
      <c r="W314" s="510"/>
      <c r="X314" s="174"/>
      <c r="Y314" s="174"/>
      <c r="Z314" s="174"/>
      <c r="AA314" s="510"/>
      <c r="AB314" s="200"/>
      <c r="AC314" s="174"/>
      <c r="AD314" s="390"/>
      <c r="AE314" s="510"/>
      <c r="AF314" s="200"/>
      <c r="AG314" s="174"/>
      <c r="AH314" s="174"/>
      <c r="AI314" s="200"/>
      <c r="AJ314" s="548"/>
      <c r="AK314" s="200"/>
      <c r="AL314" s="174"/>
      <c r="AM314" s="390"/>
      <c r="AN314" s="510"/>
      <c r="AO314" s="200"/>
      <c r="AP314" s="174"/>
      <c r="AQ314" s="510"/>
      <c r="AR314" s="200"/>
      <c r="AS314" s="174"/>
      <c r="AT314" s="510"/>
      <c r="AU314" s="200"/>
      <c r="AV314" s="174"/>
      <c r="AW314" s="510"/>
      <c r="AX314" s="200"/>
      <c r="AY314" s="174"/>
      <c r="AZ314" s="510"/>
      <c r="BA314" s="174"/>
      <c r="BB314" s="174"/>
      <c r="BC314" s="174"/>
      <c r="BD314" s="174"/>
      <c r="BE314" s="174"/>
      <c r="BF314" s="510"/>
      <c r="BG314" s="174"/>
      <c r="BH314" s="174"/>
      <c r="BI314" s="174"/>
      <c r="BJ314" s="200"/>
      <c r="BK314" s="174"/>
      <c r="BL314" s="510"/>
      <c r="BM314" s="174"/>
      <c r="BN314" s="174"/>
      <c r="BO314" s="510"/>
      <c r="BP314" s="200"/>
      <c r="BQ314" s="447"/>
      <c r="BR314" s="510"/>
      <c r="BS314" s="174"/>
      <c r="BT314" s="174"/>
      <c r="BU314" s="510"/>
      <c r="BV314" s="200"/>
      <c r="BW314" s="174"/>
      <c r="BX314" s="510"/>
      <c r="BY314" s="174"/>
      <c r="BZ314" s="174"/>
      <c r="CA314" s="510"/>
      <c r="CB314" s="200"/>
      <c r="CC314" s="174"/>
      <c r="CD314" s="510"/>
      <c r="CE314" s="174"/>
      <c r="CF314" s="174"/>
      <c r="CG314" s="510"/>
      <c r="CH314" s="174"/>
      <c r="CI314" s="174"/>
      <c r="CJ314" s="174"/>
      <c r="CK314" s="174"/>
      <c r="CL314" s="174"/>
      <c r="CM314" s="510"/>
      <c r="CN314" s="174"/>
      <c r="CO314" s="549"/>
      <c r="CP314" s="510"/>
      <c r="CQ314" s="200"/>
      <c r="CR314" s="550"/>
      <c r="CS314" s="510"/>
      <c r="CT314" s="390"/>
      <c r="CU314" s="331"/>
      <c r="CV314" s="428"/>
      <c r="CW314" s="155"/>
      <c r="CX314" s="155"/>
      <c r="CY314" s="267"/>
      <c r="CZ314" s="323"/>
      <c r="DA314" s="323"/>
      <c r="DB314" s="423"/>
      <c r="DC314" s="155"/>
      <c r="DD314" s="155"/>
      <c r="DE314" s="267"/>
      <c r="DF314" s="323"/>
      <c r="DG314" s="323"/>
      <c r="DH314" s="428"/>
      <c r="DI314" s="155"/>
      <c r="DJ314" s="155"/>
      <c r="DK314" s="222"/>
      <c r="DL314" s="267"/>
      <c r="DM314" s="155"/>
      <c r="DN314" s="155"/>
      <c r="DO314" s="155"/>
      <c r="DP314" s="423"/>
      <c r="DQ314" s="155"/>
      <c r="DR314" s="155"/>
      <c r="DS314" s="222"/>
      <c r="DT314" s="267"/>
      <c r="DU314" s="174"/>
      <c r="DV314" s="174"/>
      <c r="DW314" s="200"/>
      <c r="DX314" s="428"/>
      <c r="DY314" s="155"/>
      <c r="DZ314" s="155"/>
      <c r="EA314" s="155"/>
      <c r="EB314" s="173"/>
      <c r="EC314" s="155"/>
      <c r="ED314" s="155"/>
      <c r="EE314" s="155"/>
      <c r="EF314" s="423"/>
      <c r="EG314" s="155"/>
      <c r="EH314" s="155"/>
      <c r="EI314" s="155"/>
      <c r="EJ314" s="267"/>
      <c r="EK314" s="155"/>
      <c r="EL314" s="155"/>
      <c r="EM314" s="155"/>
      <c r="EN314" s="428"/>
    </row>
    <row r="315" spans="1:144">
      <c r="A315" s="360"/>
      <c r="B315" s="172"/>
      <c r="C315" s="360"/>
      <c r="D315" s="172"/>
      <c r="E315" s="408"/>
      <c r="F315" s="408"/>
      <c r="G315" s="509"/>
      <c r="H315" s="546"/>
      <c r="I315" s="546"/>
      <c r="J315" s="251"/>
      <c r="K315" s="251"/>
      <c r="L315" s="509"/>
      <c r="M315" s="509"/>
      <c r="N315" s="509"/>
      <c r="O315" s="547"/>
      <c r="P315" s="200"/>
      <c r="Q315" s="174"/>
      <c r="R315" s="390"/>
      <c r="S315" s="510"/>
      <c r="T315" s="200"/>
      <c r="U315" s="174"/>
      <c r="V315" s="174"/>
      <c r="W315" s="510"/>
      <c r="X315" s="174"/>
      <c r="Y315" s="174"/>
      <c r="Z315" s="174"/>
      <c r="AA315" s="510"/>
      <c r="AB315" s="200"/>
      <c r="AC315" s="174"/>
      <c r="AD315" s="390"/>
      <c r="AE315" s="510"/>
      <c r="AF315" s="200"/>
      <c r="AG315" s="174"/>
      <c r="AH315" s="174"/>
      <c r="AI315" s="200"/>
      <c r="AJ315" s="548"/>
      <c r="AK315" s="200"/>
      <c r="AL315" s="174"/>
      <c r="AM315" s="390"/>
      <c r="AN315" s="510"/>
      <c r="AO315" s="200"/>
      <c r="AP315" s="174"/>
      <c r="AQ315" s="510"/>
      <c r="AR315" s="200"/>
      <c r="AS315" s="174"/>
      <c r="AT315" s="510"/>
      <c r="AU315" s="200"/>
      <c r="AV315" s="174"/>
      <c r="AW315" s="510"/>
      <c r="AX315" s="200"/>
      <c r="AY315" s="174"/>
      <c r="AZ315" s="510"/>
      <c r="BA315" s="174"/>
      <c r="BB315" s="174"/>
      <c r="BC315" s="174"/>
      <c r="BD315" s="174"/>
      <c r="BE315" s="174"/>
      <c r="BF315" s="510"/>
      <c r="BG315" s="174"/>
      <c r="BH315" s="174"/>
      <c r="BI315" s="174"/>
      <c r="BJ315" s="200"/>
      <c r="BK315" s="174"/>
      <c r="BL315" s="510"/>
      <c r="BM315" s="174"/>
      <c r="BN315" s="174"/>
      <c r="BO315" s="510"/>
      <c r="BP315" s="200"/>
      <c r="BQ315" s="447"/>
      <c r="BR315" s="510"/>
      <c r="BS315" s="174"/>
      <c r="BT315" s="174"/>
      <c r="BU315" s="510"/>
      <c r="BV315" s="200"/>
      <c r="BW315" s="174"/>
      <c r="BX315" s="510"/>
      <c r="BY315" s="174"/>
      <c r="BZ315" s="174"/>
      <c r="CA315" s="510"/>
      <c r="CB315" s="200"/>
      <c r="CC315" s="174"/>
      <c r="CD315" s="510"/>
      <c r="CE315" s="174"/>
      <c r="CF315" s="174"/>
      <c r="CG315" s="510"/>
      <c r="CH315" s="174"/>
      <c r="CI315" s="174"/>
      <c r="CJ315" s="174"/>
      <c r="CK315" s="174"/>
      <c r="CL315" s="174"/>
      <c r="CM315" s="510"/>
      <c r="CN315" s="174"/>
      <c r="CO315" s="549"/>
      <c r="CP315" s="510"/>
      <c r="CQ315" s="200"/>
      <c r="CR315" s="550"/>
      <c r="CS315" s="510"/>
      <c r="CT315" s="390"/>
      <c r="CU315" s="331"/>
      <c r="CV315" s="428"/>
      <c r="CW315" s="155"/>
      <c r="CX315" s="155"/>
      <c r="CY315" s="267"/>
      <c r="CZ315" s="323"/>
      <c r="DA315" s="323"/>
      <c r="DB315" s="423"/>
      <c r="DC315" s="155"/>
      <c r="DD315" s="155"/>
      <c r="DE315" s="267"/>
      <c r="DF315" s="323"/>
      <c r="DG315" s="323"/>
      <c r="DH315" s="428"/>
      <c r="DI315" s="155"/>
      <c r="DJ315" s="155"/>
      <c r="DK315" s="222"/>
      <c r="DL315" s="267"/>
      <c r="DM315" s="155"/>
      <c r="DN315" s="155"/>
      <c r="DO315" s="155"/>
      <c r="DP315" s="423"/>
      <c r="DQ315" s="155"/>
      <c r="DR315" s="155"/>
      <c r="DS315" s="222"/>
      <c r="DT315" s="267"/>
      <c r="DU315" s="174"/>
      <c r="DV315" s="174"/>
      <c r="DW315" s="200"/>
      <c r="DX315" s="428"/>
      <c r="DY315" s="155"/>
      <c r="DZ315" s="155"/>
      <c r="EA315" s="155"/>
      <c r="EB315" s="173"/>
      <c r="EC315" s="155"/>
      <c r="ED315" s="155"/>
      <c r="EE315" s="155"/>
      <c r="EF315" s="423"/>
      <c r="EG315" s="155"/>
      <c r="EH315" s="155"/>
      <c r="EI315" s="155"/>
      <c r="EJ315" s="267"/>
      <c r="EK315" s="155"/>
      <c r="EL315" s="155"/>
      <c r="EM315" s="155"/>
      <c r="EN315" s="428"/>
    </row>
    <row r="316" spans="1:144">
      <c r="A316" s="360"/>
      <c r="B316" s="172"/>
      <c r="C316" s="360"/>
      <c r="D316" s="172"/>
      <c r="E316" s="408"/>
      <c r="F316" s="408"/>
      <c r="G316" s="509"/>
      <c r="H316" s="546"/>
      <c r="I316" s="546"/>
      <c r="J316" s="251"/>
      <c r="K316" s="251"/>
      <c r="L316" s="509"/>
      <c r="M316" s="509"/>
      <c r="N316" s="509"/>
      <c r="O316" s="547"/>
      <c r="P316" s="200"/>
      <c r="Q316" s="174"/>
      <c r="R316" s="390"/>
      <c r="S316" s="510"/>
      <c r="T316" s="200"/>
      <c r="U316" s="174"/>
      <c r="V316" s="174"/>
      <c r="W316" s="510"/>
      <c r="X316" s="174"/>
      <c r="Y316" s="174"/>
      <c r="Z316" s="174"/>
      <c r="AA316" s="510"/>
      <c r="AB316" s="200"/>
      <c r="AC316" s="174"/>
      <c r="AD316" s="390"/>
      <c r="AE316" s="510"/>
      <c r="AF316" s="200"/>
      <c r="AG316" s="174"/>
      <c r="AH316" s="174"/>
      <c r="AI316" s="200"/>
      <c r="AJ316" s="548"/>
      <c r="AK316" s="200"/>
      <c r="AL316" s="174"/>
      <c r="AM316" s="390"/>
      <c r="AN316" s="510"/>
      <c r="AO316" s="200"/>
      <c r="AP316" s="174"/>
      <c r="AQ316" s="510"/>
      <c r="AR316" s="200"/>
      <c r="AS316" s="174"/>
      <c r="AT316" s="510"/>
      <c r="AU316" s="200"/>
      <c r="AV316" s="174"/>
      <c r="AW316" s="510"/>
      <c r="AX316" s="200"/>
      <c r="AY316" s="174"/>
      <c r="AZ316" s="510"/>
      <c r="BA316" s="174"/>
      <c r="BB316" s="174"/>
      <c r="BC316" s="174"/>
      <c r="BD316" s="174"/>
      <c r="BE316" s="174"/>
      <c r="BF316" s="510"/>
      <c r="BG316" s="174"/>
      <c r="BH316" s="174"/>
      <c r="BI316" s="174"/>
      <c r="BJ316" s="200"/>
      <c r="BK316" s="174"/>
      <c r="BL316" s="510"/>
      <c r="BM316" s="174"/>
      <c r="BN316" s="174"/>
      <c r="BO316" s="510"/>
      <c r="BP316" s="200"/>
      <c r="BQ316" s="447"/>
      <c r="BR316" s="510"/>
      <c r="BS316" s="174"/>
      <c r="BT316" s="174"/>
      <c r="BU316" s="510"/>
      <c r="BV316" s="200"/>
      <c r="BW316" s="174"/>
      <c r="BX316" s="510"/>
      <c r="BY316" s="174"/>
      <c r="BZ316" s="174"/>
      <c r="CA316" s="510"/>
      <c r="CB316" s="200"/>
      <c r="CC316" s="174"/>
      <c r="CD316" s="510"/>
      <c r="CE316" s="174"/>
      <c r="CF316" s="174"/>
      <c r="CG316" s="510"/>
      <c r="CH316" s="174"/>
      <c r="CI316" s="174"/>
      <c r="CJ316" s="174"/>
      <c r="CK316" s="174"/>
      <c r="CL316" s="174"/>
      <c r="CM316" s="510"/>
      <c r="CN316" s="174"/>
      <c r="CO316" s="549"/>
      <c r="CP316" s="510"/>
      <c r="CQ316" s="200"/>
      <c r="CR316" s="550"/>
      <c r="CS316" s="510"/>
      <c r="CT316" s="390"/>
      <c r="CU316" s="331"/>
      <c r="CV316" s="428"/>
      <c r="CW316" s="155"/>
      <c r="CX316" s="155"/>
      <c r="CY316" s="267"/>
      <c r="CZ316" s="323"/>
      <c r="DA316" s="323"/>
      <c r="DB316" s="423"/>
      <c r="DC316" s="155"/>
      <c r="DD316" s="155"/>
      <c r="DE316" s="267"/>
      <c r="DF316" s="323"/>
      <c r="DG316" s="323"/>
      <c r="DH316" s="428"/>
      <c r="DI316" s="155"/>
      <c r="DJ316" s="155"/>
      <c r="DK316" s="222"/>
      <c r="DL316" s="267"/>
      <c r="DM316" s="155"/>
      <c r="DN316" s="155"/>
      <c r="DO316" s="155"/>
      <c r="DP316" s="423"/>
      <c r="DQ316" s="155"/>
      <c r="DR316" s="155"/>
      <c r="DS316" s="222"/>
      <c r="DT316" s="267"/>
      <c r="DU316" s="174"/>
      <c r="DV316" s="174"/>
      <c r="DW316" s="200"/>
      <c r="DX316" s="428"/>
      <c r="DY316" s="155"/>
      <c r="DZ316" s="155"/>
      <c r="EA316" s="155"/>
      <c r="EB316" s="173"/>
      <c r="EC316" s="155"/>
      <c r="ED316" s="155"/>
      <c r="EE316" s="155"/>
      <c r="EF316" s="423"/>
      <c r="EG316" s="155"/>
      <c r="EH316" s="155"/>
      <c r="EI316" s="155"/>
      <c r="EJ316" s="267"/>
      <c r="EK316" s="155"/>
      <c r="EL316" s="155"/>
      <c r="EM316" s="155"/>
      <c r="EN316" s="428"/>
    </row>
    <row r="317" spans="1:144">
      <c r="A317" s="360"/>
      <c r="B317" s="172"/>
      <c r="C317" s="360"/>
      <c r="D317" s="172"/>
      <c r="E317" s="408"/>
      <c r="F317" s="408"/>
      <c r="G317" s="509"/>
      <c r="H317" s="546"/>
      <c r="I317" s="546"/>
      <c r="J317" s="251"/>
      <c r="K317" s="251"/>
      <c r="L317" s="509"/>
      <c r="M317" s="509"/>
      <c r="N317" s="509"/>
      <c r="O317" s="547"/>
      <c r="P317" s="200"/>
      <c r="Q317" s="174"/>
      <c r="R317" s="390"/>
      <c r="S317" s="510"/>
      <c r="T317" s="200"/>
      <c r="U317" s="174"/>
      <c r="V317" s="174"/>
      <c r="W317" s="510"/>
      <c r="X317" s="174"/>
      <c r="Y317" s="174"/>
      <c r="Z317" s="174"/>
      <c r="AA317" s="510"/>
      <c r="AB317" s="200"/>
      <c r="AC317" s="174"/>
      <c r="AD317" s="390"/>
      <c r="AE317" s="510"/>
      <c r="AF317" s="200"/>
      <c r="AG317" s="174"/>
      <c r="AH317" s="174"/>
      <c r="AI317" s="200"/>
      <c r="AJ317" s="548"/>
      <c r="AK317" s="200"/>
      <c r="AL317" s="174"/>
      <c r="AM317" s="390"/>
      <c r="AN317" s="510"/>
      <c r="AO317" s="200"/>
      <c r="AP317" s="174"/>
      <c r="AQ317" s="510"/>
      <c r="AR317" s="200"/>
      <c r="AS317" s="174"/>
      <c r="AT317" s="510"/>
      <c r="AU317" s="200"/>
      <c r="AV317" s="174"/>
      <c r="AW317" s="510"/>
      <c r="AX317" s="200"/>
      <c r="AY317" s="174"/>
      <c r="AZ317" s="510"/>
      <c r="BA317" s="174"/>
      <c r="BB317" s="174"/>
      <c r="BC317" s="174"/>
      <c r="BD317" s="174"/>
      <c r="BE317" s="174"/>
      <c r="BF317" s="510"/>
      <c r="BG317" s="174"/>
      <c r="BH317" s="174"/>
      <c r="BI317" s="174"/>
      <c r="BJ317" s="200"/>
      <c r="BK317" s="174"/>
      <c r="BL317" s="510"/>
      <c r="BM317" s="174"/>
      <c r="BN317" s="174"/>
      <c r="BO317" s="510"/>
      <c r="BP317" s="200"/>
      <c r="BQ317" s="447"/>
      <c r="BR317" s="510"/>
      <c r="BS317" s="174"/>
      <c r="BT317" s="174"/>
      <c r="BU317" s="510"/>
      <c r="BV317" s="200"/>
      <c r="BW317" s="174"/>
      <c r="BX317" s="510"/>
      <c r="BY317" s="174"/>
      <c r="BZ317" s="174"/>
      <c r="CA317" s="510"/>
      <c r="CB317" s="200"/>
      <c r="CC317" s="174"/>
      <c r="CD317" s="510"/>
      <c r="CE317" s="174"/>
      <c r="CF317" s="174"/>
      <c r="CG317" s="510"/>
      <c r="CH317" s="174"/>
      <c r="CI317" s="174"/>
      <c r="CJ317" s="174"/>
      <c r="CK317" s="174"/>
      <c r="CL317" s="174"/>
      <c r="CM317" s="510"/>
      <c r="CN317" s="174"/>
      <c r="CO317" s="549"/>
      <c r="CP317" s="510"/>
      <c r="CQ317" s="200"/>
      <c r="CR317" s="550"/>
      <c r="CS317" s="510"/>
      <c r="CT317" s="390"/>
      <c r="CU317" s="331"/>
      <c r="CV317" s="428"/>
      <c r="CW317" s="155"/>
      <c r="CX317" s="155"/>
      <c r="CY317" s="267"/>
      <c r="CZ317" s="323"/>
      <c r="DA317" s="323"/>
      <c r="DB317" s="423"/>
      <c r="DC317" s="155"/>
      <c r="DD317" s="155"/>
      <c r="DE317" s="267"/>
      <c r="DF317" s="323"/>
      <c r="DG317" s="323"/>
      <c r="DH317" s="428"/>
      <c r="DI317" s="155"/>
      <c r="DJ317" s="155"/>
      <c r="DK317" s="222"/>
      <c r="DL317" s="267"/>
      <c r="DM317" s="155"/>
      <c r="DN317" s="155"/>
      <c r="DO317" s="155"/>
      <c r="DP317" s="423"/>
      <c r="DQ317" s="155"/>
      <c r="DR317" s="155"/>
      <c r="DS317" s="222"/>
      <c r="DT317" s="267"/>
      <c r="DU317" s="174"/>
      <c r="DV317" s="174"/>
      <c r="DW317" s="200"/>
      <c r="DX317" s="428"/>
      <c r="DY317" s="155"/>
      <c r="DZ317" s="155"/>
      <c r="EA317" s="155"/>
      <c r="EB317" s="173"/>
      <c r="EC317" s="155"/>
      <c r="ED317" s="155"/>
      <c r="EE317" s="155"/>
      <c r="EF317" s="423"/>
      <c r="EG317" s="155"/>
      <c r="EH317" s="155"/>
      <c r="EI317" s="155"/>
      <c r="EJ317" s="267"/>
      <c r="EK317" s="155"/>
      <c r="EL317" s="155"/>
      <c r="EM317" s="155"/>
      <c r="EN317" s="428"/>
    </row>
    <row r="318" spans="1:144">
      <c r="A318" s="360"/>
      <c r="B318" s="172"/>
      <c r="C318" s="360"/>
      <c r="D318" s="172"/>
      <c r="E318" s="408"/>
      <c r="F318" s="408"/>
      <c r="G318" s="509"/>
      <c r="H318" s="546"/>
      <c r="I318" s="546"/>
      <c r="J318" s="251"/>
      <c r="K318" s="251"/>
      <c r="L318" s="509"/>
      <c r="M318" s="509"/>
      <c r="N318" s="509"/>
      <c r="O318" s="547"/>
      <c r="P318" s="200"/>
      <c r="Q318" s="174"/>
      <c r="R318" s="390"/>
      <c r="S318" s="510"/>
      <c r="T318" s="200"/>
      <c r="U318" s="174"/>
      <c r="V318" s="174"/>
      <c r="W318" s="510"/>
      <c r="X318" s="174"/>
      <c r="Y318" s="174"/>
      <c r="Z318" s="174"/>
      <c r="AA318" s="510"/>
      <c r="AB318" s="200"/>
      <c r="AC318" s="174"/>
      <c r="AD318" s="390"/>
      <c r="AE318" s="510"/>
      <c r="AF318" s="200"/>
      <c r="AG318" s="174"/>
      <c r="AH318" s="174"/>
      <c r="AI318" s="200"/>
      <c r="AJ318" s="548"/>
      <c r="AK318" s="200"/>
      <c r="AL318" s="174"/>
      <c r="AM318" s="390"/>
      <c r="AN318" s="510"/>
      <c r="AO318" s="200"/>
      <c r="AP318" s="174"/>
      <c r="AQ318" s="510"/>
      <c r="AR318" s="200"/>
      <c r="AS318" s="174"/>
      <c r="AT318" s="510"/>
      <c r="AU318" s="200"/>
      <c r="AV318" s="174"/>
      <c r="AW318" s="510"/>
      <c r="AX318" s="200"/>
      <c r="AY318" s="174"/>
      <c r="AZ318" s="510"/>
      <c r="BA318" s="174"/>
      <c r="BB318" s="174"/>
      <c r="BC318" s="174"/>
      <c r="BD318" s="174"/>
      <c r="BE318" s="174"/>
      <c r="BF318" s="510"/>
      <c r="BG318" s="174"/>
      <c r="BH318" s="174"/>
      <c r="BI318" s="174"/>
      <c r="BJ318" s="200"/>
      <c r="BK318" s="174"/>
      <c r="BL318" s="510"/>
      <c r="BM318" s="174"/>
      <c r="BN318" s="174"/>
      <c r="BO318" s="510"/>
      <c r="BP318" s="200"/>
      <c r="BQ318" s="447"/>
      <c r="BR318" s="510"/>
      <c r="BS318" s="174"/>
      <c r="BT318" s="174"/>
      <c r="BU318" s="510"/>
      <c r="BV318" s="200"/>
      <c r="BW318" s="174"/>
      <c r="BX318" s="510"/>
      <c r="BY318" s="174"/>
      <c r="BZ318" s="174"/>
      <c r="CA318" s="510"/>
      <c r="CB318" s="200"/>
      <c r="CC318" s="174"/>
      <c r="CD318" s="510"/>
      <c r="CE318" s="174"/>
      <c r="CF318" s="174"/>
      <c r="CG318" s="510"/>
      <c r="CH318" s="174"/>
      <c r="CI318" s="174"/>
      <c r="CJ318" s="174"/>
      <c r="CK318" s="174"/>
      <c r="CL318" s="174"/>
      <c r="CM318" s="510"/>
      <c r="CN318" s="174"/>
      <c r="CO318" s="549"/>
      <c r="CP318" s="510"/>
      <c r="CQ318" s="200"/>
      <c r="CR318" s="550"/>
      <c r="CS318" s="510"/>
      <c r="CT318" s="390"/>
      <c r="CU318" s="331"/>
      <c r="CV318" s="428"/>
      <c r="CW318" s="155"/>
      <c r="CX318" s="155"/>
      <c r="CY318" s="267"/>
      <c r="CZ318" s="323"/>
      <c r="DA318" s="323"/>
      <c r="DB318" s="423"/>
      <c r="DC318" s="155"/>
      <c r="DD318" s="155"/>
      <c r="DE318" s="267"/>
      <c r="DF318" s="323"/>
      <c r="DG318" s="323"/>
      <c r="DH318" s="428"/>
      <c r="DI318" s="155"/>
      <c r="DJ318" s="155"/>
      <c r="DK318" s="222"/>
      <c r="DL318" s="267"/>
      <c r="DM318" s="155"/>
      <c r="DN318" s="155"/>
      <c r="DO318" s="155"/>
      <c r="DP318" s="423"/>
      <c r="DQ318" s="155"/>
      <c r="DR318" s="155"/>
      <c r="DS318" s="222"/>
      <c r="DT318" s="267"/>
      <c r="DU318" s="174"/>
      <c r="DV318" s="174"/>
      <c r="DW318" s="200"/>
      <c r="DX318" s="428"/>
      <c r="DY318" s="155"/>
      <c r="DZ318" s="155"/>
      <c r="EA318" s="155"/>
      <c r="EB318" s="173"/>
      <c r="EC318" s="155"/>
      <c r="ED318" s="155"/>
      <c r="EE318" s="155"/>
      <c r="EF318" s="423"/>
      <c r="EG318" s="155"/>
      <c r="EH318" s="155"/>
      <c r="EI318" s="155"/>
      <c r="EJ318" s="267"/>
      <c r="EK318" s="155"/>
      <c r="EL318" s="155"/>
      <c r="EM318" s="155"/>
      <c r="EN318" s="428"/>
    </row>
    <row r="319" spans="1:144">
      <c r="A319" s="360"/>
      <c r="B319" s="172"/>
      <c r="C319" s="360"/>
      <c r="D319" s="172"/>
      <c r="E319" s="408"/>
      <c r="F319" s="408"/>
      <c r="G319" s="509"/>
      <c r="H319" s="546"/>
      <c r="I319" s="546"/>
      <c r="J319" s="251"/>
      <c r="K319" s="251"/>
      <c r="L319" s="509"/>
      <c r="M319" s="509"/>
      <c r="N319" s="509"/>
      <c r="O319" s="547"/>
      <c r="P319" s="200"/>
      <c r="Q319" s="174"/>
      <c r="R319" s="390"/>
      <c r="S319" s="510"/>
      <c r="T319" s="200"/>
      <c r="U319" s="174"/>
      <c r="V319" s="174"/>
      <c r="W319" s="510"/>
      <c r="X319" s="174"/>
      <c r="Y319" s="174"/>
      <c r="Z319" s="174"/>
      <c r="AA319" s="510"/>
      <c r="AB319" s="200"/>
      <c r="AC319" s="174"/>
      <c r="AD319" s="390"/>
      <c r="AE319" s="510"/>
      <c r="AF319" s="200"/>
      <c r="AG319" s="174"/>
      <c r="AH319" s="174"/>
      <c r="AI319" s="200"/>
      <c r="AJ319" s="548"/>
      <c r="AK319" s="200"/>
      <c r="AL319" s="174"/>
      <c r="AM319" s="390"/>
      <c r="AN319" s="510"/>
      <c r="AO319" s="200"/>
      <c r="AP319" s="174"/>
      <c r="AQ319" s="510"/>
      <c r="AR319" s="200"/>
      <c r="AS319" s="174"/>
      <c r="AT319" s="510"/>
      <c r="AU319" s="200"/>
      <c r="AV319" s="174"/>
      <c r="AW319" s="510"/>
      <c r="AX319" s="200"/>
      <c r="AY319" s="174"/>
      <c r="AZ319" s="510"/>
      <c r="BA319" s="174"/>
      <c r="BB319" s="174"/>
      <c r="BC319" s="174"/>
      <c r="BD319" s="174"/>
      <c r="BE319" s="174"/>
      <c r="BF319" s="510"/>
      <c r="BG319" s="174"/>
      <c r="BH319" s="174"/>
      <c r="BI319" s="174"/>
      <c r="BJ319" s="200"/>
      <c r="BK319" s="174"/>
      <c r="BL319" s="510"/>
      <c r="BM319" s="174"/>
      <c r="BN319" s="174"/>
      <c r="BO319" s="510"/>
      <c r="BP319" s="200"/>
      <c r="BQ319" s="447"/>
      <c r="BR319" s="510"/>
      <c r="BS319" s="174"/>
      <c r="BT319" s="174"/>
      <c r="BU319" s="510"/>
      <c r="BV319" s="200"/>
      <c r="BW319" s="174"/>
      <c r="BX319" s="510"/>
      <c r="BY319" s="174"/>
      <c r="BZ319" s="174"/>
      <c r="CA319" s="510"/>
      <c r="CB319" s="200"/>
      <c r="CC319" s="174"/>
      <c r="CD319" s="510"/>
      <c r="CE319" s="174"/>
      <c r="CF319" s="174"/>
      <c r="CG319" s="510"/>
      <c r="CH319" s="174"/>
      <c r="CI319" s="174"/>
      <c r="CJ319" s="174"/>
      <c r="CK319" s="174"/>
      <c r="CL319" s="174"/>
      <c r="CM319" s="510"/>
      <c r="CN319" s="174"/>
      <c r="CO319" s="549"/>
      <c r="CP319" s="510"/>
      <c r="CQ319" s="200"/>
      <c r="CR319" s="550"/>
      <c r="CS319" s="510"/>
      <c r="CT319" s="390"/>
      <c r="CU319" s="331"/>
      <c r="CV319" s="428"/>
      <c r="CW319" s="155"/>
      <c r="CX319" s="155"/>
      <c r="CY319" s="267"/>
      <c r="CZ319" s="323"/>
      <c r="DA319" s="323"/>
      <c r="DB319" s="423"/>
      <c r="DC319" s="155"/>
      <c r="DD319" s="155"/>
      <c r="DE319" s="267"/>
      <c r="DF319" s="323"/>
      <c r="DG319" s="323"/>
      <c r="DH319" s="428"/>
      <c r="DI319" s="155"/>
      <c r="DJ319" s="155"/>
      <c r="DK319" s="222"/>
      <c r="DL319" s="267"/>
      <c r="DM319" s="155"/>
      <c r="DN319" s="155"/>
      <c r="DO319" s="155"/>
      <c r="DP319" s="423"/>
      <c r="DQ319" s="155"/>
      <c r="DR319" s="155"/>
      <c r="DS319" s="222"/>
      <c r="DT319" s="267"/>
      <c r="DU319" s="174"/>
      <c r="DV319" s="174"/>
      <c r="DW319" s="200"/>
      <c r="DX319" s="428"/>
      <c r="DY319" s="155"/>
      <c r="DZ319" s="155"/>
      <c r="EA319" s="155"/>
      <c r="EB319" s="173"/>
      <c r="EC319" s="155"/>
      <c r="ED319" s="155"/>
      <c r="EE319" s="155"/>
      <c r="EF319" s="423"/>
      <c r="EG319" s="155"/>
      <c r="EH319" s="155"/>
      <c r="EI319" s="155"/>
      <c r="EJ319" s="267"/>
      <c r="EK319" s="155"/>
      <c r="EL319" s="155"/>
      <c r="EM319" s="155"/>
      <c r="EN319" s="428"/>
    </row>
    <row r="320" spans="1:144">
      <c r="A320" s="360"/>
      <c r="B320" s="172"/>
      <c r="C320" s="360"/>
      <c r="D320" s="172"/>
      <c r="E320" s="408"/>
      <c r="F320" s="408"/>
      <c r="G320" s="509"/>
      <c r="H320" s="546"/>
      <c r="I320" s="546"/>
      <c r="J320" s="251"/>
      <c r="K320" s="251"/>
      <c r="L320" s="509"/>
      <c r="M320" s="509"/>
      <c r="N320" s="509"/>
      <c r="O320" s="547"/>
      <c r="P320" s="200"/>
      <c r="Q320" s="174"/>
      <c r="R320" s="390"/>
      <c r="S320" s="510"/>
      <c r="T320" s="200"/>
      <c r="U320" s="174"/>
      <c r="V320" s="174"/>
      <c r="W320" s="510"/>
      <c r="X320" s="174"/>
      <c r="Y320" s="174"/>
      <c r="Z320" s="174"/>
      <c r="AA320" s="510"/>
      <c r="AB320" s="200"/>
      <c r="AC320" s="174"/>
      <c r="AD320" s="390"/>
      <c r="AE320" s="510"/>
      <c r="AF320" s="200"/>
      <c r="AG320" s="174"/>
      <c r="AH320" s="174"/>
      <c r="AI320" s="200"/>
      <c r="AJ320" s="548"/>
      <c r="AK320" s="200"/>
      <c r="AL320" s="174"/>
      <c r="AM320" s="390"/>
      <c r="AN320" s="510"/>
      <c r="AO320" s="200"/>
      <c r="AP320" s="174"/>
      <c r="AQ320" s="510"/>
      <c r="AR320" s="200"/>
      <c r="AS320" s="174"/>
      <c r="AT320" s="510"/>
      <c r="AU320" s="200"/>
      <c r="AV320" s="174"/>
      <c r="AW320" s="510"/>
      <c r="AX320" s="200"/>
      <c r="AY320" s="174"/>
      <c r="AZ320" s="510"/>
      <c r="BA320" s="174"/>
      <c r="BB320" s="174"/>
      <c r="BC320" s="174"/>
      <c r="BD320" s="174"/>
      <c r="BE320" s="174"/>
      <c r="BF320" s="510"/>
      <c r="BG320" s="174"/>
      <c r="BH320" s="174"/>
      <c r="BI320" s="174"/>
      <c r="BJ320" s="200"/>
      <c r="BK320" s="174"/>
      <c r="BL320" s="510"/>
      <c r="BM320" s="174"/>
      <c r="BN320" s="174"/>
      <c r="BO320" s="510"/>
      <c r="BP320" s="200"/>
      <c r="BQ320" s="447"/>
      <c r="BR320" s="510"/>
      <c r="BS320" s="174"/>
      <c r="BT320" s="174"/>
      <c r="BU320" s="510"/>
      <c r="BV320" s="200"/>
      <c r="BW320" s="174"/>
      <c r="BX320" s="510"/>
      <c r="BY320" s="174"/>
      <c r="BZ320" s="174"/>
      <c r="CA320" s="510"/>
      <c r="CB320" s="200"/>
      <c r="CC320" s="174"/>
      <c r="CD320" s="510"/>
      <c r="CE320" s="174"/>
      <c r="CF320" s="174"/>
      <c r="CG320" s="510"/>
      <c r="CH320" s="174"/>
      <c r="CI320" s="174"/>
      <c r="CJ320" s="174"/>
      <c r="CK320" s="174"/>
      <c r="CL320" s="174"/>
      <c r="CM320" s="510"/>
      <c r="CN320" s="174"/>
      <c r="CO320" s="549"/>
      <c r="CP320" s="510"/>
      <c r="CQ320" s="200"/>
      <c r="CR320" s="550"/>
      <c r="CS320" s="510"/>
      <c r="CT320" s="390"/>
      <c r="CU320" s="331"/>
      <c r="CV320" s="428"/>
      <c r="CW320" s="155"/>
      <c r="CX320" s="155"/>
      <c r="CY320" s="267"/>
      <c r="CZ320" s="323"/>
      <c r="DA320" s="323"/>
      <c r="DB320" s="423"/>
      <c r="DC320" s="155"/>
      <c r="DD320" s="155"/>
      <c r="DE320" s="267"/>
      <c r="DF320" s="323"/>
      <c r="DG320" s="323"/>
      <c r="DH320" s="428"/>
      <c r="DI320" s="155"/>
      <c r="DJ320" s="155"/>
      <c r="DK320" s="222"/>
      <c r="DL320" s="267"/>
      <c r="DM320" s="155"/>
      <c r="DN320" s="155"/>
      <c r="DO320" s="155"/>
      <c r="DP320" s="423"/>
      <c r="DQ320" s="155"/>
      <c r="DR320" s="155"/>
      <c r="DS320" s="222"/>
      <c r="DT320" s="267"/>
      <c r="DU320" s="174"/>
      <c r="DV320" s="174"/>
      <c r="DW320" s="200"/>
      <c r="DX320" s="428"/>
      <c r="DY320" s="155"/>
      <c r="DZ320" s="155"/>
      <c r="EA320" s="155"/>
      <c r="EB320" s="173"/>
      <c r="EC320" s="155"/>
      <c r="ED320" s="155"/>
      <c r="EE320" s="155"/>
      <c r="EF320" s="423"/>
      <c r="EG320" s="155"/>
      <c r="EH320" s="155"/>
      <c r="EI320" s="155"/>
      <c r="EJ320" s="267"/>
      <c r="EK320" s="155"/>
      <c r="EL320" s="155"/>
      <c r="EM320" s="155"/>
      <c r="EN320" s="428"/>
    </row>
    <row r="321" spans="1:144">
      <c r="A321" s="360"/>
      <c r="B321" s="172"/>
      <c r="C321" s="360"/>
      <c r="D321" s="172"/>
      <c r="E321" s="408"/>
      <c r="F321" s="408"/>
      <c r="G321" s="509"/>
      <c r="H321" s="546"/>
      <c r="I321" s="546"/>
      <c r="J321" s="251"/>
      <c r="K321" s="251"/>
      <c r="L321" s="509"/>
      <c r="M321" s="509"/>
      <c r="N321" s="509"/>
      <c r="O321" s="547"/>
      <c r="P321" s="200"/>
      <c r="Q321" s="174"/>
      <c r="R321" s="390"/>
      <c r="S321" s="510"/>
      <c r="T321" s="200"/>
      <c r="U321" s="174"/>
      <c r="V321" s="174"/>
      <c r="W321" s="510"/>
      <c r="X321" s="174"/>
      <c r="Y321" s="174"/>
      <c r="Z321" s="174"/>
      <c r="AA321" s="510"/>
      <c r="AB321" s="200"/>
      <c r="AC321" s="174"/>
      <c r="AD321" s="390"/>
      <c r="AE321" s="510"/>
      <c r="AF321" s="200"/>
      <c r="AG321" s="174"/>
      <c r="AH321" s="174"/>
      <c r="AI321" s="200"/>
      <c r="AJ321" s="548"/>
      <c r="AK321" s="200"/>
      <c r="AL321" s="174"/>
      <c r="AM321" s="390"/>
      <c r="AN321" s="510"/>
      <c r="AO321" s="200"/>
      <c r="AP321" s="174"/>
      <c r="AQ321" s="510"/>
      <c r="AR321" s="200"/>
      <c r="AS321" s="174"/>
      <c r="AT321" s="510"/>
      <c r="AU321" s="200"/>
      <c r="AV321" s="174"/>
      <c r="AW321" s="510"/>
      <c r="AX321" s="200"/>
      <c r="AY321" s="174"/>
      <c r="AZ321" s="510"/>
      <c r="BA321" s="174"/>
      <c r="BB321" s="174"/>
      <c r="BC321" s="174"/>
      <c r="BD321" s="174"/>
      <c r="BE321" s="174"/>
      <c r="BF321" s="510"/>
      <c r="BG321" s="174"/>
      <c r="BH321" s="174"/>
      <c r="BI321" s="174"/>
      <c r="BJ321" s="200"/>
      <c r="BK321" s="174"/>
      <c r="BL321" s="510"/>
      <c r="BM321" s="174"/>
      <c r="BN321" s="174"/>
      <c r="BO321" s="510"/>
      <c r="BP321" s="200"/>
      <c r="BQ321" s="447"/>
      <c r="BR321" s="510"/>
      <c r="BS321" s="174"/>
      <c r="BT321" s="174"/>
      <c r="BU321" s="510"/>
      <c r="BV321" s="200"/>
      <c r="BW321" s="174"/>
      <c r="BX321" s="510"/>
      <c r="BY321" s="174"/>
      <c r="BZ321" s="174"/>
      <c r="CA321" s="510"/>
      <c r="CB321" s="200"/>
      <c r="CC321" s="174"/>
      <c r="CD321" s="510"/>
      <c r="CE321" s="174"/>
      <c r="CF321" s="174"/>
      <c r="CG321" s="510"/>
      <c r="CH321" s="174"/>
      <c r="CI321" s="174"/>
      <c r="CJ321" s="174"/>
      <c r="CK321" s="174"/>
      <c r="CL321" s="174"/>
      <c r="CM321" s="510"/>
      <c r="CN321" s="174"/>
      <c r="CO321" s="549"/>
      <c r="CP321" s="510"/>
      <c r="CQ321" s="200"/>
      <c r="CR321" s="550"/>
      <c r="CS321" s="510"/>
      <c r="CT321" s="390"/>
      <c r="CU321" s="331"/>
      <c r="CV321" s="428"/>
      <c r="CW321" s="155"/>
      <c r="CX321" s="155"/>
      <c r="CY321" s="267"/>
      <c r="CZ321" s="323"/>
      <c r="DA321" s="323"/>
      <c r="DB321" s="423"/>
      <c r="DC321" s="155"/>
      <c r="DD321" s="155"/>
      <c r="DE321" s="267"/>
      <c r="DF321" s="323"/>
      <c r="DG321" s="323"/>
      <c r="DH321" s="428"/>
      <c r="DI321" s="155"/>
      <c r="DJ321" s="155"/>
      <c r="DK321" s="222"/>
      <c r="DL321" s="267"/>
      <c r="DM321" s="155"/>
      <c r="DN321" s="155"/>
      <c r="DO321" s="155"/>
      <c r="DP321" s="423"/>
      <c r="DQ321" s="155"/>
      <c r="DR321" s="155"/>
      <c r="DS321" s="222"/>
      <c r="DT321" s="267"/>
      <c r="DU321" s="174"/>
      <c r="DV321" s="174"/>
      <c r="DW321" s="200"/>
      <c r="DX321" s="428"/>
      <c r="DY321" s="155"/>
      <c r="DZ321" s="155"/>
      <c r="EA321" s="155"/>
      <c r="EB321" s="173"/>
      <c r="EC321" s="155"/>
      <c r="ED321" s="155"/>
      <c r="EE321" s="155"/>
      <c r="EF321" s="423"/>
      <c r="EG321" s="155"/>
      <c r="EH321" s="155"/>
      <c r="EI321" s="155"/>
      <c r="EJ321" s="267"/>
      <c r="EK321" s="155"/>
      <c r="EL321" s="155"/>
      <c r="EM321" s="155"/>
      <c r="EN321" s="428"/>
    </row>
    <row r="322" spans="1:144">
      <c r="A322" s="360"/>
      <c r="B322" s="172"/>
      <c r="C322" s="360"/>
      <c r="D322" s="172"/>
      <c r="E322" s="408"/>
      <c r="F322" s="408"/>
      <c r="G322" s="509"/>
      <c r="H322" s="546"/>
      <c r="I322" s="546"/>
      <c r="J322" s="251"/>
      <c r="K322" s="251"/>
      <c r="L322" s="509"/>
      <c r="M322" s="509"/>
      <c r="N322" s="509"/>
      <c r="O322" s="547"/>
      <c r="P322" s="200"/>
      <c r="Q322" s="174"/>
      <c r="R322" s="390"/>
      <c r="S322" s="510"/>
      <c r="T322" s="200"/>
      <c r="U322" s="174"/>
      <c r="V322" s="174"/>
      <c r="W322" s="510"/>
      <c r="X322" s="174"/>
      <c r="Y322" s="174"/>
      <c r="Z322" s="174"/>
      <c r="AA322" s="510"/>
      <c r="AB322" s="200"/>
      <c r="AC322" s="174"/>
      <c r="AD322" s="390"/>
      <c r="AE322" s="510"/>
      <c r="AF322" s="200"/>
      <c r="AG322" s="174"/>
      <c r="AH322" s="174"/>
      <c r="AI322" s="200"/>
      <c r="AJ322" s="548"/>
      <c r="AK322" s="200"/>
      <c r="AL322" s="174"/>
      <c r="AM322" s="390"/>
      <c r="AN322" s="510"/>
      <c r="AO322" s="200"/>
      <c r="AP322" s="174"/>
      <c r="AQ322" s="510"/>
      <c r="AR322" s="200"/>
      <c r="AS322" s="174"/>
      <c r="AT322" s="510"/>
      <c r="AU322" s="200"/>
      <c r="AV322" s="174"/>
      <c r="AW322" s="510"/>
      <c r="AX322" s="200"/>
      <c r="AY322" s="174"/>
      <c r="AZ322" s="510"/>
      <c r="BA322" s="174"/>
      <c r="BB322" s="174"/>
      <c r="BC322" s="174"/>
      <c r="BD322" s="174"/>
      <c r="BE322" s="174"/>
      <c r="BF322" s="510"/>
      <c r="BG322" s="174"/>
      <c r="BH322" s="174"/>
      <c r="BI322" s="174"/>
      <c r="BJ322" s="200"/>
      <c r="BK322" s="174"/>
      <c r="BL322" s="510"/>
      <c r="BM322" s="174"/>
      <c r="BN322" s="174"/>
      <c r="BO322" s="510"/>
      <c r="BP322" s="200"/>
      <c r="BQ322" s="447"/>
      <c r="BR322" s="510"/>
      <c r="BS322" s="174"/>
      <c r="BT322" s="174"/>
      <c r="BU322" s="510"/>
      <c r="BV322" s="200"/>
      <c r="BW322" s="174"/>
      <c r="BX322" s="510"/>
      <c r="BY322" s="174"/>
      <c r="BZ322" s="174"/>
      <c r="CA322" s="510"/>
      <c r="CB322" s="200"/>
      <c r="CC322" s="174"/>
      <c r="CD322" s="510"/>
      <c r="CE322" s="174"/>
      <c r="CF322" s="174"/>
      <c r="CG322" s="510"/>
      <c r="CH322" s="174"/>
      <c r="CI322" s="174"/>
      <c r="CJ322" s="174"/>
      <c r="CK322" s="174"/>
      <c r="CL322" s="174"/>
      <c r="CM322" s="510"/>
      <c r="CN322" s="174"/>
      <c r="CO322" s="549"/>
      <c r="CP322" s="510"/>
      <c r="CQ322" s="200"/>
      <c r="CR322" s="550"/>
      <c r="CS322" s="510"/>
      <c r="CT322" s="390"/>
      <c r="CU322" s="331"/>
      <c r="CV322" s="428"/>
      <c r="CW322" s="155"/>
      <c r="CX322" s="155"/>
      <c r="CY322" s="267"/>
      <c r="CZ322" s="323"/>
      <c r="DA322" s="323"/>
      <c r="DB322" s="423"/>
      <c r="DC322" s="155"/>
      <c r="DD322" s="155"/>
      <c r="DE322" s="267"/>
      <c r="DF322" s="323"/>
      <c r="DG322" s="323"/>
      <c r="DH322" s="428"/>
      <c r="DI322" s="155"/>
      <c r="DJ322" s="155"/>
      <c r="DK322" s="222"/>
      <c r="DL322" s="267"/>
      <c r="DM322" s="155"/>
      <c r="DN322" s="155"/>
      <c r="DO322" s="155"/>
      <c r="DP322" s="423"/>
      <c r="DQ322" s="155"/>
      <c r="DR322" s="155"/>
      <c r="DS322" s="222"/>
      <c r="DT322" s="267"/>
      <c r="DU322" s="174"/>
      <c r="DV322" s="174"/>
      <c r="DW322" s="200"/>
      <c r="DX322" s="428"/>
      <c r="DY322" s="155"/>
      <c r="DZ322" s="155"/>
      <c r="EA322" s="155"/>
      <c r="EB322" s="173"/>
      <c r="EC322" s="155"/>
      <c r="ED322" s="155"/>
      <c r="EE322" s="155"/>
      <c r="EF322" s="423"/>
      <c r="EG322" s="155"/>
      <c r="EH322" s="155"/>
      <c r="EI322" s="155"/>
      <c r="EJ322" s="267"/>
      <c r="EK322" s="155"/>
      <c r="EL322" s="155"/>
      <c r="EM322" s="155"/>
      <c r="EN322" s="428"/>
    </row>
    <row r="323" spans="1:144">
      <c r="A323" s="360"/>
      <c r="B323" s="172"/>
      <c r="C323" s="360"/>
      <c r="D323" s="172"/>
      <c r="E323" s="408"/>
      <c r="F323" s="408"/>
      <c r="G323" s="509"/>
      <c r="H323" s="546"/>
      <c r="I323" s="546"/>
      <c r="J323" s="251"/>
      <c r="K323" s="251"/>
      <c r="L323" s="509"/>
      <c r="M323" s="509"/>
      <c r="N323" s="509"/>
      <c r="O323" s="547"/>
      <c r="P323" s="200"/>
      <c r="Q323" s="174"/>
      <c r="R323" s="390"/>
      <c r="S323" s="510"/>
      <c r="T323" s="200"/>
      <c r="U323" s="174"/>
      <c r="V323" s="174"/>
      <c r="W323" s="510"/>
      <c r="X323" s="174"/>
      <c r="Y323" s="174"/>
      <c r="Z323" s="174"/>
      <c r="AA323" s="510"/>
      <c r="AB323" s="200"/>
      <c r="AC323" s="174"/>
      <c r="AD323" s="390"/>
      <c r="AE323" s="510"/>
      <c r="AF323" s="200"/>
      <c r="AG323" s="174"/>
      <c r="AH323" s="174"/>
      <c r="AI323" s="200"/>
      <c r="AJ323" s="548"/>
      <c r="AK323" s="200"/>
      <c r="AL323" s="174"/>
      <c r="AM323" s="390"/>
      <c r="AN323" s="510"/>
      <c r="AO323" s="200"/>
      <c r="AP323" s="174"/>
      <c r="AQ323" s="510"/>
      <c r="AR323" s="200"/>
      <c r="AS323" s="174"/>
      <c r="AT323" s="510"/>
      <c r="AU323" s="200"/>
      <c r="AV323" s="174"/>
      <c r="AW323" s="510"/>
      <c r="AX323" s="200"/>
      <c r="AY323" s="174"/>
      <c r="AZ323" s="510"/>
      <c r="BA323" s="174"/>
      <c r="BB323" s="174"/>
      <c r="BC323" s="174"/>
      <c r="BD323" s="174"/>
      <c r="BE323" s="174"/>
      <c r="BF323" s="510"/>
      <c r="BG323" s="174"/>
      <c r="BH323" s="174"/>
      <c r="BI323" s="174"/>
      <c r="BJ323" s="200"/>
      <c r="BK323" s="174"/>
      <c r="BL323" s="510"/>
      <c r="BM323" s="174"/>
      <c r="BN323" s="174"/>
      <c r="BO323" s="510"/>
      <c r="BP323" s="200"/>
      <c r="BQ323" s="447"/>
      <c r="BR323" s="510"/>
      <c r="BS323" s="174"/>
      <c r="BT323" s="174"/>
      <c r="BU323" s="510"/>
      <c r="BV323" s="200"/>
      <c r="BW323" s="174"/>
      <c r="BX323" s="510"/>
      <c r="BY323" s="174"/>
      <c r="BZ323" s="174"/>
      <c r="CA323" s="510"/>
      <c r="CB323" s="200"/>
      <c r="CC323" s="174"/>
      <c r="CD323" s="510"/>
      <c r="CE323" s="174"/>
      <c r="CF323" s="174"/>
      <c r="CG323" s="510"/>
      <c r="CH323" s="174"/>
      <c r="CI323" s="174"/>
      <c r="CJ323" s="174"/>
      <c r="CK323" s="174"/>
      <c r="CL323" s="174"/>
      <c r="CM323" s="510"/>
      <c r="CN323" s="174"/>
      <c r="CO323" s="549"/>
      <c r="CP323" s="510"/>
      <c r="CQ323" s="200"/>
      <c r="CR323" s="550"/>
      <c r="CS323" s="510"/>
      <c r="CT323" s="390"/>
      <c r="CU323" s="331"/>
      <c r="CV323" s="428"/>
      <c r="CW323" s="155"/>
      <c r="CX323" s="155"/>
      <c r="CY323" s="267"/>
      <c r="CZ323" s="323"/>
      <c r="DA323" s="323"/>
      <c r="DB323" s="423"/>
      <c r="DC323" s="155"/>
      <c r="DD323" s="155"/>
      <c r="DE323" s="267"/>
      <c r="DF323" s="323"/>
      <c r="DG323" s="323"/>
      <c r="DH323" s="428"/>
      <c r="DI323" s="155"/>
      <c r="DJ323" s="155"/>
      <c r="DK323" s="222"/>
      <c r="DL323" s="267"/>
      <c r="DM323" s="155"/>
      <c r="DN323" s="155"/>
      <c r="DO323" s="155"/>
      <c r="DP323" s="423"/>
      <c r="DQ323" s="155"/>
      <c r="DR323" s="155"/>
      <c r="DS323" s="222"/>
      <c r="DT323" s="267"/>
      <c r="DU323" s="174"/>
      <c r="DV323" s="174"/>
      <c r="DW323" s="200"/>
      <c r="DX323" s="428"/>
      <c r="DY323" s="155"/>
      <c r="DZ323" s="155"/>
      <c r="EA323" s="155"/>
      <c r="EB323" s="173"/>
      <c r="EC323" s="155"/>
      <c r="ED323" s="155"/>
      <c r="EE323" s="155"/>
      <c r="EF323" s="423"/>
      <c r="EG323" s="155"/>
      <c r="EH323" s="155"/>
      <c r="EI323" s="155"/>
      <c r="EJ323" s="267"/>
      <c r="EK323" s="155"/>
      <c r="EL323" s="155"/>
      <c r="EM323" s="155"/>
      <c r="EN323" s="428"/>
    </row>
    <row r="324" spans="1:144">
      <c r="A324" s="360"/>
      <c r="B324" s="172"/>
      <c r="C324" s="360"/>
      <c r="D324" s="172"/>
      <c r="E324" s="408"/>
      <c r="F324" s="408"/>
      <c r="G324" s="509"/>
      <c r="H324" s="546"/>
      <c r="I324" s="546"/>
      <c r="J324" s="251"/>
      <c r="K324" s="251"/>
      <c r="L324" s="509"/>
      <c r="M324" s="509"/>
      <c r="N324" s="509"/>
      <c r="O324" s="547"/>
      <c r="P324" s="200"/>
      <c r="Q324" s="174"/>
      <c r="R324" s="390"/>
      <c r="S324" s="510"/>
      <c r="T324" s="200"/>
      <c r="U324" s="174"/>
      <c r="V324" s="174"/>
      <c r="W324" s="510"/>
      <c r="X324" s="174"/>
      <c r="Y324" s="174"/>
      <c r="Z324" s="174"/>
      <c r="AA324" s="510"/>
      <c r="AB324" s="200"/>
      <c r="AC324" s="174"/>
      <c r="AD324" s="390"/>
      <c r="AE324" s="510"/>
      <c r="AF324" s="200"/>
      <c r="AG324" s="174"/>
      <c r="AH324" s="174"/>
      <c r="AI324" s="200"/>
      <c r="AJ324" s="548"/>
      <c r="AK324" s="200"/>
      <c r="AL324" s="174"/>
      <c r="AM324" s="390"/>
      <c r="AN324" s="510"/>
      <c r="AO324" s="200"/>
      <c r="AP324" s="174"/>
      <c r="AQ324" s="510"/>
      <c r="AR324" s="200"/>
      <c r="AS324" s="174"/>
      <c r="AT324" s="510"/>
      <c r="AU324" s="200"/>
      <c r="AV324" s="174"/>
      <c r="AW324" s="510"/>
      <c r="AX324" s="200"/>
      <c r="AY324" s="174"/>
      <c r="AZ324" s="510"/>
      <c r="BA324" s="174"/>
      <c r="BB324" s="174"/>
      <c r="BC324" s="174"/>
      <c r="BD324" s="174"/>
      <c r="BE324" s="174"/>
      <c r="BF324" s="510"/>
      <c r="BG324" s="174"/>
      <c r="BH324" s="174"/>
      <c r="BI324" s="174"/>
      <c r="BJ324" s="200"/>
      <c r="BK324" s="174"/>
      <c r="BL324" s="510"/>
      <c r="BM324" s="174"/>
      <c r="BN324" s="174"/>
      <c r="BO324" s="510"/>
      <c r="BP324" s="200"/>
      <c r="BQ324" s="447"/>
      <c r="BR324" s="510"/>
      <c r="BS324" s="174"/>
      <c r="BT324" s="174"/>
      <c r="BU324" s="510"/>
      <c r="BV324" s="200"/>
      <c r="BW324" s="174"/>
      <c r="BX324" s="510"/>
      <c r="BY324" s="174"/>
      <c r="BZ324" s="174"/>
      <c r="CA324" s="510"/>
      <c r="CB324" s="200"/>
      <c r="CC324" s="174"/>
      <c r="CD324" s="510"/>
      <c r="CE324" s="174"/>
      <c r="CF324" s="174"/>
      <c r="CG324" s="510"/>
      <c r="CH324" s="174"/>
      <c r="CI324" s="174"/>
      <c r="CJ324" s="174"/>
      <c r="CK324" s="174"/>
      <c r="CL324" s="174"/>
      <c r="CM324" s="510"/>
      <c r="CN324" s="174"/>
      <c r="CO324" s="549"/>
      <c r="CP324" s="510"/>
      <c r="CQ324" s="200"/>
      <c r="CR324" s="550"/>
      <c r="CS324" s="510"/>
      <c r="CT324" s="390"/>
      <c r="CU324" s="331"/>
      <c r="CV324" s="428"/>
      <c r="CW324" s="155"/>
      <c r="CX324" s="155"/>
      <c r="CY324" s="267"/>
      <c r="CZ324" s="323"/>
      <c r="DA324" s="323"/>
      <c r="DB324" s="423"/>
      <c r="DC324" s="155"/>
      <c r="DD324" s="155"/>
      <c r="DE324" s="267"/>
      <c r="DF324" s="323"/>
      <c r="DG324" s="323"/>
      <c r="DH324" s="428"/>
      <c r="DI324" s="155"/>
      <c r="DJ324" s="155"/>
      <c r="DK324" s="222"/>
      <c r="DL324" s="267"/>
      <c r="DM324" s="155"/>
      <c r="DN324" s="155"/>
      <c r="DO324" s="155"/>
      <c r="DP324" s="423"/>
      <c r="DQ324" s="155"/>
      <c r="DR324" s="155"/>
      <c r="DS324" s="222"/>
      <c r="DT324" s="267"/>
      <c r="DU324" s="174"/>
      <c r="DV324" s="174"/>
      <c r="DW324" s="200"/>
      <c r="DX324" s="428"/>
      <c r="DY324" s="155"/>
      <c r="DZ324" s="155"/>
      <c r="EA324" s="155"/>
      <c r="EB324" s="173"/>
      <c r="EC324" s="155"/>
      <c r="ED324" s="155"/>
      <c r="EE324" s="155"/>
      <c r="EF324" s="423"/>
      <c r="EG324" s="155"/>
      <c r="EH324" s="155"/>
      <c r="EI324" s="155"/>
      <c r="EJ324" s="267"/>
      <c r="EK324" s="155"/>
      <c r="EL324" s="155"/>
      <c r="EM324" s="155"/>
      <c r="EN324" s="428"/>
    </row>
    <row r="325" spans="1:144">
      <c r="A325" s="360"/>
      <c r="B325" s="172"/>
      <c r="C325" s="360"/>
      <c r="D325" s="172"/>
      <c r="E325" s="408"/>
      <c r="F325" s="408"/>
      <c r="G325" s="509"/>
      <c r="H325" s="546"/>
      <c r="I325" s="546"/>
      <c r="J325" s="251"/>
      <c r="K325" s="251"/>
      <c r="L325" s="509"/>
      <c r="M325" s="509"/>
      <c r="N325" s="509"/>
      <c r="O325" s="547"/>
      <c r="P325" s="200"/>
      <c r="Q325" s="174"/>
      <c r="R325" s="390"/>
      <c r="S325" s="510"/>
      <c r="T325" s="200"/>
      <c r="U325" s="174"/>
      <c r="V325" s="174"/>
      <c r="W325" s="510"/>
      <c r="X325" s="174"/>
      <c r="Y325" s="174"/>
      <c r="Z325" s="174"/>
      <c r="AA325" s="510"/>
      <c r="AB325" s="200"/>
      <c r="AC325" s="174"/>
      <c r="AD325" s="390"/>
      <c r="AE325" s="510"/>
      <c r="AF325" s="200"/>
      <c r="AG325" s="174"/>
      <c r="AH325" s="174"/>
      <c r="AI325" s="200"/>
      <c r="AJ325" s="548"/>
      <c r="AK325" s="200"/>
      <c r="AL325" s="174"/>
      <c r="AM325" s="390"/>
      <c r="AN325" s="510"/>
      <c r="AO325" s="200"/>
      <c r="AP325" s="174"/>
      <c r="AQ325" s="510"/>
      <c r="AR325" s="200"/>
      <c r="AS325" s="174"/>
      <c r="AT325" s="510"/>
      <c r="AU325" s="200"/>
      <c r="AV325" s="174"/>
      <c r="AW325" s="510"/>
      <c r="AX325" s="200"/>
      <c r="AY325" s="174"/>
      <c r="AZ325" s="510"/>
      <c r="BA325" s="174"/>
      <c r="BB325" s="174"/>
      <c r="BC325" s="174"/>
      <c r="BD325" s="174"/>
      <c r="BE325" s="174"/>
      <c r="BF325" s="510"/>
      <c r="BG325" s="174"/>
      <c r="BH325" s="174"/>
      <c r="BI325" s="174"/>
      <c r="BJ325" s="200"/>
      <c r="BK325" s="174"/>
      <c r="BL325" s="510"/>
      <c r="BM325" s="174"/>
      <c r="BN325" s="174"/>
      <c r="BO325" s="510"/>
      <c r="BP325" s="200"/>
      <c r="BQ325" s="447"/>
      <c r="BR325" s="510"/>
      <c r="BS325" s="174"/>
      <c r="BT325" s="174"/>
      <c r="BU325" s="510"/>
      <c r="BV325" s="200"/>
      <c r="BW325" s="174"/>
      <c r="BX325" s="510"/>
      <c r="BY325" s="174"/>
      <c r="BZ325" s="174"/>
      <c r="CA325" s="510"/>
      <c r="CB325" s="200"/>
      <c r="CC325" s="174"/>
      <c r="CD325" s="510"/>
      <c r="CE325" s="174"/>
      <c r="CF325" s="174"/>
      <c r="CG325" s="510"/>
      <c r="CH325" s="174"/>
      <c r="CI325" s="174"/>
      <c r="CJ325" s="174"/>
      <c r="CK325" s="174"/>
      <c r="CL325" s="174"/>
      <c r="CM325" s="510"/>
      <c r="CN325" s="174"/>
      <c r="CO325" s="549"/>
      <c r="CP325" s="510"/>
      <c r="CQ325" s="200"/>
      <c r="CR325" s="550"/>
      <c r="CS325" s="510"/>
      <c r="CT325" s="390"/>
      <c r="CU325" s="331"/>
      <c r="CV325" s="428"/>
      <c r="CW325" s="155"/>
      <c r="CX325" s="155"/>
      <c r="CY325" s="267"/>
      <c r="CZ325" s="323"/>
      <c r="DA325" s="323"/>
      <c r="DB325" s="423"/>
      <c r="DC325" s="155"/>
      <c r="DD325" s="155"/>
      <c r="DE325" s="267"/>
      <c r="DF325" s="323"/>
      <c r="DG325" s="323"/>
      <c r="DH325" s="428"/>
      <c r="DI325" s="155"/>
      <c r="DJ325" s="155"/>
      <c r="DK325" s="222"/>
      <c r="DL325" s="267"/>
      <c r="DM325" s="155"/>
      <c r="DN325" s="155"/>
      <c r="DO325" s="155"/>
      <c r="DP325" s="423"/>
      <c r="DQ325" s="155"/>
      <c r="DR325" s="155"/>
      <c r="DS325" s="222"/>
      <c r="DT325" s="267"/>
      <c r="DU325" s="174"/>
      <c r="DV325" s="174"/>
      <c r="DW325" s="200"/>
      <c r="DX325" s="428"/>
      <c r="DY325" s="155"/>
      <c r="DZ325" s="155"/>
      <c r="EA325" s="155"/>
      <c r="EB325" s="173"/>
      <c r="EC325" s="155"/>
      <c r="ED325" s="155"/>
      <c r="EE325" s="155"/>
      <c r="EF325" s="423"/>
      <c r="EG325" s="155"/>
      <c r="EH325" s="155"/>
      <c r="EI325" s="155"/>
      <c r="EJ325" s="267"/>
      <c r="EK325" s="155"/>
      <c r="EL325" s="155"/>
      <c r="EM325" s="155"/>
      <c r="EN325" s="428"/>
    </row>
    <row r="326" spans="1:144">
      <c r="A326" s="360"/>
      <c r="B326" s="172"/>
      <c r="C326" s="360"/>
      <c r="D326" s="172"/>
      <c r="E326" s="408"/>
      <c r="F326" s="408"/>
      <c r="G326" s="509"/>
      <c r="H326" s="546"/>
      <c r="I326" s="546"/>
      <c r="J326" s="251"/>
      <c r="K326" s="251"/>
      <c r="L326" s="509"/>
      <c r="M326" s="509"/>
      <c r="N326" s="509"/>
      <c r="O326" s="547"/>
      <c r="P326" s="200"/>
      <c r="Q326" s="174"/>
      <c r="R326" s="390"/>
      <c r="S326" s="510"/>
      <c r="T326" s="200"/>
      <c r="U326" s="174"/>
      <c r="V326" s="174"/>
      <c r="W326" s="510"/>
      <c r="X326" s="174"/>
      <c r="Y326" s="174"/>
      <c r="Z326" s="174"/>
      <c r="AA326" s="510"/>
      <c r="AB326" s="200"/>
      <c r="AC326" s="174"/>
      <c r="AD326" s="390"/>
      <c r="AE326" s="510"/>
      <c r="AF326" s="200"/>
      <c r="AG326" s="174"/>
      <c r="AH326" s="174"/>
      <c r="AI326" s="200"/>
      <c r="AJ326" s="548"/>
      <c r="AK326" s="200"/>
      <c r="AL326" s="174"/>
      <c r="AM326" s="390"/>
      <c r="AN326" s="510"/>
      <c r="AO326" s="200"/>
      <c r="AP326" s="174"/>
      <c r="AQ326" s="510"/>
      <c r="AR326" s="200"/>
      <c r="AS326" s="174"/>
      <c r="AT326" s="510"/>
      <c r="AU326" s="200"/>
      <c r="AV326" s="174"/>
      <c r="AW326" s="510"/>
      <c r="AX326" s="200"/>
      <c r="AY326" s="174"/>
      <c r="AZ326" s="510"/>
      <c r="BA326" s="174"/>
      <c r="BB326" s="174"/>
      <c r="BC326" s="174"/>
      <c r="BD326" s="174"/>
      <c r="BE326" s="174"/>
      <c r="BF326" s="510"/>
      <c r="BG326" s="174"/>
      <c r="BH326" s="174"/>
      <c r="BI326" s="174"/>
      <c r="BJ326" s="200"/>
      <c r="BK326" s="174"/>
      <c r="BL326" s="510"/>
      <c r="BM326" s="174"/>
      <c r="BN326" s="174"/>
      <c r="BO326" s="510"/>
      <c r="BP326" s="200"/>
      <c r="BQ326" s="447"/>
      <c r="BR326" s="510"/>
      <c r="BS326" s="174"/>
      <c r="BT326" s="174"/>
      <c r="BU326" s="510"/>
      <c r="BV326" s="200"/>
      <c r="BW326" s="174"/>
      <c r="BX326" s="510"/>
      <c r="BY326" s="174"/>
      <c r="BZ326" s="174"/>
      <c r="CA326" s="510"/>
      <c r="CB326" s="200"/>
      <c r="CC326" s="174"/>
      <c r="CD326" s="510"/>
      <c r="CE326" s="174"/>
      <c r="CF326" s="174"/>
      <c r="CG326" s="510"/>
      <c r="CH326" s="174"/>
      <c r="CI326" s="174"/>
      <c r="CJ326" s="174"/>
      <c r="CK326" s="174"/>
      <c r="CL326" s="174"/>
      <c r="CM326" s="510"/>
      <c r="CN326" s="174"/>
      <c r="CO326" s="549"/>
      <c r="CP326" s="510"/>
      <c r="CQ326" s="200"/>
      <c r="CR326" s="550"/>
      <c r="CS326" s="510"/>
      <c r="CT326" s="390"/>
      <c r="CU326" s="331"/>
      <c r="CV326" s="428"/>
      <c r="CW326" s="155"/>
      <c r="CX326" s="155"/>
      <c r="CY326" s="267"/>
      <c r="CZ326" s="323"/>
      <c r="DA326" s="323"/>
      <c r="DB326" s="423"/>
      <c r="DC326" s="155"/>
      <c r="DD326" s="155"/>
      <c r="DE326" s="267"/>
      <c r="DF326" s="323"/>
      <c r="DG326" s="323"/>
      <c r="DH326" s="428"/>
      <c r="DI326" s="155"/>
      <c r="DJ326" s="155"/>
      <c r="DK326" s="222"/>
      <c r="DL326" s="267"/>
      <c r="DM326" s="155"/>
      <c r="DN326" s="155"/>
      <c r="DO326" s="155"/>
      <c r="DP326" s="423"/>
      <c r="DQ326" s="155"/>
      <c r="DR326" s="155"/>
      <c r="DS326" s="222"/>
      <c r="DT326" s="267"/>
      <c r="DU326" s="174"/>
      <c r="DV326" s="174"/>
      <c r="DW326" s="200"/>
      <c r="DX326" s="428"/>
      <c r="DY326" s="155"/>
      <c r="DZ326" s="155"/>
      <c r="EA326" s="155"/>
      <c r="EB326" s="173"/>
      <c r="EC326" s="155"/>
      <c r="ED326" s="155"/>
      <c r="EE326" s="155"/>
      <c r="EF326" s="423"/>
      <c r="EG326" s="155"/>
      <c r="EH326" s="155"/>
      <c r="EI326" s="155"/>
      <c r="EJ326" s="267"/>
      <c r="EK326" s="155"/>
      <c r="EL326" s="155"/>
      <c r="EM326" s="155"/>
      <c r="EN326" s="428"/>
    </row>
    <row r="327" spans="1:144">
      <c r="A327" s="360"/>
      <c r="B327" s="172"/>
      <c r="C327" s="360"/>
      <c r="D327" s="172"/>
      <c r="E327" s="408"/>
      <c r="F327" s="408"/>
      <c r="G327" s="509"/>
      <c r="H327" s="546"/>
      <c r="I327" s="546"/>
      <c r="J327" s="251"/>
      <c r="K327" s="251"/>
      <c r="L327" s="509"/>
      <c r="M327" s="509"/>
      <c r="N327" s="509"/>
      <c r="O327" s="547"/>
      <c r="P327" s="200"/>
      <c r="Q327" s="174"/>
      <c r="R327" s="390"/>
      <c r="S327" s="510"/>
      <c r="T327" s="200"/>
      <c r="U327" s="174"/>
      <c r="V327" s="174"/>
      <c r="W327" s="510"/>
      <c r="X327" s="174"/>
      <c r="Y327" s="174"/>
      <c r="Z327" s="174"/>
      <c r="AA327" s="510"/>
      <c r="AB327" s="200"/>
      <c r="AC327" s="174"/>
      <c r="AD327" s="390"/>
      <c r="AE327" s="510"/>
      <c r="AF327" s="200"/>
      <c r="AG327" s="174"/>
      <c r="AH327" s="174"/>
      <c r="AI327" s="200"/>
      <c r="AJ327" s="548"/>
      <c r="AK327" s="200"/>
      <c r="AL327" s="174"/>
      <c r="AM327" s="390"/>
      <c r="AN327" s="510"/>
      <c r="AO327" s="200"/>
      <c r="AP327" s="174"/>
      <c r="AQ327" s="510"/>
      <c r="AR327" s="200"/>
      <c r="AS327" s="174"/>
      <c r="AT327" s="510"/>
      <c r="AU327" s="200"/>
      <c r="AV327" s="174"/>
      <c r="AW327" s="510"/>
      <c r="AX327" s="200"/>
      <c r="AY327" s="174"/>
      <c r="AZ327" s="510"/>
      <c r="BA327" s="174"/>
      <c r="BB327" s="174"/>
      <c r="BC327" s="174"/>
      <c r="BD327" s="174"/>
      <c r="BE327" s="174"/>
      <c r="BF327" s="510"/>
      <c r="BG327" s="174"/>
      <c r="BH327" s="174"/>
      <c r="BI327" s="174"/>
      <c r="BJ327" s="200"/>
      <c r="BK327" s="174"/>
      <c r="BL327" s="510"/>
      <c r="BM327" s="174"/>
      <c r="BN327" s="174"/>
      <c r="BO327" s="510"/>
      <c r="BP327" s="200"/>
      <c r="BQ327" s="447"/>
      <c r="BR327" s="510"/>
      <c r="BS327" s="174"/>
      <c r="BT327" s="174"/>
      <c r="BU327" s="510"/>
      <c r="BV327" s="200"/>
      <c r="BW327" s="174"/>
      <c r="BX327" s="510"/>
      <c r="BY327" s="174"/>
      <c r="BZ327" s="174"/>
      <c r="CA327" s="510"/>
      <c r="CB327" s="200"/>
      <c r="CC327" s="174"/>
      <c r="CD327" s="510"/>
      <c r="CE327" s="174"/>
      <c r="CF327" s="174"/>
      <c r="CG327" s="510"/>
      <c r="CH327" s="174"/>
      <c r="CI327" s="174"/>
      <c r="CJ327" s="174"/>
      <c r="CK327" s="174"/>
      <c r="CL327" s="174"/>
      <c r="CM327" s="510"/>
      <c r="CN327" s="174"/>
      <c r="CO327" s="549"/>
      <c r="CP327" s="510"/>
      <c r="CQ327" s="200"/>
      <c r="CR327" s="550"/>
      <c r="CS327" s="510"/>
      <c r="CT327" s="390"/>
      <c r="CU327" s="331"/>
      <c r="CV327" s="428"/>
      <c r="CW327" s="155"/>
      <c r="CX327" s="155"/>
      <c r="CY327" s="267"/>
      <c r="CZ327" s="323"/>
      <c r="DA327" s="323"/>
      <c r="DB327" s="423"/>
      <c r="DC327" s="155"/>
      <c r="DD327" s="155"/>
      <c r="DE327" s="267"/>
      <c r="DF327" s="323"/>
      <c r="DG327" s="323"/>
      <c r="DH327" s="428"/>
      <c r="DI327" s="155"/>
      <c r="DJ327" s="155"/>
      <c r="DK327" s="222"/>
      <c r="DL327" s="267"/>
      <c r="DM327" s="155"/>
      <c r="DN327" s="155"/>
      <c r="DO327" s="155"/>
      <c r="DP327" s="423"/>
      <c r="DQ327" s="155"/>
      <c r="DR327" s="155"/>
      <c r="DS327" s="222"/>
      <c r="DT327" s="267"/>
      <c r="DU327" s="174"/>
      <c r="DV327" s="174"/>
      <c r="DW327" s="200"/>
      <c r="DX327" s="428"/>
      <c r="DY327" s="155"/>
      <c r="DZ327" s="155"/>
      <c r="EA327" s="155"/>
      <c r="EB327" s="173"/>
      <c r="EC327" s="155"/>
      <c r="ED327" s="155"/>
      <c r="EE327" s="155"/>
      <c r="EF327" s="423"/>
      <c r="EG327" s="155"/>
      <c r="EH327" s="155"/>
      <c r="EI327" s="155"/>
      <c r="EJ327" s="267"/>
      <c r="EK327" s="155"/>
      <c r="EL327" s="155"/>
      <c r="EM327" s="155"/>
      <c r="EN327" s="428"/>
    </row>
    <row r="328" spans="1:144">
      <c r="A328" s="360"/>
      <c r="B328" s="172"/>
      <c r="C328" s="360"/>
      <c r="D328" s="172"/>
      <c r="E328" s="408"/>
      <c r="F328" s="408"/>
      <c r="G328" s="509"/>
      <c r="H328" s="546"/>
      <c r="I328" s="546"/>
      <c r="J328" s="251"/>
      <c r="K328" s="251"/>
      <c r="L328" s="509"/>
      <c r="M328" s="509"/>
      <c r="N328" s="509"/>
      <c r="O328" s="547"/>
      <c r="P328" s="200"/>
      <c r="Q328" s="174"/>
      <c r="R328" s="390"/>
      <c r="S328" s="510"/>
      <c r="T328" s="200"/>
      <c r="U328" s="174"/>
      <c r="V328" s="174"/>
      <c r="W328" s="510"/>
      <c r="X328" s="174"/>
      <c r="Y328" s="174"/>
      <c r="Z328" s="174"/>
      <c r="AA328" s="510"/>
      <c r="AB328" s="200"/>
      <c r="AC328" s="174"/>
      <c r="AD328" s="390"/>
      <c r="AE328" s="510"/>
      <c r="AF328" s="200"/>
      <c r="AG328" s="174"/>
      <c r="AH328" s="174"/>
      <c r="AI328" s="200"/>
      <c r="AJ328" s="548"/>
      <c r="AK328" s="200"/>
      <c r="AL328" s="174"/>
      <c r="AM328" s="390"/>
      <c r="AN328" s="510"/>
      <c r="AO328" s="200"/>
      <c r="AP328" s="174"/>
      <c r="AQ328" s="510"/>
      <c r="AR328" s="200"/>
      <c r="AS328" s="174"/>
      <c r="AT328" s="510"/>
      <c r="AU328" s="200"/>
      <c r="AV328" s="174"/>
      <c r="AW328" s="510"/>
      <c r="AX328" s="200"/>
      <c r="AY328" s="174"/>
      <c r="AZ328" s="510"/>
      <c r="BA328" s="174"/>
      <c r="BB328" s="174"/>
      <c r="BC328" s="174"/>
      <c r="BD328" s="174"/>
      <c r="BE328" s="174"/>
      <c r="BF328" s="510"/>
      <c r="BG328" s="174"/>
      <c r="BH328" s="174"/>
      <c r="BI328" s="174"/>
      <c r="BJ328" s="200"/>
      <c r="BK328" s="174"/>
      <c r="BL328" s="510"/>
      <c r="BM328" s="174"/>
      <c r="BN328" s="174"/>
      <c r="BO328" s="510"/>
      <c r="BP328" s="200"/>
      <c r="BQ328" s="447"/>
      <c r="BR328" s="510"/>
      <c r="BS328" s="174"/>
      <c r="BT328" s="174"/>
      <c r="BU328" s="510"/>
      <c r="BV328" s="200"/>
      <c r="BW328" s="174"/>
      <c r="BX328" s="510"/>
      <c r="BY328" s="174"/>
      <c r="BZ328" s="174"/>
      <c r="CA328" s="510"/>
      <c r="CB328" s="200"/>
      <c r="CC328" s="174"/>
      <c r="CD328" s="510"/>
      <c r="CE328" s="174"/>
      <c r="CF328" s="174"/>
      <c r="CG328" s="510"/>
      <c r="CH328" s="174"/>
      <c r="CI328" s="174"/>
      <c r="CJ328" s="174"/>
      <c r="CK328" s="174"/>
      <c r="CL328" s="174"/>
      <c r="CM328" s="510"/>
      <c r="CN328" s="174"/>
      <c r="CO328" s="549"/>
      <c r="CP328" s="510"/>
      <c r="CQ328" s="200"/>
      <c r="CR328" s="550"/>
      <c r="CS328" s="510"/>
      <c r="CT328" s="390"/>
      <c r="CU328" s="331"/>
      <c r="CV328" s="428"/>
      <c r="CW328" s="155"/>
      <c r="CX328" s="155"/>
      <c r="CY328" s="267"/>
      <c r="CZ328" s="323"/>
      <c r="DA328" s="323"/>
      <c r="DB328" s="423"/>
      <c r="DC328" s="155"/>
      <c r="DD328" s="155"/>
      <c r="DE328" s="267"/>
      <c r="DF328" s="323"/>
      <c r="DG328" s="323"/>
      <c r="DH328" s="428"/>
      <c r="DI328" s="155"/>
      <c r="DJ328" s="155"/>
      <c r="DK328" s="222"/>
      <c r="DL328" s="267"/>
      <c r="DM328" s="155"/>
      <c r="DN328" s="155"/>
      <c r="DO328" s="155"/>
      <c r="DP328" s="423"/>
      <c r="DQ328" s="155"/>
      <c r="DR328" s="155"/>
      <c r="DS328" s="222"/>
      <c r="DT328" s="267"/>
      <c r="DU328" s="174"/>
      <c r="DV328" s="174"/>
      <c r="DW328" s="200"/>
      <c r="DX328" s="428"/>
      <c r="DY328" s="155"/>
      <c r="DZ328" s="155"/>
      <c r="EA328" s="155"/>
      <c r="EB328" s="173"/>
      <c r="EC328" s="155"/>
      <c r="ED328" s="155"/>
      <c r="EE328" s="155"/>
      <c r="EF328" s="423"/>
      <c r="EG328" s="155"/>
      <c r="EH328" s="155"/>
      <c r="EI328" s="155"/>
      <c r="EJ328" s="267"/>
      <c r="EK328" s="155"/>
      <c r="EL328" s="155"/>
      <c r="EM328" s="155"/>
      <c r="EN328" s="428"/>
    </row>
    <row r="329" spans="1:144">
      <c r="A329" s="360"/>
      <c r="B329" s="172"/>
      <c r="C329" s="360"/>
      <c r="D329" s="172"/>
      <c r="E329" s="408"/>
      <c r="F329" s="408"/>
      <c r="G329" s="509"/>
      <c r="H329" s="546"/>
      <c r="I329" s="546"/>
      <c r="J329" s="251"/>
      <c r="K329" s="251"/>
      <c r="L329" s="509"/>
      <c r="M329" s="509"/>
      <c r="N329" s="509"/>
      <c r="O329" s="547"/>
      <c r="P329" s="200"/>
      <c r="Q329" s="174"/>
      <c r="R329" s="390"/>
      <c r="S329" s="510"/>
      <c r="T329" s="200"/>
      <c r="U329" s="174"/>
      <c r="V329" s="174"/>
      <c r="W329" s="510"/>
      <c r="X329" s="174"/>
      <c r="Y329" s="174"/>
      <c r="Z329" s="174"/>
      <c r="AA329" s="510"/>
      <c r="AB329" s="200"/>
      <c r="AC329" s="174"/>
      <c r="AD329" s="390"/>
      <c r="AE329" s="510"/>
      <c r="AF329" s="200"/>
      <c r="AG329" s="174"/>
      <c r="AH329" s="174"/>
      <c r="AI329" s="200"/>
      <c r="AJ329" s="548"/>
      <c r="AK329" s="200"/>
      <c r="AL329" s="174"/>
      <c r="AM329" s="390"/>
      <c r="AN329" s="510"/>
      <c r="AO329" s="200"/>
      <c r="AP329" s="174"/>
      <c r="AQ329" s="510"/>
      <c r="AR329" s="200"/>
      <c r="AS329" s="174"/>
      <c r="AT329" s="510"/>
      <c r="AU329" s="200"/>
      <c r="AV329" s="174"/>
      <c r="AW329" s="510"/>
      <c r="AX329" s="200"/>
      <c r="AY329" s="174"/>
      <c r="AZ329" s="510"/>
      <c r="BA329" s="174"/>
      <c r="BB329" s="174"/>
      <c r="BC329" s="174"/>
      <c r="BD329" s="174"/>
      <c r="BE329" s="174"/>
      <c r="BF329" s="510"/>
      <c r="BG329" s="174"/>
      <c r="BH329" s="174"/>
      <c r="BI329" s="174"/>
      <c r="BJ329" s="200"/>
      <c r="BK329" s="174"/>
      <c r="BL329" s="510"/>
      <c r="BM329" s="174"/>
      <c r="BN329" s="174"/>
      <c r="BO329" s="510"/>
      <c r="BP329" s="200"/>
      <c r="BQ329" s="447"/>
      <c r="BR329" s="510"/>
      <c r="BS329" s="174"/>
      <c r="BT329" s="174"/>
      <c r="BU329" s="510"/>
      <c r="BV329" s="200"/>
      <c r="BW329" s="174"/>
      <c r="BX329" s="510"/>
      <c r="BY329" s="174"/>
      <c r="BZ329" s="174"/>
      <c r="CA329" s="510"/>
      <c r="CB329" s="200"/>
      <c r="CC329" s="174"/>
      <c r="CD329" s="510"/>
      <c r="CE329" s="174"/>
      <c r="CF329" s="174"/>
      <c r="CG329" s="510"/>
      <c r="CH329" s="174"/>
      <c r="CI329" s="174"/>
      <c r="CJ329" s="174"/>
      <c r="CK329" s="174"/>
      <c r="CL329" s="174"/>
      <c r="CM329" s="510"/>
      <c r="CN329" s="174"/>
      <c r="CO329" s="549"/>
      <c r="CP329" s="510"/>
      <c r="CQ329" s="200"/>
      <c r="CR329" s="550"/>
      <c r="CS329" s="510"/>
      <c r="CT329" s="390"/>
      <c r="CU329" s="331"/>
      <c r="CV329" s="428"/>
      <c r="CW329" s="155"/>
      <c r="CX329" s="155"/>
      <c r="CY329" s="267"/>
      <c r="CZ329" s="323"/>
      <c r="DA329" s="323"/>
      <c r="DB329" s="423"/>
      <c r="DC329" s="155"/>
      <c r="DD329" s="155"/>
      <c r="DE329" s="267"/>
      <c r="DF329" s="323"/>
      <c r="DG329" s="323"/>
      <c r="DH329" s="428"/>
      <c r="DI329" s="155"/>
      <c r="DJ329" s="155"/>
      <c r="DK329" s="222"/>
      <c r="DL329" s="267"/>
      <c r="DM329" s="155"/>
      <c r="DN329" s="155"/>
      <c r="DO329" s="155"/>
      <c r="DP329" s="423"/>
      <c r="DQ329" s="155"/>
      <c r="DR329" s="155"/>
      <c r="DS329" s="222"/>
      <c r="DT329" s="267"/>
      <c r="DU329" s="174"/>
      <c r="DV329" s="174"/>
      <c r="DW329" s="200"/>
      <c r="DX329" s="428"/>
      <c r="DY329" s="155"/>
      <c r="DZ329" s="155"/>
      <c r="EA329" s="155"/>
      <c r="EB329" s="173"/>
      <c r="EC329" s="155"/>
      <c r="ED329" s="155"/>
      <c r="EE329" s="155"/>
      <c r="EF329" s="423"/>
      <c r="EG329" s="155"/>
      <c r="EH329" s="155"/>
      <c r="EI329" s="155"/>
      <c r="EJ329" s="267"/>
      <c r="EK329" s="155"/>
      <c r="EL329" s="155"/>
      <c r="EM329" s="155"/>
      <c r="EN329" s="428"/>
    </row>
    <row r="330" spans="1:144">
      <c r="A330" s="360"/>
      <c r="B330" s="172"/>
      <c r="C330" s="360"/>
      <c r="D330" s="172"/>
      <c r="E330" s="408"/>
      <c r="F330" s="408"/>
      <c r="G330" s="509"/>
      <c r="H330" s="546"/>
      <c r="I330" s="546"/>
      <c r="J330" s="251"/>
      <c r="K330" s="251"/>
      <c r="L330" s="509"/>
      <c r="M330" s="509"/>
      <c r="N330" s="509"/>
      <c r="O330" s="547"/>
      <c r="P330" s="200"/>
      <c r="Q330" s="174"/>
      <c r="R330" s="390"/>
      <c r="S330" s="510"/>
      <c r="T330" s="200"/>
      <c r="U330" s="174"/>
      <c r="V330" s="174"/>
      <c r="W330" s="510"/>
      <c r="X330" s="174"/>
      <c r="Y330" s="174"/>
      <c r="Z330" s="174"/>
      <c r="AA330" s="510"/>
      <c r="AB330" s="200"/>
      <c r="AC330" s="174"/>
      <c r="AD330" s="390"/>
      <c r="AE330" s="510"/>
      <c r="AF330" s="200"/>
      <c r="AG330" s="174"/>
      <c r="AH330" s="174"/>
      <c r="AI330" s="200"/>
      <c r="AJ330" s="548"/>
      <c r="AK330" s="200"/>
      <c r="AL330" s="174"/>
      <c r="AM330" s="390"/>
      <c r="AN330" s="510"/>
      <c r="AO330" s="200"/>
      <c r="AP330" s="174"/>
      <c r="AQ330" s="510"/>
      <c r="AR330" s="200"/>
      <c r="AS330" s="174"/>
      <c r="AT330" s="510"/>
      <c r="AU330" s="200"/>
      <c r="AV330" s="174"/>
      <c r="AW330" s="510"/>
      <c r="AX330" s="200"/>
      <c r="AY330" s="174"/>
      <c r="AZ330" s="510"/>
      <c r="BA330" s="174"/>
      <c r="BB330" s="174"/>
      <c r="BC330" s="174"/>
      <c r="BD330" s="174"/>
      <c r="BE330" s="174"/>
      <c r="BF330" s="510"/>
      <c r="BG330" s="174"/>
      <c r="BH330" s="174"/>
      <c r="BI330" s="174"/>
      <c r="BJ330" s="200"/>
      <c r="BK330" s="174"/>
      <c r="BL330" s="510"/>
      <c r="BM330" s="174"/>
      <c r="BN330" s="174"/>
      <c r="BO330" s="510"/>
      <c r="BP330" s="200"/>
      <c r="BQ330" s="447"/>
      <c r="BR330" s="510"/>
      <c r="BS330" s="174"/>
      <c r="BT330" s="174"/>
      <c r="BU330" s="510"/>
      <c r="BV330" s="200"/>
      <c r="BW330" s="174"/>
      <c r="BX330" s="510"/>
      <c r="BY330" s="174"/>
      <c r="BZ330" s="174"/>
      <c r="CA330" s="510"/>
      <c r="CB330" s="200"/>
      <c r="CC330" s="174"/>
      <c r="CD330" s="510"/>
      <c r="CE330" s="174"/>
      <c r="CF330" s="174"/>
      <c r="CG330" s="510"/>
      <c r="CH330" s="174"/>
      <c r="CI330" s="174"/>
      <c r="CJ330" s="174"/>
      <c r="CK330" s="174"/>
      <c r="CL330" s="174"/>
      <c r="CM330" s="510"/>
      <c r="CN330" s="174"/>
      <c r="CO330" s="549"/>
      <c r="CP330" s="510"/>
      <c r="CQ330" s="200"/>
      <c r="CR330" s="550"/>
      <c r="CS330" s="510"/>
      <c r="CT330" s="390"/>
      <c r="CU330" s="331"/>
      <c r="CV330" s="428"/>
      <c r="CW330" s="155"/>
      <c r="CX330" s="155"/>
      <c r="CY330" s="267"/>
      <c r="CZ330" s="323"/>
      <c r="DA330" s="323"/>
      <c r="DB330" s="423"/>
      <c r="DC330" s="155"/>
      <c r="DD330" s="155"/>
      <c r="DE330" s="267"/>
      <c r="DF330" s="323"/>
      <c r="DG330" s="323"/>
      <c r="DH330" s="428"/>
      <c r="DI330" s="155"/>
      <c r="DJ330" s="155"/>
      <c r="DK330" s="222"/>
      <c r="DL330" s="267"/>
      <c r="DM330" s="155"/>
      <c r="DN330" s="155"/>
      <c r="DO330" s="155"/>
      <c r="DP330" s="423"/>
      <c r="DQ330" s="155"/>
      <c r="DR330" s="155"/>
      <c r="DS330" s="222"/>
      <c r="DT330" s="267"/>
      <c r="DU330" s="174"/>
      <c r="DV330" s="174"/>
      <c r="DW330" s="200"/>
      <c r="DX330" s="428"/>
      <c r="DY330" s="155"/>
      <c r="DZ330" s="155"/>
      <c r="EA330" s="155"/>
      <c r="EB330" s="173"/>
      <c r="EC330" s="155"/>
      <c r="ED330" s="155"/>
      <c r="EE330" s="155"/>
      <c r="EF330" s="423"/>
      <c r="EG330" s="155"/>
      <c r="EH330" s="155"/>
      <c r="EI330" s="155"/>
      <c r="EJ330" s="267"/>
      <c r="EK330" s="155"/>
      <c r="EL330" s="155"/>
      <c r="EM330" s="155"/>
      <c r="EN330" s="428"/>
    </row>
    <row r="331" spans="1:144">
      <c r="A331" s="360"/>
      <c r="B331" s="172"/>
      <c r="C331" s="360"/>
      <c r="D331" s="172"/>
      <c r="E331" s="408"/>
      <c r="F331" s="408"/>
      <c r="G331" s="509"/>
      <c r="H331" s="546"/>
      <c r="I331" s="546"/>
      <c r="J331" s="251"/>
      <c r="K331" s="251"/>
      <c r="L331" s="509"/>
      <c r="M331" s="509"/>
      <c r="N331" s="509"/>
      <c r="O331" s="547"/>
      <c r="P331" s="200"/>
      <c r="Q331" s="174"/>
      <c r="R331" s="390"/>
      <c r="S331" s="510"/>
      <c r="T331" s="200"/>
      <c r="U331" s="174"/>
      <c r="V331" s="174"/>
      <c r="W331" s="510"/>
      <c r="X331" s="174"/>
      <c r="Y331" s="174"/>
      <c r="Z331" s="174"/>
      <c r="AA331" s="510"/>
      <c r="AB331" s="200"/>
      <c r="AC331" s="174"/>
      <c r="AD331" s="390"/>
      <c r="AE331" s="510"/>
      <c r="AF331" s="200"/>
      <c r="AG331" s="174"/>
      <c r="AH331" s="174"/>
      <c r="AI331" s="200"/>
      <c r="AJ331" s="548"/>
      <c r="AK331" s="200"/>
      <c r="AL331" s="174"/>
      <c r="AM331" s="390"/>
      <c r="AN331" s="510"/>
      <c r="AO331" s="200"/>
      <c r="AP331" s="174"/>
      <c r="AQ331" s="510"/>
      <c r="AR331" s="200"/>
      <c r="AS331" s="174"/>
      <c r="AT331" s="510"/>
      <c r="AU331" s="200"/>
      <c r="AV331" s="174"/>
      <c r="AW331" s="510"/>
      <c r="AX331" s="200"/>
      <c r="AY331" s="174"/>
      <c r="AZ331" s="510"/>
      <c r="BA331" s="174"/>
      <c r="BB331" s="174"/>
      <c r="BC331" s="174"/>
      <c r="BD331" s="174"/>
      <c r="BE331" s="174"/>
      <c r="BF331" s="510"/>
      <c r="BG331" s="174"/>
      <c r="BH331" s="174"/>
      <c r="BI331" s="174"/>
      <c r="BJ331" s="200"/>
      <c r="BK331" s="174"/>
      <c r="BL331" s="510"/>
      <c r="BM331" s="174"/>
      <c r="BN331" s="174"/>
      <c r="BO331" s="510"/>
      <c r="BP331" s="200"/>
      <c r="BQ331" s="447"/>
      <c r="BR331" s="510"/>
      <c r="BS331" s="174"/>
      <c r="BT331" s="174"/>
      <c r="BU331" s="510"/>
      <c r="BV331" s="200"/>
      <c r="BW331" s="174"/>
      <c r="BX331" s="510"/>
      <c r="BY331" s="174"/>
      <c r="BZ331" s="174"/>
      <c r="CA331" s="510"/>
      <c r="CB331" s="200"/>
      <c r="CC331" s="174"/>
      <c r="CD331" s="510"/>
      <c r="CE331" s="174"/>
      <c r="CF331" s="174"/>
      <c r="CG331" s="510"/>
      <c r="CH331" s="174"/>
      <c r="CI331" s="174"/>
      <c r="CJ331" s="174"/>
      <c r="CK331" s="174"/>
      <c r="CL331" s="174"/>
      <c r="CM331" s="510"/>
      <c r="CN331" s="174"/>
      <c r="CO331" s="549"/>
      <c r="CP331" s="510"/>
      <c r="CQ331" s="200"/>
      <c r="CR331" s="550"/>
      <c r="CS331" s="510"/>
      <c r="CT331" s="390"/>
      <c r="CU331" s="331"/>
      <c r="CV331" s="428"/>
      <c r="CW331" s="155"/>
      <c r="CX331" s="155"/>
      <c r="CY331" s="267"/>
      <c r="CZ331" s="323"/>
      <c r="DA331" s="323"/>
      <c r="DB331" s="423"/>
      <c r="DC331" s="155"/>
      <c r="DD331" s="155"/>
      <c r="DE331" s="267"/>
      <c r="DF331" s="323"/>
      <c r="DG331" s="323"/>
      <c r="DH331" s="428"/>
      <c r="DI331" s="155"/>
      <c r="DJ331" s="155"/>
      <c r="DK331" s="222"/>
      <c r="DL331" s="267"/>
      <c r="DM331" s="155"/>
      <c r="DN331" s="155"/>
      <c r="DO331" s="155"/>
      <c r="DP331" s="423"/>
      <c r="DQ331" s="155"/>
      <c r="DR331" s="155"/>
      <c r="DS331" s="222"/>
      <c r="DT331" s="267"/>
      <c r="DU331" s="174"/>
      <c r="DV331" s="174"/>
      <c r="DW331" s="200"/>
      <c r="DX331" s="428"/>
      <c r="DY331" s="155"/>
      <c r="DZ331" s="155"/>
      <c r="EA331" s="155"/>
      <c r="EB331" s="173"/>
      <c r="EC331" s="155"/>
      <c r="ED331" s="155"/>
      <c r="EE331" s="155"/>
      <c r="EF331" s="423"/>
      <c r="EG331" s="155"/>
      <c r="EH331" s="155"/>
      <c r="EI331" s="155"/>
      <c r="EJ331" s="267"/>
      <c r="EK331" s="155"/>
      <c r="EL331" s="155"/>
      <c r="EM331" s="155"/>
      <c r="EN331" s="428"/>
    </row>
    <row r="332" spans="1:144">
      <c r="A332" s="360"/>
      <c r="B332" s="172"/>
      <c r="C332" s="360"/>
      <c r="D332" s="172"/>
      <c r="E332" s="408"/>
      <c r="F332" s="408"/>
      <c r="G332" s="509"/>
      <c r="H332" s="546"/>
      <c r="I332" s="546"/>
      <c r="J332" s="251"/>
      <c r="K332" s="251"/>
      <c r="L332" s="509"/>
      <c r="M332" s="509"/>
      <c r="N332" s="509"/>
      <c r="O332" s="547"/>
      <c r="P332" s="200"/>
      <c r="Q332" s="174"/>
      <c r="R332" s="390"/>
      <c r="S332" s="510"/>
      <c r="T332" s="200"/>
      <c r="U332" s="174"/>
      <c r="V332" s="174"/>
      <c r="W332" s="510"/>
      <c r="X332" s="174"/>
      <c r="Y332" s="174"/>
      <c r="Z332" s="174"/>
      <c r="AA332" s="510"/>
      <c r="AB332" s="200"/>
      <c r="AC332" s="174"/>
      <c r="AD332" s="390"/>
      <c r="AE332" s="510"/>
      <c r="AF332" s="200"/>
      <c r="AG332" s="174"/>
      <c r="AH332" s="174"/>
      <c r="AI332" s="200"/>
      <c r="AJ332" s="548"/>
      <c r="AK332" s="200"/>
      <c r="AL332" s="174"/>
      <c r="AM332" s="390"/>
      <c r="AN332" s="510"/>
      <c r="AO332" s="200"/>
      <c r="AP332" s="174"/>
      <c r="AQ332" s="510"/>
      <c r="AR332" s="200"/>
      <c r="AS332" s="174"/>
      <c r="AT332" s="510"/>
      <c r="AU332" s="200"/>
      <c r="AV332" s="174"/>
      <c r="AW332" s="510"/>
      <c r="AX332" s="200"/>
      <c r="AY332" s="174"/>
      <c r="AZ332" s="510"/>
      <c r="BA332" s="174"/>
      <c r="BB332" s="174"/>
      <c r="BC332" s="174"/>
      <c r="BD332" s="174"/>
      <c r="BE332" s="174"/>
      <c r="BF332" s="510"/>
      <c r="BG332" s="174"/>
      <c r="BH332" s="174"/>
      <c r="BI332" s="174"/>
      <c r="BJ332" s="200"/>
      <c r="BK332" s="174"/>
      <c r="BL332" s="510"/>
      <c r="BM332" s="174"/>
      <c r="BN332" s="174"/>
      <c r="BO332" s="510"/>
      <c r="BP332" s="200"/>
      <c r="BQ332" s="447"/>
      <c r="BR332" s="510"/>
      <c r="BS332" s="174"/>
      <c r="BT332" s="174"/>
      <c r="BU332" s="510"/>
      <c r="BV332" s="200"/>
      <c r="BW332" s="174"/>
      <c r="BX332" s="510"/>
      <c r="BY332" s="174"/>
      <c r="BZ332" s="174"/>
      <c r="CA332" s="510"/>
      <c r="CB332" s="200"/>
      <c r="CC332" s="174"/>
      <c r="CD332" s="510"/>
      <c r="CE332" s="174"/>
      <c r="CF332" s="174"/>
      <c r="CG332" s="510"/>
      <c r="CH332" s="174"/>
      <c r="CI332" s="174"/>
      <c r="CJ332" s="174"/>
      <c r="CK332" s="174"/>
      <c r="CL332" s="174"/>
      <c r="CM332" s="510"/>
      <c r="CN332" s="174"/>
      <c r="CO332" s="549"/>
      <c r="CP332" s="510"/>
      <c r="CQ332" s="200"/>
      <c r="CR332" s="550"/>
      <c r="CS332" s="510"/>
      <c r="CT332" s="390"/>
      <c r="CU332" s="331"/>
      <c r="CV332" s="428"/>
      <c r="CW332" s="155"/>
      <c r="CX332" s="155"/>
      <c r="CY332" s="267"/>
      <c r="CZ332" s="323"/>
      <c r="DA332" s="323"/>
      <c r="DB332" s="423"/>
      <c r="DC332" s="155"/>
      <c r="DD332" s="155"/>
      <c r="DE332" s="267"/>
      <c r="DF332" s="323"/>
      <c r="DG332" s="323"/>
      <c r="DH332" s="428"/>
      <c r="DI332" s="155"/>
      <c r="DJ332" s="155"/>
      <c r="DK332" s="222"/>
      <c r="DL332" s="267"/>
      <c r="DM332" s="155"/>
      <c r="DN332" s="155"/>
      <c r="DO332" s="155"/>
      <c r="DP332" s="423"/>
      <c r="DQ332" s="155"/>
      <c r="DR332" s="155"/>
      <c r="DS332" s="222"/>
      <c r="DT332" s="267"/>
      <c r="DU332" s="174"/>
      <c r="DV332" s="174"/>
      <c r="DW332" s="200"/>
      <c r="DX332" s="428"/>
      <c r="DY332" s="155"/>
      <c r="DZ332" s="155"/>
      <c r="EA332" s="155"/>
      <c r="EB332" s="173"/>
      <c r="EC332" s="155"/>
      <c r="ED332" s="155"/>
      <c r="EE332" s="155"/>
      <c r="EF332" s="423"/>
      <c r="EG332" s="155"/>
      <c r="EH332" s="155"/>
      <c r="EI332" s="155"/>
      <c r="EJ332" s="267"/>
      <c r="EK332" s="155"/>
      <c r="EL332" s="155"/>
      <c r="EM332" s="155"/>
      <c r="EN332" s="428"/>
    </row>
    <row r="333" spans="1:144">
      <c r="A333" s="360"/>
      <c r="B333" s="172"/>
      <c r="C333" s="360"/>
      <c r="D333" s="172"/>
      <c r="E333" s="408"/>
      <c r="F333" s="408"/>
      <c r="G333" s="509"/>
      <c r="H333" s="546"/>
      <c r="I333" s="546"/>
      <c r="J333" s="251"/>
      <c r="K333" s="251"/>
      <c r="L333" s="509"/>
      <c r="M333" s="509"/>
      <c r="N333" s="509"/>
      <c r="O333" s="547"/>
      <c r="P333" s="200"/>
      <c r="Q333" s="174"/>
      <c r="R333" s="390"/>
      <c r="S333" s="510"/>
      <c r="T333" s="200"/>
      <c r="U333" s="174"/>
      <c r="V333" s="174"/>
      <c r="W333" s="510"/>
      <c r="X333" s="174"/>
      <c r="Y333" s="174"/>
      <c r="Z333" s="174"/>
      <c r="AA333" s="510"/>
      <c r="AB333" s="200"/>
      <c r="AC333" s="174"/>
      <c r="AD333" s="390"/>
      <c r="AE333" s="510"/>
      <c r="AF333" s="200"/>
      <c r="AG333" s="174"/>
      <c r="AH333" s="174"/>
      <c r="AI333" s="200"/>
      <c r="AJ333" s="548"/>
      <c r="AK333" s="200"/>
      <c r="AL333" s="174"/>
      <c r="AM333" s="390"/>
      <c r="AN333" s="510"/>
      <c r="AO333" s="200"/>
      <c r="AP333" s="174"/>
      <c r="AQ333" s="510"/>
      <c r="AR333" s="200"/>
      <c r="AS333" s="174"/>
      <c r="AT333" s="510"/>
      <c r="AU333" s="200"/>
      <c r="AV333" s="174"/>
      <c r="AW333" s="510"/>
      <c r="AX333" s="200"/>
      <c r="AY333" s="174"/>
      <c r="AZ333" s="510"/>
      <c r="BA333" s="174"/>
      <c r="BB333" s="174"/>
      <c r="BC333" s="174"/>
      <c r="BD333" s="174"/>
      <c r="BE333" s="174"/>
      <c r="BF333" s="510"/>
      <c r="BG333" s="174"/>
      <c r="BH333" s="174"/>
      <c r="BI333" s="174"/>
      <c r="BJ333" s="200"/>
      <c r="BK333" s="174"/>
      <c r="BL333" s="510"/>
      <c r="BM333" s="174"/>
      <c r="BN333" s="174"/>
      <c r="BO333" s="510"/>
      <c r="BP333" s="200"/>
      <c r="BQ333" s="447"/>
      <c r="BR333" s="510"/>
      <c r="BS333" s="174"/>
      <c r="BT333" s="174"/>
      <c r="BU333" s="510"/>
      <c r="BV333" s="200"/>
      <c r="BW333" s="174"/>
      <c r="BX333" s="510"/>
      <c r="BY333" s="174"/>
      <c r="BZ333" s="174"/>
      <c r="CA333" s="510"/>
      <c r="CB333" s="200"/>
      <c r="CC333" s="174"/>
      <c r="CD333" s="510"/>
      <c r="CE333" s="174"/>
      <c r="CF333" s="174"/>
      <c r="CG333" s="510"/>
      <c r="CH333" s="174"/>
      <c r="CI333" s="174"/>
      <c r="CJ333" s="174"/>
      <c r="CK333" s="174"/>
      <c r="CL333" s="174"/>
      <c r="CM333" s="510"/>
      <c r="CN333" s="174"/>
      <c r="CO333" s="549"/>
      <c r="CP333" s="510"/>
      <c r="CQ333" s="200"/>
      <c r="CR333" s="550"/>
      <c r="CS333" s="510"/>
      <c r="CT333" s="390"/>
      <c r="CU333" s="331"/>
      <c r="CV333" s="428"/>
      <c r="CW333" s="155"/>
      <c r="CX333" s="155"/>
      <c r="CY333" s="267"/>
      <c r="CZ333" s="323"/>
      <c r="DA333" s="323"/>
      <c r="DB333" s="423"/>
      <c r="DC333" s="155"/>
      <c r="DD333" s="155"/>
      <c r="DE333" s="267"/>
      <c r="DF333" s="323"/>
      <c r="DG333" s="323"/>
      <c r="DH333" s="428"/>
      <c r="DI333" s="155"/>
      <c r="DJ333" s="155"/>
      <c r="DK333" s="222"/>
      <c r="DL333" s="267"/>
      <c r="DM333" s="155"/>
      <c r="DN333" s="155"/>
      <c r="DO333" s="155"/>
      <c r="DP333" s="423"/>
      <c r="DQ333" s="155"/>
      <c r="DR333" s="155"/>
      <c r="DS333" s="222"/>
      <c r="DT333" s="267"/>
      <c r="DU333" s="174"/>
      <c r="DV333" s="174"/>
      <c r="DW333" s="200"/>
      <c r="DX333" s="428"/>
      <c r="DY333" s="155"/>
      <c r="DZ333" s="155"/>
      <c r="EA333" s="155"/>
      <c r="EB333" s="173"/>
      <c r="EC333" s="155"/>
      <c r="ED333" s="155"/>
      <c r="EE333" s="155"/>
      <c r="EF333" s="423"/>
      <c r="EG333" s="155"/>
      <c r="EH333" s="155"/>
      <c r="EI333" s="155"/>
      <c r="EJ333" s="267"/>
      <c r="EK333" s="155"/>
      <c r="EL333" s="155"/>
      <c r="EM333" s="155"/>
      <c r="EN333" s="428"/>
    </row>
    <row r="334" spans="1:144">
      <c r="A334" s="360"/>
      <c r="B334" s="172"/>
      <c r="C334" s="360"/>
      <c r="D334" s="172"/>
      <c r="E334" s="408"/>
      <c r="F334" s="408"/>
      <c r="G334" s="509"/>
      <c r="H334" s="546"/>
      <c r="I334" s="546"/>
      <c r="J334" s="251"/>
      <c r="K334" s="251"/>
      <c r="L334" s="509"/>
      <c r="M334" s="509"/>
      <c r="N334" s="509"/>
      <c r="O334" s="547"/>
      <c r="P334" s="200"/>
      <c r="Q334" s="174"/>
      <c r="R334" s="390"/>
      <c r="S334" s="510"/>
      <c r="T334" s="200"/>
      <c r="U334" s="174"/>
      <c r="V334" s="174"/>
      <c r="W334" s="510"/>
      <c r="X334" s="174"/>
      <c r="Y334" s="174"/>
      <c r="Z334" s="174"/>
      <c r="AA334" s="510"/>
      <c r="AB334" s="200"/>
      <c r="AC334" s="174"/>
      <c r="AD334" s="390"/>
      <c r="AE334" s="510"/>
      <c r="AF334" s="200"/>
      <c r="AG334" s="174"/>
      <c r="AH334" s="174"/>
      <c r="AI334" s="200"/>
      <c r="AJ334" s="548"/>
      <c r="AK334" s="200"/>
      <c r="AL334" s="174"/>
      <c r="AM334" s="390"/>
      <c r="AN334" s="510"/>
      <c r="AO334" s="200"/>
      <c r="AP334" s="174"/>
      <c r="AQ334" s="510"/>
      <c r="AR334" s="200"/>
      <c r="AS334" s="174"/>
      <c r="AT334" s="510"/>
      <c r="AU334" s="200"/>
      <c r="AV334" s="174"/>
      <c r="AW334" s="510"/>
      <c r="AX334" s="200"/>
      <c r="AY334" s="174"/>
      <c r="AZ334" s="510"/>
      <c r="BA334" s="174"/>
      <c r="BB334" s="174"/>
      <c r="BC334" s="174"/>
      <c r="BD334" s="174"/>
      <c r="BE334" s="174"/>
      <c r="BF334" s="510"/>
      <c r="BG334" s="174"/>
      <c r="BH334" s="174"/>
      <c r="BI334" s="174"/>
      <c r="BJ334" s="200"/>
      <c r="BK334" s="174"/>
      <c r="BL334" s="510"/>
      <c r="BM334" s="174"/>
      <c r="BN334" s="174"/>
      <c r="BO334" s="510"/>
      <c r="BP334" s="200"/>
      <c r="BQ334" s="447"/>
      <c r="BR334" s="510"/>
      <c r="BS334" s="174"/>
      <c r="BT334" s="174"/>
      <c r="BU334" s="510"/>
      <c r="BV334" s="200"/>
      <c r="BW334" s="174"/>
      <c r="BX334" s="510"/>
      <c r="BY334" s="174"/>
      <c r="BZ334" s="174"/>
      <c r="CA334" s="510"/>
      <c r="CB334" s="200"/>
      <c r="CC334" s="174"/>
      <c r="CD334" s="510"/>
      <c r="CE334" s="174"/>
      <c r="CF334" s="174"/>
      <c r="CG334" s="510"/>
      <c r="CH334" s="174"/>
      <c r="CI334" s="174"/>
      <c r="CJ334" s="174"/>
      <c r="CK334" s="174"/>
      <c r="CL334" s="174"/>
      <c r="CM334" s="510"/>
      <c r="CN334" s="174"/>
      <c r="CO334" s="549"/>
      <c r="CP334" s="510"/>
      <c r="CQ334" s="200"/>
      <c r="CR334" s="550"/>
      <c r="CS334" s="510"/>
      <c r="CT334" s="390"/>
      <c r="CU334" s="331"/>
      <c r="CV334" s="428"/>
      <c r="CW334" s="155"/>
      <c r="CX334" s="155"/>
      <c r="CY334" s="267"/>
      <c r="CZ334" s="323"/>
      <c r="DA334" s="323"/>
      <c r="DB334" s="423"/>
      <c r="DC334" s="155"/>
      <c r="DD334" s="155"/>
      <c r="DE334" s="267"/>
      <c r="DF334" s="323"/>
      <c r="DG334" s="323"/>
      <c r="DH334" s="428"/>
      <c r="DI334" s="155"/>
      <c r="DJ334" s="155"/>
      <c r="DK334" s="222"/>
      <c r="DL334" s="267"/>
      <c r="DM334" s="155"/>
      <c r="DN334" s="155"/>
      <c r="DO334" s="155"/>
      <c r="DP334" s="423"/>
      <c r="DQ334" s="155"/>
      <c r="DR334" s="155"/>
      <c r="DS334" s="222"/>
      <c r="DT334" s="267"/>
      <c r="DU334" s="174"/>
      <c r="DV334" s="174"/>
      <c r="DW334" s="200"/>
      <c r="DX334" s="428"/>
      <c r="DY334" s="155"/>
      <c r="DZ334" s="155"/>
      <c r="EA334" s="155"/>
      <c r="EB334" s="173"/>
      <c r="EC334" s="155"/>
      <c r="ED334" s="155"/>
      <c r="EE334" s="155"/>
      <c r="EF334" s="423"/>
      <c r="EG334" s="155"/>
      <c r="EH334" s="155"/>
      <c r="EI334" s="155"/>
      <c r="EJ334" s="267"/>
      <c r="EK334" s="155"/>
      <c r="EL334" s="155"/>
      <c r="EM334" s="155"/>
      <c r="EN334" s="428"/>
    </row>
    <row r="335" spans="1:144">
      <c r="A335" s="360"/>
      <c r="B335" s="172"/>
      <c r="C335" s="360"/>
      <c r="D335" s="172"/>
      <c r="E335" s="408"/>
      <c r="F335" s="408"/>
      <c r="G335" s="509"/>
      <c r="H335" s="546"/>
      <c r="I335" s="546"/>
      <c r="J335" s="251"/>
      <c r="K335" s="251"/>
      <c r="L335" s="509"/>
      <c r="M335" s="509"/>
      <c r="N335" s="509"/>
      <c r="O335" s="547"/>
      <c r="P335" s="200"/>
      <c r="Q335" s="174"/>
      <c r="R335" s="390"/>
      <c r="S335" s="510"/>
      <c r="T335" s="200"/>
      <c r="U335" s="174"/>
      <c r="V335" s="174"/>
      <c r="W335" s="510"/>
      <c r="X335" s="174"/>
      <c r="Y335" s="174"/>
      <c r="Z335" s="174"/>
      <c r="AA335" s="510"/>
      <c r="AB335" s="200"/>
      <c r="AC335" s="174"/>
      <c r="AD335" s="390"/>
      <c r="AE335" s="510"/>
      <c r="AF335" s="200"/>
      <c r="AG335" s="174"/>
      <c r="AH335" s="174"/>
      <c r="AI335" s="200"/>
      <c r="AJ335" s="548"/>
      <c r="AK335" s="200"/>
      <c r="AL335" s="174"/>
      <c r="AM335" s="390"/>
      <c r="AN335" s="510"/>
      <c r="AO335" s="200"/>
      <c r="AP335" s="174"/>
      <c r="AQ335" s="510"/>
      <c r="AR335" s="200"/>
      <c r="AS335" s="174"/>
      <c r="AT335" s="510"/>
      <c r="AU335" s="200"/>
      <c r="AV335" s="174"/>
      <c r="AW335" s="510"/>
      <c r="AX335" s="200"/>
      <c r="AY335" s="174"/>
      <c r="AZ335" s="510"/>
      <c r="BA335" s="174"/>
      <c r="BB335" s="174"/>
      <c r="BC335" s="174"/>
      <c r="BD335" s="174"/>
      <c r="BE335" s="174"/>
      <c r="BF335" s="510"/>
      <c r="BG335" s="174"/>
      <c r="BH335" s="174"/>
      <c r="BI335" s="174"/>
      <c r="BJ335" s="200"/>
      <c r="BK335" s="174"/>
      <c r="BL335" s="510"/>
      <c r="BM335" s="174"/>
      <c r="BN335" s="174"/>
      <c r="BO335" s="510"/>
      <c r="BP335" s="200"/>
      <c r="BQ335" s="447"/>
      <c r="BR335" s="510"/>
      <c r="BS335" s="174"/>
      <c r="BT335" s="174"/>
      <c r="BU335" s="510"/>
      <c r="BV335" s="200"/>
      <c r="BW335" s="174"/>
      <c r="BX335" s="510"/>
      <c r="BY335" s="174"/>
      <c r="BZ335" s="174"/>
      <c r="CA335" s="510"/>
      <c r="CB335" s="200"/>
      <c r="CC335" s="174"/>
      <c r="CD335" s="510"/>
      <c r="CE335" s="174"/>
      <c r="CF335" s="174"/>
      <c r="CG335" s="510"/>
      <c r="CH335" s="174"/>
      <c r="CI335" s="174"/>
      <c r="CJ335" s="174"/>
      <c r="CK335" s="174"/>
      <c r="CL335" s="174"/>
      <c r="CM335" s="510"/>
      <c r="CN335" s="174"/>
      <c r="CO335" s="549"/>
      <c r="CP335" s="510"/>
      <c r="CQ335" s="200"/>
      <c r="CR335" s="550"/>
      <c r="CS335" s="510"/>
      <c r="CT335" s="390"/>
      <c r="CU335" s="331"/>
      <c r="CV335" s="428"/>
      <c r="CW335" s="155"/>
      <c r="CX335" s="155"/>
      <c r="CY335" s="267"/>
      <c r="CZ335" s="323"/>
      <c r="DA335" s="323"/>
      <c r="DB335" s="423"/>
      <c r="DC335" s="155"/>
      <c r="DD335" s="155"/>
      <c r="DE335" s="267"/>
      <c r="DF335" s="323"/>
      <c r="DG335" s="323"/>
      <c r="DH335" s="428"/>
      <c r="DI335" s="155"/>
      <c r="DJ335" s="155"/>
      <c r="DK335" s="222"/>
      <c r="DL335" s="267"/>
      <c r="DM335" s="155"/>
      <c r="DN335" s="155"/>
      <c r="DO335" s="155"/>
      <c r="DP335" s="423"/>
      <c r="DQ335" s="155"/>
      <c r="DR335" s="155"/>
      <c r="DS335" s="222"/>
      <c r="DT335" s="267"/>
      <c r="DU335" s="174"/>
      <c r="DV335" s="174"/>
      <c r="DW335" s="200"/>
      <c r="DX335" s="428"/>
      <c r="DY335" s="155"/>
      <c r="DZ335" s="155"/>
      <c r="EA335" s="155"/>
      <c r="EB335" s="173"/>
      <c r="EC335" s="155"/>
      <c r="ED335" s="155"/>
      <c r="EE335" s="155"/>
      <c r="EF335" s="423"/>
      <c r="EG335" s="155"/>
      <c r="EH335" s="155"/>
      <c r="EI335" s="155"/>
      <c r="EJ335" s="267"/>
      <c r="EK335" s="155"/>
      <c r="EL335" s="155"/>
      <c r="EM335" s="155"/>
      <c r="EN335" s="428"/>
    </row>
    <row r="336" spans="1:144">
      <c r="A336" s="360"/>
      <c r="B336" s="172"/>
      <c r="C336" s="360"/>
      <c r="D336" s="172"/>
      <c r="E336" s="408"/>
      <c r="F336" s="408"/>
      <c r="G336" s="509"/>
      <c r="H336" s="546"/>
      <c r="I336" s="546"/>
      <c r="J336" s="251"/>
      <c r="K336" s="251"/>
      <c r="L336" s="509"/>
      <c r="M336" s="509"/>
      <c r="N336" s="509"/>
      <c r="O336" s="547"/>
      <c r="P336" s="200"/>
      <c r="Q336" s="174"/>
      <c r="R336" s="390"/>
      <c r="S336" s="510"/>
      <c r="T336" s="200"/>
      <c r="U336" s="174"/>
      <c r="V336" s="174"/>
      <c r="W336" s="510"/>
      <c r="X336" s="174"/>
      <c r="Y336" s="174"/>
      <c r="Z336" s="174"/>
      <c r="AA336" s="510"/>
      <c r="AB336" s="200"/>
      <c r="AC336" s="174"/>
      <c r="AD336" s="390"/>
      <c r="AE336" s="510"/>
      <c r="AF336" s="200"/>
      <c r="AG336" s="174"/>
      <c r="AH336" s="174"/>
      <c r="AI336" s="200"/>
      <c r="AJ336" s="548"/>
      <c r="AK336" s="200"/>
      <c r="AL336" s="174"/>
      <c r="AM336" s="390"/>
      <c r="AN336" s="510"/>
      <c r="AO336" s="200"/>
      <c r="AP336" s="174"/>
      <c r="AQ336" s="510"/>
      <c r="AR336" s="200"/>
      <c r="AS336" s="174"/>
      <c r="AT336" s="510"/>
      <c r="AU336" s="200"/>
      <c r="AV336" s="174"/>
      <c r="AW336" s="510"/>
      <c r="AX336" s="200"/>
      <c r="AY336" s="174"/>
      <c r="AZ336" s="510"/>
      <c r="BA336" s="174"/>
      <c r="BB336" s="174"/>
      <c r="BC336" s="174"/>
      <c r="BD336" s="174"/>
      <c r="BE336" s="174"/>
      <c r="BF336" s="510"/>
      <c r="BG336" s="174"/>
      <c r="BH336" s="174"/>
      <c r="BI336" s="174"/>
      <c r="BJ336" s="200"/>
      <c r="BK336" s="174"/>
      <c r="BL336" s="510"/>
      <c r="BM336" s="174"/>
      <c r="BN336" s="174"/>
      <c r="BO336" s="510"/>
      <c r="BP336" s="200"/>
      <c r="BQ336" s="447"/>
      <c r="BR336" s="510"/>
      <c r="BS336" s="174"/>
      <c r="BT336" s="174"/>
      <c r="BU336" s="510"/>
      <c r="BV336" s="200"/>
      <c r="BW336" s="174"/>
      <c r="BX336" s="510"/>
      <c r="BY336" s="174"/>
      <c r="BZ336" s="174"/>
      <c r="CA336" s="510"/>
      <c r="CB336" s="200"/>
      <c r="CC336" s="174"/>
      <c r="CD336" s="510"/>
      <c r="CE336" s="174"/>
      <c r="CF336" s="174"/>
      <c r="CG336" s="510"/>
      <c r="CH336" s="174"/>
      <c r="CI336" s="174"/>
      <c r="CJ336" s="174"/>
      <c r="CK336" s="174"/>
      <c r="CL336" s="174"/>
      <c r="CM336" s="510"/>
      <c r="CN336" s="174"/>
      <c r="CO336" s="549"/>
      <c r="CP336" s="510"/>
      <c r="CQ336" s="200"/>
      <c r="CR336" s="550"/>
      <c r="CS336" s="510"/>
      <c r="CT336" s="390"/>
      <c r="CU336" s="331"/>
      <c r="CV336" s="428"/>
      <c r="CW336" s="155"/>
      <c r="CX336" s="155"/>
      <c r="CY336" s="267"/>
      <c r="CZ336" s="323"/>
      <c r="DA336" s="323"/>
      <c r="DB336" s="423"/>
      <c r="DC336" s="155"/>
      <c r="DD336" s="155"/>
      <c r="DE336" s="267"/>
      <c r="DF336" s="323"/>
      <c r="DG336" s="323"/>
      <c r="DH336" s="428"/>
      <c r="DI336" s="155"/>
      <c r="DJ336" s="155"/>
      <c r="DK336" s="222"/>
      <c r="DL336" s="267"/>
      <c r="DM336" s="155"/>
      <c r="DN336" s="155"/>
      <c r="DO336" s="155"/>
      <c r="DP336" s="423"/>
      <c r="DQ336" s="155"/>
      <c r="DR336" s="155"/>
      <c r="DS336" s="222"/>
      <c r="DT336" s="267"/>
      <c r="DU336" s="174"/>
      <c r="DV336" s="174"/>
      <c r="DW336" s="200"/>
      <c r="DX336" s="428"/>
      <c r="DY336" s="155"/>
      <c r="DZ336" s="155"/>
      <c r="EA336" s="155"/>
      <c r="EB336" s="173"/>
      <c r="EC336" s="155"/>
      <c r="ED336" s="155"/>
      <c r="EE336" s="155"/>
      <c r="EF336" s="423"/>
      <c r="EG336" s="155"/>
      <c r="EH336" s="155"/>
      <c r="EI336" s="155"/>
      <c r="EJ336" s="267"/>
      <c r="EK336" s="155"/>
      <c r="EL336" s="155"/>
      <c r="EM336" s="155"/>
      <c r="EN336" s="428"/>
    </row>
    <row r="337" spans="1:144">
      <c r="A337" s="360"/>
      <c r="B337" s="172"/>
      <c r="C337" s="360"/>
      <c r="D337" s="172"/>
      <c r="E337" s="408"/>
      <c r="F337" s="408"/>
      <c r="G337" s="509"/>
      <c r="H337" s="546"/>
      <c r="I337" s="546"/>
      <c r="J337" s="251"/>
      <c r="K337" s="251"/>
      <c r="L337" s="509"/>
      <c r="M337" s="509"/>
      <c r="N337" s="509"/>
      <c r="O337" s="547"/>
      <c r="P337" s="200"/>
      <c r="Q337" s="174"/>
      <c r="R337" s="390"/>
      <c r="S337" s="510"/>
      <c r="T337" s="200"/>
      <c r="U337" s="174"/>
      <c r="V337" s="174"/>
      <c r="W337" s="510"/>
      <c r="X337" s="174"/>
      <c r="Y337" s="174"/>
      <c r="Z337" s="174"/>
      <c r="AA337" s="510"/>
      <c r="AB337" s="200"/>
      <c r="AC337" s="174"/>
      <c r="AD337" s="390"/>
      <c r="AE337" s="510"/>
      <c r="AF337" s="200"/>
      <c r="AG337" s="174"/>
      <c r="AH337" s="174"/>
      <c r="AI337" s="200"/>
      <c r="AJ337" s="548"/>
      <c r="AK337" s="200"/>
      <c r="AL337" s="174"/>
      <c r="AM337" s="390"/>
      <c r="AN337" s="510"/>
      <c r="AO337" s="200"/>
      <c r="AP337" s="174"/>
      <c r="AQ337" s="510"/>
      <c r="AR337" s="200"/>
      <c r="AS337" s="174"/>
      <c r="AT337" s="510"/>
      <c r="AU337" s="200"/>
      <c r="AV337" s="174"/>
      <c r="AW337" s="510"/>
      <c r="AX337" s="200"/>
      <c r="AY337" s="174"/>
      <c r="AZ337" s="510"/>
      <c r="BA337" s="174"/>
      <c r="BB337" s="174"/>
      <c r="BC337" s="174"/>
      <c r="BD337" s="174"/>
      <c r="BE337" s="174"/>
      <c r="BF337" s="510"/>
      <c r="BG337" s="174"/>
      <c r="BH337" s="174"/>
      <c r="BI337" s="174"/>
      <c r="BJ337" s="200"/>
      <c r="BK337" s="174"/>
      <c r="BL337" s="510"/>
      <c r="BM337" s="174"/>
      <c r="BN337" s="174"/>
      <c r="BO337" s="510"/>
      <c r="BP337" s="200"/>
      <c r="BQ337" s="447"/>
      <c r="BR337" s="510"/>
      <c r="BS337" s="174"/>
      <c r="BT337" s="174"/>
      <c r="BU337" s="510"/>
      <c r="BV337" s="200"/>
      <c r="BW337" s="174"/>
      <c r="BX337" s="510"/>
      <c r="BY337" s="174"/>
      <c r="BZ337" s="174"/>
      <c r="CA337" s="510"/>
      <c r="CB337" s="200"/>
      <c r="CC337" s="174"/>
      <c r="CD337" s="510"/>
      <c r="CE337" s="174"/>
      <c r="CF337" s="174"/>
      <c r="CG337" s="510"/>
      <c r="CH337" s="174"/>
      <c r="CI337" s="174"/>
      <c r="CJ337" s="174"/>
      <c r="CK337" s="174"/>
      <c r="CL337" s="174"/>
      <c r="CM337" s="510"/>
      <c r="CN337" s="174"/>
      <c r="CO337" s="549"/>
      <c r="CP337" s="510"/>
      <c r="CQ337" s="200"/>
      <c r="CR337" s="550"/>
      <c r="CS337" s="510"/>
      <c r="CT337" s="390"/>
      <c r="CU337" s="331"/>
      <c r="CV337" s="428"/>
      <c r="CW337" s="155"/>
      <c r="CX337" s="155"/>
      <c r="CY337" s="267"/>
      <c r="CZ337" s="323"/>
      <c r="DA337" s="323"/>
      <c r="DB337" s="423"/>
      <c r="DC337" s="155"/>
      <c r="DD337" s="155"/>
      <c r="DE337" s="267"/>
      <c r="DF337" s="323"/>
      <c r="DG337" s="323"/>
      <c r="DH337" s="428"/>
      <c r="DI337" s="155"/>
      <c r="DJ337" s="155"/>
      <c r="DK337" s="222"/>
      <c r="DL337" s="267"/>
      <c r="DM337" s="155"/>
      <c r="DN337" s="155"/>
      <c r="DO337" s="155"/>
      <c r="DP337" s="423"/>
      <c r="DQ337" s="155"/>
      <c r="DR337" s="155"/>
      <c r="DS337" s="222"/>
      <c r="DT337" s="267"/>
      <c r="DU337" s="174"/>
      <c r="DV337" s="174"/>
      <c r="DW337" s="200"/>
      <c r="DX337" s="428"/>
      <c r="DY337" s="155"/>
      <c r="DZ337" s="155"/>
      <c r="EA337" s="155"/>
      <c r="EB337" s="173"/>
      <c r="EC337" s="155"/>
      <c r="ED337" s="155"/>
      <c r="EE337" s="155"/>
      <c r="EF337" s="423"/>
      <c r="EG337" s="155"/>
      <c r="EH337" s="155"/>
      <c r="EI337" s="155"/>
      <c r="EJ337" s="267"/>
      <c r="EK337" s="155"/>
      <c r="EL337" s="155"/>
      <c r="EM337" s="155"/>
      <c r="EN337" s="428"/>
    </row>
    <row r="338" spans="1:144">
      <c r="A338" s="360"/>
      <c r="B338" s="172"/>
      <c r="C338" s="360"/>
      <c r="D338" s="172"/>
      <c r="E338" s="408"/>
      <c r="F338" s="408"/>
      <c r="G338" s="509"/>
      <c r="H338" s="546"/>
      <c r="I338" s="546"/>
      <c r="J338" s="251"/>
      <c r="K338" s="251"/>
      <c r="L338" s="509"/>
      <c r="M338" s="509"/>
      <c r="N338" s="509"/>
      <c r="O338" s="547"/>
      <c r="P338" s="200"/>
      <c r="Q338" s="174"/>
      <c r="R338" s="390"/>
      <c r="S338" s="510"/>
      <c r="T338" s="200"/>
      <c r="U338" s="174"/>
      <c r="V338" s="174"/>
      <c r="W338" s="510"/>
      <c r="X338" s="174"/>
      <c r="Y338" s="174"/>
      <c r="Z338" s="174"/>
      <c r="AA338" s="510"/>
      <c r="AB338" s="200"/>
      <c r="AC338" s="174"/>
      <c r="AD338" s="390"/>
      <c r="AE338" s="510"/>
      <c r="AF338" s="200"/>
      <c r="AG338" s="174"/>
      <c r="AH338" s="174"/>
      <c r="AI338" s="200"/>
      <c r="AJ338" s="548"/>
      <c r="AK338" s="200"/>
      <c r="AL338" s="174"/>
      <c r="AM338" s="390"/>
      <c r="AN338" s="510"/>
      <c r="AO338" s="200"/>
      <c r="AP338" s="174"/>
      <c r="AQ338" s="510"/>
      <c r="AR338" s="200"/>
      <c r="AS338" s="174"/>
      <c r="AT338" s="510"/>
      <c r="AU338" s="200"/>
      <c r="AV338" s="174"/>
      <c r="AW338" s="510"/>
      <c r="AX338" s="200"/>
      <c r="AY338" s="174"/>
      <c r="AZ338" s="510"/>
      <c r="BA338" s="174"/>
      <c r="BB338" s="174"/>
      <c r="BC338" s="174"/>
      <c r="BD338" s="174"/>
      <c r="BE338" s="174"/>
      <c r="BF338" s="510"/>
      <c r="BG338" s="174"/>
      <c r="BH338" s="174"/>
      <c r="BI338" s="174"/>
      <c r="BJ338" s="200"/>
      <c r="BK338" s="174"/>
      <c r="BL338" s="510"/>
      <c r="BM338" s="174"/>
      <c r="BN338" s="174"/>
      <c r="BO338" s="510"/>
      <c r="BP338" s="200"/>
      <c r="BQ338" s="447"/>
      <c r="BR338" s="510"/>
      <c r="BS338" s="174"/>
      <c r="BT338" s="174"/>
      <c r="BU338" s="510"/>
      <c r="BV338" s="200"/>
      <c r="BW338" s="174"/>
      <c r="BX338" s="510"/>
      <c r="BY338" s="174"/>
      <c r="BZ338" s="174"/>
      <c r="CA338" s="510"/>
      <c r="CB338" s="200"/>
      <c r="CC338" s="174"/>
      <c r="CD338" s="510"/>
      <c r="CE338" s="174"/>
      <c r="CF338" s="174"/>
      <c r="CG338" s="510"/>
      <c r="CH338" s="174"/>
      <c r="CI338" s="174"/>
      <c r="CJ338" s="174"/>
      <c r="CK338" s="174"/>
      <c r="CL338" s="174"/>
      <c r="CM338" s="510"/>
      <c r="CN338" s="174"/>
      <c r="CO338" s="549"/>
      <c r="CP338" s="510"/>
      <c r="CQ338" s="200"/>
      <c r="CR338" s="550"/>
      <c r="CS338" s="510"/>
      <c r="CT338" s="390"/>
      <c r="CU338" s="331"/>
      <c r="CV338" s="428"/>
      <c r="CW338" s="155"/>
      <c r="CX338" s="155"/>
      <c r="CY338" s="267"/>
      <c r="CZ338" s="323"/>
      <c r="DA338" s="323"/>
      <c r="DB338" s="423"/>
      <c r="DC338" s="155"/>
      <c r="DD338" s="155"/>
      <c r="DE338" s="267"/>
      <c r="DF338" s="323"/>
      <c r="DG338" s="323"/>
      <c r="DH338" s="428"/>
      <c r="DI338" s="155"/>
      <c r="DJ338" s="155"/>
      <c r="DK338" s="222"/>
      <c r="DL338" s="267"/>
      <c r="DM338" s="155"/>
      <c r="DN338" s="155"/>
      <c r="DO338" s="155"/>
      <c r="DP338" s="423"/>
      <c r="DQ338" s="155"/>
      <c r="DR338" s="155"/>
      <c r="DS338" s="222"/>
      <c r="DT338" s="267"/>
      <c r="DU338" s="174"/>
      <c r="DV338" s="174"/>
      <c r="DW338" s="200"/>
      <c r="DX338" s="428"/>
      <c r="DY338" s="155"/>
      <c r="DZ338" s="155"/>
      <c r="EA338" s="155"/>
      <c r="EB338" s="173"/>
      <c r="EC338" s="155"/>
      <c r="ED338" s="155"/>
      <c r="EE338" s="155"/>
      <c r="EF338" s="423"/>
      <c r="EG338" s="155"/>
      <c r="EH338" s="155"/>
      <c r="EI338" s="155"/>
      <c r="EJ338" s="267"/>
      <c r="EK338" s="155"/>
      <c r="EL338" s="155"/>
      <c r="EM338" s="155"/>
      <c r="EN338" s="428"/>
    </row>
    <row r="339" spans="1:144">
      <c r="A339" s="360"/>
      <c r="B339" s="172"/>
      <c r="C339" s="360"/>
      <c r="D339" s="172"/>
      <c r="E339" s="408"/>
      <c r="F339" s="408"/>
      <c r="G339" s="509"/>
      <c r="H339" s="546"/>
      <c r="I339" s="546"/>
      <c r="J339" s="251"/>
      <c r="K339" s="251"/>
      <c r="L339" s="509"/>
      <c r="M339" s="509"/>
      <c r="N339" s="509"/>
      <c r="O339" s="547"/>
      <c r="P339" s="200"/>
      <c r="Q339" s="174"/>
      <c r="R339" s="390"/>
      <c r="S339" s="510"/>
      <c r="T339" s="200"/>
      <c r="U339" s="174"/>
      <c r="V339" s="174"/>
      <c r="W339" s="510"/>
      <c r="X339" s="174"/>
      <c r="Y339" s="174"/>
      <c r="Z339" s="174"/>
      <c r="AA339" s="510"/>
      <c r="AB339" s="200"/>
      <c r="AC339" s="174"/>
      <c r="AD339" s="390"/>
      <c r="AE339" s="510"/>
      <c r="AF339" s="200"/>
      <c r="AG339" s="174"/>
      <c r="AH339" s="174"/>
      <c r="AI339" s="200"/>
      <c r="AJ339" s="548"/>
      <c r="AK339" s="200"/>
      <c r="AL339" s="174"/>
      <c r="AM339" s="390"/>
      <c r="AN339" s="510"/>
      <c r="AO339" s="200"/>
      <c r="AP339" s="174"/>
      <c r="AQ339" s="510"/>
      <c r="AR339" s="200"/>
      <c r="AS339" s="174"/>
      <c r="AT339" s="510"/>
      <c r="AU339" s="200"/>
      <c r="AV339" s="174"/>
      <c r="AW339" s="510"/>
      <c r="AX339" s="200"/>
      <c r="AY339" s="174"/>
      <c r="AZ339" s="510"/>
      <c r="BA339" s="174"/>
      <c r="BB339" s="174"/>
      <c r="BC339" s="174"/>
      <c r="BD339" s="174"/>
      <c r="BE339" s="174"/>
      <c r="BF339" s="510"/>
      <c r="BG339" s="174"/>
      <c r="BH339" s="174"/>
      <c r="BI339" s="174"/>
      <c r="BJ339" s="200"/>
      <c r="BK339" s="174"/>
      <c r="BL339" s="510"/>
      <c r="BM339" s="174"/>
      <c r="BN339" s="174"/>
      <c r="BO339" s="510"/>
      <c r="BP339" s="200"/>
      <c r="BQ339" s="447"/>
      <c r="BR339" s="510"/>
      <c r="BS339" s="174"/>
      <c r="BT339" s="174"/>
      <c r="BU339" s="510"/>
      <c r="BV339" s="200"/>
      <c r="BW339" s="174"/>
      <c r="BX339" s="510"/>
      <c r="BY339" s="174"/>
      <c r="BZ339" s="174"/>
      <c r="CA339" s="510"/>
      <c r="CB339" s="200"/>
      <c r="CC339" s="174"/>
      <c r="CD339" s="510"/>
      <c r="CE339" s="174"/>
      <c r="CF339" s="174"/>
      <c r="CG339" s="510"/>
      <c r="CH339" s="174"/>
      <c r="CI339" s="174"/>
      <c r="CJ339" s="174"/>
      <c r="CK339" s="174"/>
      <c r="CL339" s="174"/>
      <c r="CM339" s="510"/>
      <c r="CN339" s="174"/>
      <c r="CO339" s="549"/>
      <c r="CP339" s="510"/>
      <c r="CQ339" s="200"/>
      <c r="CR339" s="550"/>
      <c r="CS339" s="510"/>
      <c r="CT339" s="390"/>
      <c r="CU339" s="331"/>
      <c r="CV339" s="428"/>
      <c r="CW339" s="155"/>
      <c r="CX339" s="155"/>
      <c r="CY339" s="267"/>
      <c r="CZ339" s="323"/>
      <c r="DA339" s="323"/>
      <c r="DB339" s="423"/>
      <c r="DC339" s="155"/>
      <c r="DD339" s="155"/>
      <c r="DE339" s="267"/>
      <c r="DF339" s="323"/>
      <c r="DG339" s="323"/>
      <c r="DH339" s="428"/>
      <c r="DI339" s="155"/>
      <c r="DJ339" s="155"/>
      <c r="DK339" s="222"/>
      <c r="DL339" s="267"/>
      <c r="DM339" s="155"/>
      <c r="DN339" s="155"/>
      <c r="DO339" s="155"/>
      <c r="DP339" s="423"/>
      <c r="DQ339" s="155"/>
      <c r="DR339" s="155"/>
      <c r="DS339" s="222"/>
      <c r="DT339" s="267"/>
      <c r="DU339" s="174"/>
      <c r="DV339" s="174"/>
      <c r="DW339" s="200"/>
      <c r="DX339" s="428"/>
      <c r="DY339" s="155"/>
      <c r="DZ339" s="155"/>
      <c r="EA339" s="155"/>
      <c r="EB339" s="173"/>
      <c r="EC339" s="155"/>
      <c r="ED339" s="155"/>
      <c r="EE339" s="155"/>
      <c r="EF339" s="423"/>
      <c r="EG339" s="155"/>
      <c r="EH339" s="155"/>
      <c r="EI339" s="155"/>
      <c r="EJ339" s="267"/>
      <c r="EK339" s="155"/>
      <c r="EL339" s="155"/>
      <c r="EM339" s="155"/>
      <c r="EN339" s="428"/>
    </row>
    <row r="340" spans="1:144">
      <c r="A340" s="360"/>
      <c r="B340" s="172"/>
      <c r="C340" s="360"/>
      <c r="D340" s="172"/>
      <c r="E340" s="408"/>
      <c r="F340" s="408"/>
      <c r="G340" s="509"/>
      <c r="H340" s="546"/>
      <c r="I340" s="546"/>
      <c r="J340" s="251"/>
      <c r="K340" s="251"/>
      <c r="L340" s="509"/>
      <c r="M340" s="509"/>
      <c r="N340" s="509"/>
      <c r="O340" s="547"/>
      <c r="P340" s="200"/>
      <c r="Q340" s="174"/>
      <c r="R340" s="390"/>
      <c r="S340" s="510"/>
      <c r="T340" s="200"/>
      <c r="U340" s="174"/>
      <c r="V340" s="174"/>
      <c r="W340" s="510"/>
      <c r="X340" s="174"/>
      <c r="Y340" s="174"/>
      <c r="Z340" s="174"/>
      <c r="AA340" s="510"/>
      <c r="AB340" s="200"/>
      <c r="AC340" s="174"/>
      <c r="AD340" s="390"/>
      <c r="AE340" s="510"/>
      <c r="AF340" s="200"/>
      <c r="AG340" s="174"/>
      <c r="AH340" s="174"/>
      <c r="AI340" s="200"/>
      <c r="AJ340" s="548"/>
      <c r="AK340" s="200"/>
      <c r="AL340" s="174"/>
      <c r="AM340" s="390"/>
      <c r="AN340" s="510"/>
      <c r="AO340" s="200"/>
      <c r="AP340" s="174"/>
      <c r="AQ340" s="510"/>
      <c r="AR340" s="200"/>
      <c r="AS340" s="174"/>
      <c r="AT340" s="510"/>
      <c r="AU340" s="200"/>
      <c r="AV340" s="174"/>
      <c r="AW340" s="510"/>
      <c r="AX340" s="200"/>
      <c r="AY340" s="174"/>
      <c r="AZ340" s="510"/>
      <c r="BA340" s="174"/>
      <c r="BB340" s="174"/>
      <c r="BC340" s="174"/>
      <c r="BD340" s="174"/>
      <c r="BE340" s="174"/>
      <c r="BF340" s="510"/>
      <c r="BG340" s="174"/>
      <c r="BH340" s="174"/>
      <c r="BI340" s="174"/>
      <c r="BJ340" s="200"/>
      <c r="BK340" s="174"/>
      <c r="BL340" s="510"/>
      <c r="BM340" s="174"/>
      <c r="BN340" s="174"/>
      <c r="BO340" s="510"/>
      <c r="BP340" s="200"/>
      <c r="BQ340" s="447"/>
      <c r="BR340" s="510"/>
      <c r="BS340" s="174"/>
      <c r="BT340" s="174"/>
      <c r="BU340" s="510"/>
      <c r="BV340" s="200"/>
      <c r="BW340" s="174"/>
      <c r="BX340" s="510"/>
      <c r="BY340" s="174"/>
      <c r="BZ340" s="174"/>
      <c r="CA340" s="510"/>
      <c r="CB340" s="200"/>
      <c r="CC340" s="174"/>
      <c r="CD340" s="510"/>
      <c r="CE340" s="174"/>
      <c r="CF340" s="174"/>
      <c r="CG340" s="510"/>
      <c r="CH340" s="174"/>
      <c r="CI340" s="174"/>
      <c r="CJ340" s="174"/>
      <c r="CK340" s="174"/>
      <c r="CL340" s="174"/>
      <c r="CM340" s="510"/>
      <c r="CN340" s="174"/>
      <c r="CO340" s="549"/>
      <c r="CP340" s="510"/>
      <c r="CQ340" s="200"/>
      <c r="CR340" s="550"/>
      <c r="CS340" s="510"/>
      <c r="CT340" s="390"/>
      <c r="CU340" s="331"/>
      <c r="CV340" s="428"/>
      <c r="CW340" s="155"/>
      <c r="CX340" s="155"/>
      <c r="CY340" s="267"/>
      <c r="CZ340" s="323"/>
      <c r="DA340" s="323"/>
      <c r="DB340" s="423"/>
      <c r="DC340" s="155"/>
      <c r="DD340" s="155"/>
      <c r="DE340" s="267"/>
      <c r="DF340" s="323"/>
      <c r="DG340" s="323"/>
      <c r="DH340" s="428"/>
      <c r="DI340" s="155"/>
      <c r="DJ340" s="155"/>
      <c r="DK340" s="222"/>
      <c r="DL340" s="267"/>
      <c r="DM340" s="155"/>
      <c r="DN340" s="155"/>
      <c r="DO340" s="155"/>
      <c r="DP340" s="423"/>
      <c r="DQ340" s="155"/>
      <c r="DR340" s="155"/>
      <c r="DS340" s="222"/>
      <c r="DT340" s="267"/>
      <c r="DU340" s="174"/>
      <c r="DV340" s="174"/>
      <c r="DW340" s="200"/>
      <c r="DX340" s="428"/>
      <c r="DY340" s="155"/>
      <c r="DZ340" s="155"/>
      <c r="EA340" s="155"/>
      <c r="EB340" s="173"/>
      <c r="EC340" s="155"/>
      <c r="ED340" s="155"/>
      <c r="EE340" s="155"/>
      <c r="EF340" s="423"/>
      <c r="EG340" s="155"/>
      <c r="EH340" s="155"/>
      <c r="EI340" s="155"/>
      <c r="EJ340" s="267"/>
      <c r="EK340" s="155"/>
      <c r="EL340" s="155"/>
      <c r="EM340" s="155"/>
      <c r="EN340" s="428"/>
    </row>
    <row r="341" spans="1:144">
      <c r="A341" s="360"/>
      <c r="B341" s="172"/>
      <c r="C341" s="360"/>
      <c r="D341" s="172"/>
      <c r="E341" s="408"/>
      <c r="F341" s="408"/>
      <c r="G341" s="509"/>
      <c r="H341" s="546"/>
      <c r="I341" s="546"/>
      <c r="J341" s="251"/>
      <c r="K341" s="251"/>
      <c r="L341" s="509"/>
      <c r="M341" s="509"/>
      <c r="N341" s="509"/>
      <c r="O341" s="547"/>
      <c r="P341" s="200"/>
      <c r="Q341" s="174"/>
      <c r="R341" s="390"/>
      <c r="S341" s="510"/>
      <c r="T341" s="200"/>
      <c r="U341" s="174"/>
      <c r="V341" s="174"/>
      <c r="W341" s="510"/>
      <c r="X341" s="174"/>
      <c r="Y341" s="174"/>
      <c r="Z341" s="174"/>
      <c r="AA341" s="510"/>
      <c r="AB341" s="200"/>
      <c r="AC341" s="174"/>
      <c r="AD341" s="390"/>
      <c r="AE341" s="510"/>
      <c r="AF341" s="200"/>
      <c r="AG341" s="174"/>
      <c r="AH341" s="174"/>
      <c r="AI341" s="200"/>
      <c r="AJ341" s="548"/>
      <c r="AK341" s="200"/>
      <c r="AL341" s="174"/>
      <c r="AM341" s="390"/>
      <c r="AN341" s="510"/>
      <c r="AO341" s="200"/>
      <c r="AP341" s="174"/>
      <c r="AQ341" s="510"/>
      <c r="AR341" s="200"/>
      <c r="AS341" s="174"/>
      <c r="AT341" s="510"/>
      <c r="AU341" s="200"/>
      <c r="AV341" s="174"/>
      <c r="AW341" s="510"/>
      <c r="AX341" s="200"/>
      <c r="AY341" s="174"/>
      <c r="AZ341" s="510"/>
      <c r="BA341" s="174"/>
      <c r="BB341" s="174"/>
      <c r="BC341" s="174"/>
      <c r="BD341" s="174"/>
      <c r="BE341" s="174"/>
      <c r="BF341" s="510"/>
      <c r="BG341" s="174"/>
      <c r="BH341" s="174"/>
      <c r="BI341" s="174"/>
      <c r="BJ341" s="200"/>
      <c r="BK341" s="174"/>
      <c r="BL341" s="510"/>
      <c r="BM341" s="174"/>
      <c r="BN341" s="174"/>
      <c r="BO341" s="510"/>
      <c r="BP341" s="200"/>
      <c r="BQ341" s="447"/>
      <c r="BR341" s="510"/>
      <c r="BS341" s="174"/>
      <c r="BT341" s="174"/>
      <c r="BU341" s="510"/>
      <c r="BV341" s="200"/>
      <c r="BW341" s="174"/>
      <c r="BX341" s="510"/>
      <c r="BY341" s="174"/>
      <c r="BZ341" s="174"/>
      <c r="CA341" s="510"/>
      <c r="CB341" s="200"/>
      <c r="CC341" s="174"/>
      <c r="CD341" s="510"/>
      <c r="CE341" s="174"/>
      <c r="CF341" s="174"/>
      <c r="CG341" s="510"/>
      <c r="CH341" s="174"/>
      <c r="CI341" s="174"/>
      <c r="CJ341" s="174"/>
      <c r="CK341" s="174"/>
      <c r="CL341" s="174"/>
      <c r="CM341" s="510"/>
      <c r="CN341" s="174"/>
      <c r="CO341" s="549"/>
      <c r="CP341" s="510"/>
      <c r="CQ341" s="200"/>
      <c r="CR341" s="550"/>
      <c r="CS341" s="510"/>
      <c r="CT341" s="390"/>
      <c r="CU341" s="331"/>
      <c r="CV341" s="428"/>
      <c r="CW341" s="155"/>
      <c r="CX341" s="155"/>
      <c r="CY341" s="267"/>
      <c r="CZ341" s="323"/>
      <c r="DA341" s="323"/>
      <c r="DB341" s="423"/>
      <c r="DC341" s="155"/>
      <c r="DD341" s="155"/>
      <c r="DE341" s="267"/>
      <c r="DF341" s="323"/>
      <c r="DG341" s="323"/>
      <c r="DH341" s="428"/>
      <c r="DI341" s="155"/>
      <c r="DJ341" s="155"/>
      <c r="DK341" s="222"/>
      <c r="DL341" s="267"/>
      <c r="DM341" s="155"/>
      <c r="DN341" s="155"/>
      <c r="DO341" s="155"/>
      <c r="DP341" s="423"/>
      <c r="DQ341" s="155"/>
      <c r="DR341" s="155"/>
      <c r="DS341" s="222"/>
      <c r="DT341" s="267"/>
      <c r="DU341" s="174"/>
      <c r="DV341" s="174"/>
      <c r="DW341" s="200"/>
      <c r="DX341" s="428"/>
      <c r="DY341" s="155"/>
      <c r="DZ341" s="155"/>
      <c r="EA341" s="155"/>
      <c r="EB341" s="173"/>
      <c r="EC341" s="155"/>
      <c r="ED341" s="155"/>
      <c r="EE341" s="155"/>
      <c r="EF341" s="423"/>
      <c r="EG341" s="155"/>
      <c r="EH341" s="155"/>
      <c r="EI341" s="155"/>
      <c r="EJ341" s="267"/>
      <c r="EK341" s="155"/>
      <c r="EL341" s="155"/>
      <c r="EM341" s="155"/>
      <c r="EN341" s="428"/>
    </row>
    <row r="342" spans="1:144">
      <c r="A342" s="360"/>
      <c r="B342" s="172"/>
      <c r="C342" s="360"/>
      <c r="D342" s="172"/>
      <c r="E342" s="408"/>
      <c r="F342" s="408"/>
      <c r="G342" s="509"/>
      <c r="H342" s="546"/>
      <c r="I342" s="546"/>
      <c r="J342" s="251"/>
      <c r="K342" s="251"/>
      <c r="L342" s="509"/>
      <c r="M342" s="509"/>
      <c r="N342" s="509"/>
      <c r="O342" s="547"/>
      <c r="P342" s="200"/>
      <c r="Q342" s="174"/>
      <c r="R342" s="390"/>
      <c r="S342" s="510"/>
      <c r="T342" s="200"/>
      <c r="U342" s="174"/>
      <c r="V342" s="174"/>
      <c r="W342" s="510"/>
      <c r="X342" s="174"/>
      <c r="Y342" s="174"/>
      <c r="Z342" s="174"/>
      <c r="AA342" s="510"/>
      <c r="AB342" s="200"/>
      <c r="AC342" s="174"/>
      <c r="AD342" s="390"/>
      <c r="AE342" s="510"/>
      <c r="AF342" s="200"/>
      <c r="AG342" s="174"/>
      <c r="AH342" s="174"/>
      <c r="AI342" s="200"/>
      <c r="AJ342" s="548"/>
      <c r="AK342" s="200"/>
      <c r="AL342" s="174"/>
      <c r="AM342" s="390"/>
      <c r="AN342" s="510"/>
      <c r="AO342" s="200"/>
      <c r="AP342" s="174"/>
      <c r="AQ342" s="510"/>
      <c r="AR342" s="200"/>
      <c r="AS342" s="174"/>
      <c r="AT342" s="510"/>
      <c r="AU342" s="200"/>
      <c r="AV342" s="174"/>
      <c r="AW342" s="510"/>
      <c r="AX342" s="200"/>
      <c r="AY342" s="174"/>
      <c r="AZ342" s="510"/>
      <c r="BA342" s="174"/>
      <c r="BB342" s="174"/>
      <c r="BC342" s="174"/>
      <c r="BD342" s="174"/>
      <c r="BE342" s="174"/>
      <c r="BF342" s="510"/>
      <c r="BG342" s="174"/>
      <c r="BH342" s="174"/>
      <c r="BI342" s="174"/>
      <c r="BJ342" s="200"/>
      <c r="BK342" s="174"/>
      <c r="BL342" s="510"/>
      <c r="BM342" s="174"/>
      <c r="BN342" s="174"/>
      <c r="BO342" s="510"/>
      <c r="BP342" s="200"/>
      <c r="BQ342" s="447"/>
      <c r="BR342" s="510"/>
      <c r="BS342" s="174"/>
      <c r="BT342" s="174"/>
      <c r="BU342" s="510"/>
      <c r="BV342" s="200"/>
      <c r="BW342" s="174"/>
      <c r="BX342" s="510"/>
      <c r="BY342" s="174"/>
      <c r="BZ342" s="174"/>
      <c r="CA342" s="510"/>
      <c r="CB342" s="200"/>
      <c r="CC342" s="174"/>
      <c r="CD342" s="510"/>
      <c r="CE342" s="174"/>
      <c r="CF342" s="174"/>
      <c r="CG342" s="510"/>
      <c r="CH342" s="174"/>
      <c r="CI342" s="174"/>
      <c r="CJ342" s="174"/>
      <c r="CK342" s="174"/>
      <c r="CL342" s="174"/>
      <c r="CM342" s="510"/>
      <c r="CN342" s="174"/>
      <c r="CO342" s="549"/>
      <c r="CP342" s="510"/>
      <c r="CQ342" s="200"/>
      <c r="CR342" s="550"/>
      <c r="CS342" s="510"/>
      <c r="CT342" s="390"/>
      <c r="CU342" s="331"/>
      <c r="CV342" s="428"/>
      <c r="CW342" s="155"/>
      <c r="CX342" s="155"/>
      <c r="CY342" s="267"/>
      <c r="CZ342" s="323"/>
      <c r="DA342" s="323"/>
      <c r="DB342" s="423"/>
      <c r="DC342" s="155"/>
      <c r="DD342" s="155"/>
      <c r="DE342" s="267"/>
      <c r="DF342" s="323"/>
      <c r="DG342" s="323"/>
      <c r="DH342" s="428"/>
      <c r="DI342" s="155"/>
      <c r="DJ342" s="155"/>
      <c r="DK342" s="222"/>
      <c r="DL342" s="267"/>
      <c r="DM342" s="155"/>
      <c r="DN342" s="155"/>
      <c r="DO342" s="155"/>
      <c r="DP342" s="423"/>
      <c r="DQ342" s="155"/>
      <c r="DR342" s="155"/>
      <c r="DS342" s="222"/>
      <c r="DT342" s="267"/>
      <c r="DU342" s="174"/>
      <c r="DV342" s="174"/>
      <c r="DW342" s="200"/>
      <c r="DX342" s="428"/>
      <c r="DY342" s="155"/>
      <c r="DZ342" s="155"/>
      <c r="EA342" s="155"/>
      <c r="EB342" s="173"/>
      <c r="EC342" s="155"/>
      <c r="ED342" s="155"/>
      <c r="EE342" s="155"/>
      <c r="EF342" s="423"/>
      <c r="EG342" s="155"/>
      <c r="EH342" s="155"/>
      <c r="EI342" s="155"/>
      <c r="EJ342" s="267"/>
      <c r="EK342" s="155"/>
      <c r="EL342" s="155"/>
      <c r="EM342" s="155"/>
      <c r="EN342" s="428"/>
    </row>
    <row r="343" spans="1:144">
      <c r="A343" s="360"/>
      <c r="B343" s="172"/>
      <c r="C343" s="360"/>
      <c r="D343" s="172"/>
      <c r="E343" s="408"/>
      <c r="F343" s="408"/>
      <c r="G343" s="509"/>
      <c r="H343" s="546"/>
      <c r="I343" s="546"/>
      <c r="J343" s="251"/>
      <c r="K343" s="251"/>
      <c r="L343" s="509"/>
      <c r="M343" s="509"/>
      <c r="N343" s="509"/>
      <c r="O343" s="547"/>
      <c r="P343" s="200"/>
      <c r="Q343" s="174"/>
      <c r="R343" s="390"/>
      <c r="S343" s="510"/>
      <c r="T343" s="200"/>
      <c r="U343" s="174"/>
      <c r="V343" s="174"/>
      <c r="W343" s="510"/>
      <c r="X343" s="174"/>
      <c r="Y343" s="174"/>
      <c r="Z343" s="174"/>
      <c r="AA343" s="510"/>
      <c r="AB343" s="200"/>
      <c r="AC343" s="174"/>
      <c r="AD343" s="390"/>
      <c r="AE343" s="510"/>
      <c r="AF343" s="200"/>
      <c r="AG343" s="174"/>
      <c r="AH343" s="174"/>
      <c r="AI343" s="200"/>
      <c r="AJ343" s="548"/>
      <c r="AK343" s="200"/>
      <c r="AL343" s="174"/>
      <c r="AM343" s="390"/>
      <c r="AN343" s="510"/>
      <c r="AO343" s="200"/>
      <c r="AP343" s="174"/>
      <c r="AQ343" s="510"/>
      <c r="AR343" s="200"/>
      <c r="AS343" s="174"/>
      <c r="AT343" s="510"/>
      <c r="AU343" s="200"/>
      <c r="AV343" s="174"/>
      <c r="AW343" s="510"/>
      <c r="AX343" s="200"/>
      <c r="AY343" s="174"/>
      <c r="AZ343" s="510"/>
      <c r="BA343" s="174"/>
      <c r="BB343" s="174"/>
      <c r="BC343" s="174"/>
      <c r="BD343" s="174"/>
      <c r="BE343" s="174"/>
      <c r="BF343" s="510"/>
      <c r="BG343" s="174"/>
      <c r="BH343" s="174"/>
      <c r="BI343" s="174"/>
      <c r="BJ343" s="200"/>
      <c r="BK343" s="174"/>
      <c r="BL343" s="510"/>
      <c r="BM343" s="174"/>
      <c r="BN343" s="174"/>
      <c r="BO343" s="510"/>
      <c r="BP343" s="200"/>
      <c r="BQ343" s="447"/>
      <c r="BR343" s="510"/>
      <c r="BS343" s="174"/>
      <c r="BT343" s="174"/>
      <c r="BU343" s="510"/>
      <c r="BV343" s="200"/>
      <c r="BW343" s="174"/>
      <c r="BX343" s="510"/>
      <c r="BY343" s="174"/>
      <c r="BZ343" s="174"/>
      <c r="CA343" s="510"/>
      <c r="CB343" s="200"/>
      <c r="CC343" s="174"/>
      <c r="CD343" s="510"/>
      <c r="CE343" s="174"/>
      <c r="CF343" s="174"/>
      <c r="CG343" s="510"/>
      <c r="CH343" s="174"/>
      <c r="CI343" s="174"/>
      <c r="CJ343" s="174"/>
      <c r="CK343" s="174"/>
      <c r="CL343" s="174"/>
      <c r="CM343" s="510"/>
      <c r="CN343" s="174"/>
      <c r="CO343" s="549"/>
      <c r="CP343" s="510"/>
      <c r="CQ343" s="200"/>
      <c r="CR343" s="550"/>
      <c r="CS343" s="510"/>
      <c r="CT343" s="390"/>
      <c r="CU343" s="331"/>
      <c r="CV343" s="428"/>
      <c r="CW343" s="155"/>
      <c r="CX343" s="155"/>
      <c r="CY343" s="267"/>
      <c r="CZ343" s="323"/>
      <c r="DA343" s="323"/>
      <c r="DB343" s="423"/>
      <c r="DC343" s="155"/>
      <c r="DD343" s="155"/>
      <c r="DE343" s="267"/>
      <c r="DF343" s="323"/>
      <c r="DG343" s="323"/>
      <c r="DH343" s="428"/>
      <c r="DI343" s="155"/>
      <c r="DJ343" s="155"/>
      <c r="DK343" s="222"/>
      <c r="DL343" s="267"/>
      <c r="DM343" s="155"/>
      <c r="DN343" s="155"/>
      <c r="DO343" s="155"/>
      <c r="DP343" s="423"/>
      <c r="DQ343" s="155"/>
      <c r="DR343" s="155"/>
      <c r="DS343" s="222"/>
      <c r="DT343" s="267"/>
      <c r="DU343" s="174"/>
      <c r="DV343" s="174"/>
      <c r="DW343" s="200"/>
      <c r="DX343" s="428"/>
      <c r="DY343" s="155"/>
      <c r="DZ343" s="155"/>
      <c r="EA343" s="155"/>
      <c r="EB343" s="173"/>
      <c r="EC343" s="155"/>
      <c r="ED343" s="155"/>
      <c r="EE343" s="155"/>
      <c r="EF343" s="423"/>
      <c r="EG343" s="155"/>
      <c r="EH343" s="155"/>
      <c r="EI343" s="155"/>
      <c r="EJ343" s="267"/>
      <c r="EK343" s="155"/>
      <c r="EL343" s="155"/>
      <c r="EM343" s="155"/>
      <c r="EN343" s="428"/>
    </row>
    <row r="344" spans="1:144">
      <c r="A344" s="360"/>
      <c r="B344" s="172"/>
      <c r="C344" s="360"/>
      <c r="D344" s="172"/>
      <c r="E344" s="408"/>
      <c r="F344" s="408"/>
      <c r="G344" s="509"/>
      <c r="H344" s="546"/>
      <c r="I344" s="546"/>
      <c r="J344" s="251"/>
      <c r="K344" s="251"/>
      <c r="L344" s="509"/>
      <c r="M344" s="509"/>
      <c r="N344" s="509"/>
      <c r="O344" s="547"/>
      <c r="P344" s="200"/>
      <c r="Q344" s="174"/>
      <c r="R344" s="390"/>
      <c r="S344" s="510"/>
      <c r="T344" s="200"/>
      <c r="U344" s="174"/>
      <c r="V344" s="174"/>
      <c r="W344" s="510"/>
      <c r="X344" s="174"/>
      <c r="Y344" s="174"/>
      <c r="Z344" s="174"/>
      <c r="AA344" s="510"/>
      <c r="AB344" s="200"/>
      <c r="AC344" s="174"/>
      <c r="AD344" s="390"/>
      <c r="AE344" s="510"/>
      <c r="AF344" s="200"/>
      <c r="AG344" s="174"/>
      <c r="AH344" s="174"/>
      <c r="AI344" s="200"/>
      <c r="AJ344" s="548"/>
      <c r="AK344" s="200"/>
      <c r="AL344" s="174"/>
      <c r="AM344" s="390"/>
      <c r="AN344" s="510"/>
      <c r="AO344" s="200"/>
      <c r="AP344" s="174"/>
      <c r="AQ344" s="510"/>
      <c r="AR344" s="200"/>
      <c r="AS344" s="174"/>
      <c r="AT344" s="510"/>
      <c r="AU344" s="200"/>
      <c r="AV344" s="174"/>
      <c r="AW344" s="510"/>
      <c r="AX344" s="200"/>
      <c r="AY344" s="174"/>
      <c r="AZ344" s="510"/>
      <c r="BA344" s="174"/>
      <c r="BB344" s="174"/>
      <c r="BC344" s="174"/>
      <c r="BD344" s="174"/>
      <c r="BE344" s="174"/>
      <c r="BF344" s="510"/>
      <c r="BG344" s="174"/>
      <c r="BH344" s="174"/>
      <c r="BI344" s="174"/>
      <c r="BJ344" s="200"/>
      <c r="BK344" s="174"/>
      <c r="BL344" s="510"/>
      <c r="BM344" s="174"/>
      <c r="BN344" s="174"/>
      <c r="BO344" s="510"/>
      <c r="BP344" s="200"/>
      <c r="BQ344" s="447"/>
      <c r="BR344" s="510"/>
      <c r="BS344" s="174"/>
      <c r="BT344" s="174"/>
      <c r="BU344" s="510"/>
      <c r="BV344" s="200"/>
      <c r="BW344" s="174"/>
      <c r="BX344" s="510"/>
      <c r="BY344" s="174"/>
      <c r="BZ344" s="174"/>
      <c r="CA344" s="510"/>
      <c r="CB344" s="200"/>
      <c r="CC344" s="174"/>
      <c r="CD344" s="510"/>
      <c r="CE344" s="174"/>
      <c r="CF344" s="174"/>
      <c r="CG344" s="510"/>
      <c r="CH344" s="174"/>
      <c r="CI344" s="174"/>
      <c r="CJ344" s="174"/>
      <c r="CK344" s="174"/>
      <c r="CL344" s="174"/>
      <c r="CM344" s="510"/>
      <c r="CN344" s="174"/>
      <c r="CO344" s="549"/>
      <c r="CP344" s="510"/>
      <c r="CQ344" s="200"/>
      <c r="CR344" s="550"/>
      <c r="CS344" s="510"/>
      <c r="CT344" s="390"/>
      <c r="CU344" s="331"/>
      <c r="CV344" s="428"/>
      <c r="CW344" s="155"/>
      <c r="CX344" s="155"/>
      <c r="CY344" s="267"/>
      <c r="CZ344" s="323"/>
      <c r="DA344" s="323"/>
      <c r="DB344" s="423"/>
      <c r="DC344" s="155"/>
      <c r="DD344" s="155"/>
      <c r="DE344" s="267"/>
      <c r="DF344" s="323"/>
      <c r="DG344" s="323"/>
      <c r="DH344" s="428"/>
      <c r="DI344" s="155"/>
      <c r="DJ344" s="155"/>
      <c r="DK344" s="222"/>
      <c r="DL344" s="267"/>
      <c r="DM344" s="155"/>
      <c r="DN344" s="155"/>
      <c r="DO344" s="155"/>
      <c r="DP344" s="423"/>
      <c r="DQ344" s="155"/>
      <c r="DR344" s="155"/>
      <c r="DS344" s="222"/>
      <c r="DT344" s="267"/>
      <c r="DU344" s="174"/>
      <c r="DV344" s="174"/>
      <c r="DW344" s="200"/>
      <c r="DX344" s="428"/>
      <c r="DY344" s="155"/>
      <c r="DZ344" s="155"/>
      <c r="EA344" s="155"/>
      <c r="EB344" s="173"/>
      <c r="EC344" s="155"/>
      <c r="ED344" s="155"/>
      <c r="EE344" s="155"/>
      <c r="EF344" s="423"/>
      <c r="EG344" s="155"/>
      <c r="EH344" s="155"/>
      <c r="EI344" s="155"/>
      <c r="EJ344" s="267"/>
      <c r="EK344" s="155"/>
      <c r="EL344" s="155"/>
      <c r="EM344" s="155"/>
      <c r="EN344" s="428"/>
    </row>
    <row r="345" spans="1:144">
      <c r="A345" s="360"/>
      <c r="B345" s="172"/>
      <c r="C345" s="360"/>
      <c r="D345" s="172"/>
      <c r="E345" s="408"/>
      <c r="F345" s="408"/>
      <c r="G345" s="509"/>
      <c r="H345" s="546"/>
      <c r="I345" s="546"/>
      <c r="J345" s="251"/>
      <c r="K345" s="251"/>
      <c r="L345" s="509"/>
      <c r="M345" s="509"/>
      <c r="N345" s="509"/>
      <c r="O345" s="547"/>
      <c r="P345" s="200"/>
      <c r="Q345" s="174"/>
      <c r="R345" s="390"/>
      <c r="S345" s="510"/>
      <c r="T345" s="200"/>
      <c r="U345" s="174"/>
      <c r="V345" s="174"/>
      <c r="W345" s="510"/>
      <c r="X345" s="174"/>
      <c r="Y345" s="174"/>
      <c r="Z345" s="174"/>
      <c r="AA345" s="510"/>
      <c r="AB345" s="200"/>
      <c r="AC345" s="174"/>
      <c r="AD345" s="390"/>
      <c r="AE345" s="510"/>
      <c r="AF345" s="200"/>
      <c r="AG345" s="174"/>
      <c r="AH345" s="174"/>
      <c r="AI345" s="200"/>
      <c r="AJ345" s="548"/>
      <c r="AK345" s="200"/>
      <c r="AL345" s="174"/>
      <c r="AM345" s="390"/>
      <c r="AN345" s="510"/>
      <c r="AO345" s="200"/>
      <c r="AP345" s="174"/>
      <c r="AQ345" s="510"/>
      <c r="AR345" s="200"/>
      <c r="AS345" s="174"/>
      <c r="AT345" s="510"/>
      <c r="AU345" s="200"/>
      <c r="AV345" s="174"/>
      <c r="AW345" s="510"/>
      <c r="AX345" s="200"/>
      <c r="AY345" s="174"/>
      <c r="AZ345" s="510"/>
      <c r="BA345" s="174"/>
      <c r="BB345" s="174"/>
      <c r="BC345" s="174"/>
      <c r="BD345" s="174"/>
      <c r="BE345" s="174"/>
      <c r="BF345" s="510"/>
      <c r="BG345" s="174"/>
      <c r="BH345" s="174"/>
      <c r="BI345" s="174"/>
      <c r="BJ345" s="200"/>
      <c r="BK345" s="174"/>
      <c r="BL345" s="510"/>
      <c r="BM345" s="174"/>
      <c r="BN345" s="174"/>
      <c r="BO345" s="510"/>
      <c r="BP345" s="200"/>
      <c r="BQ345" s="447"/>
      <c r="BR345" s="510"/>
      <c r="BS345" s="174"/>
      <c r="BT345" s="174"/>
      <c r="BU345" s="510"/>
      <c r="BV345" s="200"/>
      <c r="BW345" s="174"/>
      <c r="BX345" s="510"/>
      <c r="BY345" s="174"/>
      <c r="BZ345" s="174"/>
      <c r="CA345" s="510"/>
      <c r="CB345" s="200"/>
      <c r="CC345" s="174"/>
      <c r="CD345" s="510"/>
      <c r="CE345" s="174"/>
      <c r="CF345" s="174"/>
      <c r="CG345" s="510"/>
      <c r="CH345" s="174"/>
      <c r="CI345" s="174"/>
      <c r="CJ345" s="174"/>
      <c r="CK345" s="174"/>
      <c r="CL345" s="174"/>
      <c r="CM345" s="510"/>
      <c r="CN345" s="174"/>
      <c r="CO345" s="549"/>
      <c r="CP345" s="510"/>
      <c r="CQ345" s="200"/>
      <c r="CR345" s="550"/>
      <c r="CS345" s="510"/>
      <c r="CT345" s="390"/>
      <c r="CU345" s="331"/>
      <c r="CV345" s="428"/>
      <c r="CW345" s="155"/>
      <c r="CX345" s="155"/>
      <c r="CY345" s="267"/>
      <c r="CZ345" s="323"/>
      <c r="DA345" s="323"/>
      <c r="DB345" s="423"/>
      <c r="DC345" s="155"/>
      <c r="DD345" s="155"/>
      <c r="DE345" s="267"/>
      <c r="DF345" s="323"/>
      <c r="DG345" s="323"/>
      <c r="DH345" s="428"/>
      <c r="DI345" s="155"/>
      <c r="DJ345" s="155"/>
      <c r="DK345" s="222"/>
      <c r="DL345" s="267"/>
      <c r="DM345" s="155"/>
      <c r="DN345" s="155"/>
      <c r="DO345" s="155"/>
      <c r="DP345" s="423"/>
      <c r="DQ345" s="155"/>
      <c r="DR345" s="155"/>
      <c r="DS345" s="222"/>
      <c r="DT345" s="267"/>
      <c r="DU345" s="174"/>
      <c r="DV345" s="174"/>
      <c r="DW345" s="200"/>
      <c r="DX345" s="428"/>
      <c r="DY345" s="155"/>
      <c r="DZ345" s="155"/>
      <c r="EA345" s="155"/>
      <c r="EB345" s="173"/>
      <c r="EC345" s="155"/>
      <c r="ED345" s="155"/>
      <c r="EE345" s="155"/>
      <c r="EF345" s="423"/>
      <c r="EG345" s="155"/>
      <c r="EH345" s="155"/>
      <c r="EI345" s="155"/>
      <c r="EJ345" s="267"/>
      <c r="EK345" s="155"/>
      <c r="EL345" s="155"/>
      <c r="EM345" s="155"/>
      <c r="EN345" s="428"/>
    </row>
    <row r="346" spans="1:144">
      <c r="A346" s="360"/>
      <c r="B346" s="172"/>
      <c r="C346" s="360"/>
      <c r="D346" s="172"/>
      <c r="E346" s="408"/>
      <c r="F346" s="408"/>
      <c r="G346" s="509"/>
      <c r="H346" s="546"/>
      <c r="I346" s="546"/>
      <c r="J346" s="251"/>
      <c r="K346" s="251"/>
      <c r="L346" s="509"/>
      <c r="M346" s="509"/>
      <c r="N346" s="509"/>
      <c r="O346" s="547"/>
      <c r="P346" s="200"/>
      <c r="Q346" s="174"/>
      <c r="R346" s="390"/>
      <c r="S346" s="510"/>
      <c r="T346" s="200"/>
      <c r="U346" s="174"/>
      <c r="V346" s="174"/>
      <c r="W346" s="510"/>
      <c r="X346" s="174"/>
      <c r="Y346" s="174"/>
      <c r="Z346" s="174"/>
      <c r="AA346" s="510"/>
      <c r="AB346" s="200"/>
      <c r="AC346" s="174"/>
      <c r="AD346" s="390"/>
      <c r="AE346" s="510"/>
      <c r="AF346" s="200"/>
      <c r="AG346" s="174"/>
      <c r="AH346" s="174"/>
      <c r="AI346" s="200"/>
      <c r="AJ346" s="548"/>
      <c r="AK346" s="200"/>
      <c r="AL346" s="174"/>
      <c r="AM346" s="390"/>
      <c r="AN346" s="510"/>
      <c r="AO346" s="200"/>
      <c r="AP346" s="174"/>
      <c r="AQ346" s="510"/>
      <c r="AR346" s="200"/>
      <c r="AS346" s="174"/>
      <c r="AT346" s="510"/>
      <c r="AU346" s="200"/>
      <c r="AV346" s="174"/>
      <c r="AW346" s="510"/>
      <c r="AX346" s="200"/>
      <c r="AY346" s="174"/>
      <c r="AZ346" s="510"/>
      <c r="BA346" s="174"/>
      <c r="BB346" s="174"/>
      <c r="BC346" s="174"/>
      <c r="BD346" s="174"/>
      <c r="BE346" s="174"/>
      <c r="BF346" s="510"/>
      <c r="BG346" s="174"/>
      <c r="BH346" s="174"/>
      <c r="BI346" s="174"/>
      <c r="BJ346" s="200"/>
      <c r="BK346" s="174"/>
      <c r="BL346" s="510"/>
      <c r="BM346" s="174"/>
      <c r="BN346" s="174"/>
      <c r="BO346" s="510"/>
      <c r="BP346" s="200"/>
      <c r="BQ346" s="447"/>
      <c r="BR346" s="510"/>
      <c r="BS346" s="174"/>
      <c r="BT346" s="174"/>
      <c r="BU346" s="510"/>
      <c r="BV346" s="200"/>
      <c r="BW346" s="174"/>
      <c r="BX346" s="510"/>
      <c r="BY346" s="174"/>
      <c r="BZ346" s="174"/>
      <c r="CA346" s="510"/>
      <c r="CB346" s="200"/>
      <c r="CC346" s="174"/>
      <c r="CD346" s="510"/>
      <c r="CE346" s="174"/>
      <c r="CF346" s="174"/>
      <c r="CG346" s="510"/>
      <c r="CH346" s="174"/>
      <c r="CI346" s="174"/>
      <c r="CJ346" s="174"/>
      <c r="CK346" s="174"/>
      <c r="CL346" s="174"/>
      <c r="CM346" s="510"/>
      <c r="CN346" s="174"/>
      <c r="CO346" s="549"/>
      <c r="CP346" s="510"/>
      <c r="CQ346" s="200"/>
      <c r="CR346" s="550"/>
      <c r="CS346" s="510"/>
      <c r="CT346" s="390"/>
      <c r="CU346" s="331"/>
      <c r="CV346" s="428"/>
      <c r="CW346" s="155"/>
      <c r="CX346" s="155"/>
      <c r="CY346" s="267"/>
      <c r="CZ346" s="323"/>
      <c r="DA346" s="323"/>
      <c r="DB346" s="423"/>
      <c r="DC346" s="155"/>
      <c r="DD346" s="155"/>
      <c r="DE346" s="267"/>
      <c r="DF346" s="323"/>
      <c r="DG346" s="323"/>
      <c r="DH346" s="428"/>
      <c r="DI346" s="155"/>
      <c r="DJ346" s="155"/>
      <c r="DK346" s="222"/>
      <c r="DL346" s="267"/>
      <c r="DM346" s="155"/>
      <c r="DN346" s="155"/>
      <c r="DO346" s="155"/>
      <c r="DP346" s="423"/>
      <c r="DQ346" s="155"/>
      <c r="DR346" s="155"/>
      <c r="DS346" s="222"/>
      <c r="DT346" s="267"/>
      <c r="DU346" s="174"/>
      <c r="DV346" s="174"/>
      <c r="DW346" s="200"/>
      <c r="DX346" s="428"/>
      <c r="DY346" s="155"/>
      <c r="DZ346" s="155"/>
      <c r="EA346" s="155"/>
      <c r="EB346" s="173"/>
      <c r="EC346" s="155"/>
      <c r="ED346" s="155"/>
      <c r="EE346" s="155"/>
      <c r="EF346" s="423"/>
      <c r="EG346" s="155"/>
      <c r="EH346" s="155"/>
      <c r="EI346" s="155"/>
      <c r="EJ346" s="267"/>
      <c r="EK346" s="155"/>
      <c r="EL346" s="155"/>
      <c r="EM346" s="155"/>
      <c r="EN346" s="428"/>
    </row>
    <row r="347" spans="1:144">
      <c r="A347" s="360"/>
      <c r="B347" s="172"/>
      <c r="C347" s="360"/>
      <c r="D347" s="172"/>
      <c r="E347" s="408"/>
      <c r="F347" s="408"/>
      <c r="G347" s="509"/>
      <c r="H347" s="546"/>
      <c r="I347" s="546"/>
      <c r="J347" s="251"/>
      <c r="K347" s="251"/>
      <c r="L347" s="509"/>
      <c r="M347" s="509"/>
      <c r="N347" s="509"/>
      <c r="O347" s="547"/>
      <c r="P347" s="200"/>
      <c r="Q347" s="174"/>
      <c r="R347" s="390"/>
      <c r="S347" s="510"/>
      <c r="T347" s="200"/>
      <c r="U347" s="174"/>
      <c r="V347" s="174"/>
      <c r="W347" s="510"/>
      <c r="X347" s="174"/>
      <c r="Y347" s="174"/>
      <c r="Z347" s="174"/>
      <c r="AA347" s="510"/>
      <c r="AB347" s="200"/>
      <c r="AC347" s="174"/>
      <c r="AD347" s="390"/>
      <c r="AE347" s="510"/>
      <c r="AF347" s="200"/>
      <c r="AG347" s="174"/>
      <c r="AH347" s="174"/>
      <c r="AI347" s="200"/>
      <c r="AJ347" s="548"/>
      <c r="AK347" s="200"/>
      <c r="AL347" s="174"/>
      <c r="AM347" s="390"/>
      <c r="AN347" s="510"/>
      <c r="AO347" s="200"/>
      <c r="AP347" s="174"/>
      <c r="AQ347" s="510"/>
      <c r="AR347" s="200"/>
      <c r="AS347" s="174"/>
      <c r="AT347" s="510"/>
      <c r="AU347" s="200"/>
      <c r="AV347" s="174"/>
      <c r="AW347" s="510"/>
      <c r="AX347" s="200"/>
      <c r="AY347" s="174"/>
      <c r="AZ347" s="510"/>
      <c r="BA347" s="174"/>
      <c r="BB347" s="174"/>
      <c r="BC347" s="174"/>
      <c r="BD347" s="174"/>
      <c r="BE347" s="174"/>
      <c r="BF347" s="510"/>
      <c r="BG347" s="174"/>
      <c r="BH347" s="174"/>
      <c r="BI347" s="174"/>
      <c r="BJ347" s="200"/>
      <c r="BK347" s="174"/>
      <c r="BL347" s="510"/>
      <c r="BM347" s="174"/>
      <c r="BN347" s="174"/>
      <c r="BO347" s="510"/>
      <c r="BP347" s="200"/>
      <c r="BQ347" s="447"/>
      <c r="BR347" s="510"/>
      <c r="BS347" s="174"/>
      <c r="BT347" s="174"/>
      <c r="BU347" s="510"/>
      <c r="BV347" s="200"/>
      <c r="BW347" s="174"/>
      <c r="BX347" s="510"/>
      <c r="BY347" s="174"/>
      <c r="BZ347" s="174"/>
      <c r="CA347" s="510"/>
      <c r="CB347" s="200"/>
      <c r="CC347" s="174"/>
      <c r="CD347" s="510"/>
      <c r="CE347" s="174"/>
      <c r="CF347" s="174"/>
      <c r="CG347" s="510"/>
      <c r="CH347" s="174"/>
      <c r="CI347" s="174"/>
      <c r="CJ347" s="174"/>
      <c r="CK347" s="174"/>
      <c r="CL347" s="174"/>
      <c r="CM347" s="510"/>
      <c r="CN347" s="174"/>
      <c r="CO347" s="549"/>
      <c r="CP347" s="510"/>
      <c r="CQ347" s="200"/>
      <c r="CR347" s="550"/>
      <c r="CS347" s="510"/>
      <c r="CT347" s="390"/>
      <c r="CU347" s="331"/>
      <c r="CV347" s="428"/>
      <c r="CW347" s="155"/>
      <c r="CX347" s="155"/>
      <c r="CY347" s="267"/>
      <c r="CZ347" s="323"/>
      <c r="DA347" s="323"/>
      <c r="DB347" s="423"/>
      <c r="DC347" s="155"/>
      <c r="DD347" s="155"/>
      <c r="DE347" s="267"/>
      <c r="DF347" s="323"/>
      <c r="DG347" s="323"/>
      <c r="DH347" s="428"/>
      <c r="DI347" s="155"/>
      <c r="DJ347" s="155"/>
      <c r="DK347" s="222"/>
      <c r="DL347" s="267"/>
      <c r="DM347" s="155"/>
      <c r="DN347" s="155"/>
      <c r="DO347" s="155"/>
      <c r="DP347" s="423"/>
      <c r="DQ347" s="155"/>
      <c r="DR347" s="155"/>
      <c r="DS347" s="222"/>
      <c r="DT347" s="267"/>
      <c r="DU347" s="174"/>
      <c r="DV347" s="174"/>
      <c r="DW347" s="200"/>
      <c r="DX347" s="428"/>
      <c r="DY347" s="155"/>
      <c r="DZ347" s="155"/>
      <c r="EA347" s="155"/>
      <c r="EB347" s="173"/>
      <c r="EC347" s="155"/>
      <c r="ED347" s="155"/>
      <c r="EE347" s="155"/>
      <c r="EF347" s="423"/>
      <c r="EG347" s="155"/>
      <c r="EH347" s="155"/>
      <c r="EI347" s="155"/>
      <c r="EJ347" s="267"/>
      <c r="EK347" s="155"/>
      <c r="EL347" s="155"/>
      <c r="EM347" s="155"/>
      <c r="EN347" s="428"/>
    </row>
    <row r="348" spans="1:144">
      <c r="A348" s="360"/>
      <c r="B348" s="172"/>
      <c r="C348" s="360"/>
      <c r="D348" s="172"/>
      <c r="E348" s="408"/>
      <c r="F348" s="408"/>
      <c r="G348" s="509"/>
      <c r="H348" s="546"/>
      <c r="I348" s="546"/>
      <c r="J348" s="251"/>
      <c r="K348" s="251"/>
      <c r="L348" s="509"/>
      <c r="M348" s="509"/>
      <c r="N348" s="509"/>
      <c r="O348" s="547"/>
      <c r="P348" s="200"/>
      <c r="Q348" s="174"/>
      <c r="R348" s="390"/>
      <c r="S348" s="510"/>
      <c r="T348" s="200"/>
      <c r="U348" s="174"/>
      <c r="V348" s="174"/>
      <c r="W348" s="510"/>
      <c r="X348" s="174"/>
      <c r="Y348" s="174"/>
      <c r="Z348" s="174"/>
      <c r="AA348" s="510"/>
      <c r="AB348" s="200"/>
      <c r="AC348" s="174"/>
      <c r="AD348" s="390"/>
      <c r="AE348" s="510"/>
      <c r="AF348" s="200"/>
      <c r="AG348" s="174"/>
      <c r="AH348" s="174"/>
      <c r="AI348" s="200"/>
      <c r="AJ348" s="548"/>
      <c r="AK348" s="200"/>
      <c r="AL348" s="174"/>
      <c r="AM348" s="390"/>
      <c r="AN348" s="510"/>
      <c r="AO348" s="200"/>
      <c r="AP348" s="174"/>
      <c r="AQ348" s="510"/>
      <c r="AR348" s="200"/>
      <c r="AS348" s="174"/>
      <c r="AT348" s="510"/>
      <c r="AU348" s="200"/>
      <c r="AV348" s="174"/>
      <c r="AW348" s="510"/>
      <c r="AX348" s="200"/>
      <c r="AY348" s="174"/>
      <c r="AZ348" s="510"/>
      <c r="BA348" s="174"/>
      <c r="BB348" s="174"/>
      <c r="BC348" s="174"/>
      <c r="BD348" s="174"/>
      <c r="BE348" s="174"/>
      <c r="BF348" s="510"/>
      <c r="BG348" s="174"/>
      <c r="BH348" s="174"/>
      <c r="BI348" s="174"/>
      <c r="BJ348" s="200"/>
      <c r="BK348" s="174"/>
      <c r="BL348" s="510"/>
      <c r="BM348" s="174"/>
      <c r="BN348" s="174"/>
      <c r="BO348" s="510"/>
      <c r="BP348" s="200"/>
      <c r="BQ348" s="447"/>
      <c r="BR348" s="510"/>
      <c r="BS348" s="174"/>
      <c r="BT348" s="174"/>
      <c r="BU348" s="510"/>
      <c r="BV348" s="200"/>
      <c r="BW348" s="174"/>
      <c r="BX348" s="510"/>
      <c r="BY348" s="174"/>
      <c r="BZ348" s="174"/>
      <c r="CA348" s="510"/>
      <c r="CB348" s="200"/>
      <c r="CC348" s="174"/>
      <c r="CD348" s="510"/>
      <c r="CE348" s="174"/>
      <c r="CF348" s="174"/>
      <c r="CG348" s="510"/>
      <c r="CH348" s="174"/>
      <c r="CI348" s="174"/>
      <c r="CJ348" s="174"/>
      <c r="CK348" s="174"/>
      <c r="CL348" s="174"/>
      <c r="CM348" s="510"/>
      <c r="CN348" s="174"/>
      <c r="CO348" s="549"/>
      <c r="CP348" s="510"/>
      <c r="CQ348" s="200"/>
      <c r="CR348" s="550"/>
      <c r="CS348" s="510"/>
      <c r="CT348" s="390"/>
      <c r="CU348" s="331"/>
      <c r="CV348" s="428"/>
      <c r="CW348" s="155"/>
      <c r="CX348" s="155"/>
      <c r="CY348" s="267"/>
      <c r="CZ348" s="323"/>
      <c r="DA348" s="323"/>
      <c r="DB348" s="423"/>
      <c r="DC348" s="155"/>
      <c r="DD348" s="155"/>
      <c r="DE348" s="267"/>
      <c r="DF348" s="323"/>
      <c r="DG348" s="323"/>
      <c r="DH348" s="428"/>
      <c r="DI348" s="155"/>
      <c r="DJ348" s="155"/>
      <c r="DK348" s="222"/>
      <c r="DL348" s="267"/>
      <c r="DM348" s="155"/>
      <c r="DN348" s="155"/>
      <c r="DO348" s="155"/>
      <c r="DP348" s="423"/>
      <c r="DQ348" s="155"/>
      <c r="DR348" s="155"/>
      <c r="DS348" s="222"/>
      <c r="DT348" s="267"/>
      <c r="DU348" s="174"/>
      <c r="DV348" s="174"/>
      <c r="DW348" s="200"/>
      <c r="DX348" s="428"/>
      <c r="DY348" s="155"/>
      <c r="DZ348" s="155"/>
      <c r="EA348" s="155"/>
      <c r="EB348" s="173"/>
      <c r="EC348" s="155"/>
      <c r="ED348" s="155"/>
      <c r="EE348" s="155"/>
      <c r="EF348" s="423"/>
      <c r="EG348" s="155"/>
      <c r="EH348" s="155"/>
      <c r="EI348" s="155"/>
      <c r="EJ348" s="267"/>
      <c r="EK348" s="155"/>
      <c r="EL348" s="155"/>
      <c r="EM348" s="155"/>
      <c r="EN348" s="428"/>
    </row>
    <row r="349" spans="1:144">
      <c r="A349" s="360"/>
      <c r="B349" s="172"/>
      <c r="C349" s="360"/>
      <c r="D349" s="172"/>
      <c r="E349" s="408"/>
      <c r="F349" s="408"/>
      <c r="G349" s="509"/>
      <c r="H349" s="546"/>
      <c r="I349" s="546"/>
      <c r="J349" s="251"/>
      <c r="K349" s="251"/>
      <c r="L349" s="509"/>
      <c r="M349" s="509"/>
      <c r="N349" s="509"/>
      <c r="O349" s="547"/>
      <c r="P349" s="200"/>
      <c r="Q349" s="174"/>
      <c r="R349" s="390"/>
      <c r="S349" s="510"/>
      <c r="T349" s="200"/>
      <c r="U349" s="174"/>
      <c r="V349" s="174"/>
      <c r="W349" s="510"/>
      <c r="X349" s="174"/>
      <c r="Y349" s="174"/>
      <c r="Z349" s="174"/>
      <c r="AA349" s="510"/>
      <c r="AB349" s="200"/>
      <c r="AC349" s="174"/>
      <c r="AD349" s="390"/>
      <c r="AE349" s="510"/>
      <c r="AF349" s="200"/>
      <c r="AG349" s="174"/>
      <c r="AH349" s="174"/>
      <c r="AI349" s="200"/>
      <c r="AJ349" s="548"/>
      <c r="AK349" s="200"/>
      <c r="AL349" s="174"/>
      <c r="AM349" s="390"/>
      <c r="AN349" s="510"/>
      <c r="AO349" s="200"/>
      <c r="AP349" s="174"/>
      <c r="AQ349" s="510"/>
      <c r="AR349" s="200"/>
      <c r="AS349" s="174"/>
      <c r="AT349" s="510"/>
      <c r="AU349" s="200"/>
      <c r="AV349" s="174"/>
      <c r="AW349" s="510"/>
      <c r="AX349" s="200"/>
      <c r="AY349" s="174"/>
      <c r="AZ349" s="510"/>
      <c r="BA349" s="174"/>
      <c r="BB349" s="174"/>
      <c r="BC349" s="174"/>
      <c r="BD349" s="174"/>
      <c r="BE349" s="174"/>
      <c r="BF349" s="510"/>
      <c r="BG349" s="174"/>
      <c r="BH349" s="174"/>
      <c r="BI349" s="174"/>
      <c r="BJ349" s="200"/>
      <c r="BK349" s="174"/>
      <c r="BL349" s="510"/>
      <c r="BM349" s="174"/>
      <c r="BN349" s="174"/>
      <c r="BO349" s="510"/>
      <c r="BP349" s="200"/>
      <c r="BQ349" s="447"/>
      <c r="BR349" s="510"/>
      <c r="BS349" s="174"/>
      <c r="BT349" s="174"/>
      <c r="BU349" s="510"/>
      <c r="BV349" s="200"/>
      <c r="BW349" s="174"/>
      <c r="BX349" s="510"/>
      <c r="BY349" s="174"/>
      <c r="BZ349" s="174"/>
      <c r="CA349" s="510"/>
      <c r="CB349" s="200"/>
      <c r="CC349" s="174"/>
      <c r="CD349" s="510"/>
      <c r="CE349" s="174"/>
      <c r="CF349" s="174"/>
      <c r="CG349" s="510"/>
      <c r="CH349" s="174"/>
      <c r="CI349" s="174"/>
      <c r="CJ349" s="174"/>
      <c r="CK349" s="174"/>
      <c r="CL349" s="174"/>
      <c r="CM349" s="510"/>
      <c r="CN349" s="174"/>
      <c r="CO349" s="549"/>
      <c r="CP349" s="510"/>
      <c r="CQ349" s="200"/>
      <c r="CR349" s="550"/>
      <c r="CS349" s="510"/>
      <c r="CT349" s="390"/>
      <c r="CU349" s="331"/>
      <c r="CV349" s="428"/>
      <c r="CW349" s="155"/>
      <c r="CX349" s="155"/>
      <c r="CY349" s="267"/>
      <c r="CZ349" s="323"/>
      <c r="DA349" s="323"/>
      <c r="DB349" s="423"/>
      <c r="DC349" s="155"/>
      <c r="DD349" s="155"/>
      <c r="DE349" s="267"/>
      <c r="DF349" s="323"/>
      <c r="DG349" s="323"/>
      <c r="DH349" s="428"/>
      <c r="DI349" s="155"/>
      <c r="DJ349" s="155"/>
      <c r="DK349" s="222"/>
      <c r="DL349" s="267"/>
      <c r="DM349" s="155"/>
      <c r="DN349" s="155"/>
      <c r="DO349" s="155"/>
      <c r="DP349" s="423"/>
      <c r="DQ349" s="155"/>
      <c r="DR349" s="155"/>
      <c r="DS349" s="222"/>
      <c r="DT349" s="267"/>
      <c r="DU349" s="174"/>
      <c r="DV349" s="174"/>
      <c r="DW349" s="200"/>
      <c r="DX349" s="428"/>
      <c r="DY349" s="155"/>
      <c r="DZ349" s="155"/>
      <c r="EA349" s="155"/>
      <c r="EB349" s="173"/>
      <c r="EC349" s="155"/>
      <c r="ED349" s="155"/>
      <c r="EE349" s="155"/>
      <c r="EF349" s="423"/>
      <c r="EG349" s="155"/>
      <c r="EH349" s="155"/>
      <c r="EI349" s="155"/>
      <c r="EJ349" s="267"/>
      <c r="EK349" s="155"/>
      <c r="EL349" s="155"/>
      <c r="EM349" s="155"/>
      <c r="EN349" s="428"/>
    </row>
    <row r="350" spans="1:144">
      <c r="A350" s="360"/>
      <c r="B350" s="172"/>
      <c r="C350" s="360"/>
      <c r="D350" s="172"/>
      <c r="E350" s="408"/>
      <c r="F350" s="408"/>
      <c r="G350" s="509"/>
      <c r="H350" s="546"/>
      <c r="I350" s="546"/>
      <c r="J350" s="251"/>
      <c r="K350" s="251"/>
      <c r="L350" s="509"/>
      <c r="M350" s="509"/>
      <c r="N350" s="509"/>
      <c r="O350" s="547"/>
      <c r="P350" s="200"/>
      <c r="Q350" s="174"/>
      <c r="R350" s="390"/>
      <c r="S350" s="510"/>
      <c r="T350" s="200"/>
      <c r="U350" s="174"/>
      <c r="V350" s="174"/>
      <c r="W350" s="510"/>
      <c r="X350" s="174"/>
      <c r="Y350" s="174"/>
      <c r="Z350" s="174"/>
      <c r="AA350" s="510"/>
      <c r="AB350" s="200"/>
      <c r="AC350" s="174"/>
      <c r="AD350" s="390"/>
      <c r="AE350" s="510"/>
      <c r="AF350" s="200"/>
      <c r="AG350" s="174"/>
      <c r="AH350" s="174"/>
      <c r="AI350" s="200"/>
      <c r="AJ350" s="548"/>
      <c r="AK350" s="200"/>
      <c r="AL350" s="174"/>
      <c r="AM350" s="390"/>
      <c r="AN350" s="510"/>
      <c r="AO350" s="200"/>
      <c r="AP350" s="174"/>
      <c r="AQ350" s="510"/>
      <c r="AR350" s="200"/>
      <c r="AS350" s="174"/>
      <c r="AT350" s="510"/>
      <c r="AU350" s="200"/>
      <c r="AV350" s="174"/>
      <c r="AW350" s="510"/>
      <c r="AX350" s="200"/>
      <c r="AY350" s="174"/>
      <c r="AZ350" s="510"/>
      <c r="BA350" s="174"/>
      <c r="BB350" s="174"/>
      <c r="BC350" s="174"/>
      <c r="BD350" s="174"/>
      <c r="BE350" s="174"/>
      <c r="BF350" s="510"/>
      <c r="BG350" s="174"/>
      <c r="BH350" s="174"/>
      <c r="BI350" s="174"/>
      <c r="BJ350" s="200"/>
      <c r="BK350" s="174"/>
      <c r="BL350" s="510"/>
      <c r="BM350" s="174"/>
      <c r="BN350" s="174"/>
      <c r="BO350" s="510"/>
      <c r="BP350" s="200"/>
      <c r="BQ350" s="447"/>
      <c r="BR350" s="510"/>
      <c r="BS350" s="174"/>
      <c r="BT350" s="174"/>
      <c r="BU350" s="510"/>
      <c r="BV350" s="200"/>
      <c r="BW350" s="174"/>
      <c r="BX350" s="510"/>
      <c r="BY350" s="174"/>
      <c r="BZ350" s="174"/>
      <c r="CA350" s="510"/>
      <c r="CB350" s="200"/>
      <c r="CC350" s="174"/>
      <c r="CD350" s="510"/>
      <c r="CE350" s="174"/>
      <c r="CF350" s="174"/>
      <c r="CG350" s="510"/>
      <c r="CH350" s="174"/>
      <c r="CI350" s="174"/>
      <c r="CJ350" s="174"/>
      <c r="CK350" s="174"/>
      <c r="CL350" s="174"/>
      <c r="CM350" s="510"/>
      <c r="CN350" s="174"/>
      <c r="CO350" s="549"/>
      <c r="CP350" s="510"/>
      <c r="CQ350" s="200"/>
      <c r="CR350" s="550"/>
      <c r="CS350" s="510"/>
      <c r="CT350" s="390"/>
      <c r="CU350" s="331"/>
      <c r="CV350" s="428"/>
      <c r="CW350" s="155"/>
      <c r="CX350" s="155"/>
      <c r="CY350" s="267"/>
      <c r="CZ350" s="323"/>
      <c r="DA350" s="323"/>
      <c r="DB350" s="423"/>
      <c r="DC350" s="155"/>
      <c r="DD350" s="155"/>
      <c r="DE350" s="267"/>
      <c r="DF350" s="323"/>
      <c r="DG350" s="323"/>
      <c r="DH350" s="428"/>
      <c r="DI350" s="155"/>
      <c r="DJ350" s="155"/>
      <c r="DK350" s="222"/>
      <c r="DL350" s="267"/>
      <c r="DM350" s="155"/>
      <c r="DN350" s="155"/>
      <c r="DO350" s="155"/>
      <c r="DP350" s="423"/>
      <c r="DQ350" s="155"/>
      <c r="DR350" s="155"/>
      <c r="DS350" s="222"/>
      <c r="DT350" s="267"/>
      <c r="DU350" s="174"/>
      <c r="DV350" s="174"/>
      <c r="DW350" s="200"/>
      <c r="DX350" s="428"/>
      <c r="DY350" s="155"/>
      <c r="DZ350" s="155"/>
      <c r="EA350" s="155"/>
      <c r="EB350" s="173"/>
      <c r="EC350" s="155"/>
      <c r="ED350" s="155"/>
      <c r="EE350" s="155"/>
      <c r="EF350" s="423"/>
      <c r="EG350" s="155"/>
      <c r="EH350" s="155"/>
      <c r="EI350" s="155"/>
      <c r="EJ350" s="267"/>
      <c r="EK350" s="155"/>
      <c r="EL350" s="155"/>
      <c r="EM350" s="155"/>
      <c r="EN350" s="428"/>
    </row>
    <row r="351" spans="1:144">
      <c r="A351" s="360"/>
      <c r="B351" s="172"/>
      <c r="C351" s="360"/>
      <c r="D351" s="172"/>
      <c r="E351" s="408"/>
      <c r="F351" s="408"/>
      <c r="G351" s="509"/>
      <c r="H351" s="546"/>
      <c r="I351" s="546"/>
      <c r="J351" s="251"/>
      <c r="K351" s="251"/>
      <c r="L351" s="509"/>
      <c r="M351" s="509"/>
      <c r="N351" s="509"/>
      <c r="O351" s="547"/>
      <c r="P351" s="200"/>
      <c r="Q351" s="174"/>
      <c r="R351" s="390"/>
      <c r="S351" s="510"/>
      <c r="T351" s="200"/>
      <c r="U351" s="174"/>
      <c r="V351" s="174"/>
      <c r="W351" s="510"/>
      <c r="X351" s="174"/>
      <c r="Y351" s="174"/>
      <c r="Z351" s="174"/>
      <c r="AA351" s="510"/>
      <c r="AB351" s="200"/>
      <c r="AC351" s="174"/>
      <c r="AD351" s="390"/>
      <c r="AE351" s="510"/>
      <c r="AF351" s="200"/>
      <c r="AG351" s="174"/>
      <c r="AH351" s="174"/>
      <c r="AI351" s="200"/>
      <c r="AJ351" s="548"/>
      <c r="AK351" s="200"/>
      <c r="AL351" s="174"/>
      <c r="AM351" s="390"/>
      <c r="AN351" s="510"/>
      <c r="AO351" s="200"/>
      <c r="AP351" s="174"/>
      <c r="AQ351" s="510"/>
      <c r="AR351" s="200"/>
      <c r="AS351" s="174"/>
      <c r="AT351" s="510"/>
      <c r="AU351" s="200"/>
      <c r="AV351" s="174"/>
      <c r="AW351" s="510"/>
      <c r="AX351" s="200"/>
      <c r="AY351" s="174"/>
      <c r="AZ351" s="510"/>
      <c r="BA351" s="174"/>
      <c r="BB351" s="174"/>
      <c r="BC351" s="174"/>
      <c r="BD351" s="174"/>
      <c r="BE351" s="174"/>
      <c r="BF351" s="510"/>
      <c r="BG351" s="174"/>
      <c r="BH351" s="174"/>
      <c r="BI351" s="174"/>
      <c r="BJ351" s="200"/>
      <c r="BK351" s="174"/>
      <c r="BL351" s="510"/>
      <c r="BM351" s="174"/>
      <c r="BN351" s="174"/>
      <c r="BO351" s="510"/>
      <c r="BP351" s="200"/>
      <c r="BQ351" s="447"/>
      <c r="BR351" s="510"/>
      <c r="BS351" s="174"/>
      <c r="BT351" s="174"/>
      <c r="BU351" s="510"/>
      <c r="BV351" s="200"/>
      <c r="BW351" s="174"/>
      <c r="BX351" s="510"/>
      <c r="BY351" s="174"/>
      <c r="BZ351" s="174"/>
      <c r="CA351" s="510"/>
      <c r="CB351" s="200"/>
      <c r="CC351" s="174"/>
      <c r="CD351" s="510"/>
      <c r="CE351" s="174"/>
      <c r="CF351" s="174"/>
      <c r="CG351" s="510"/>
      <c r="CH351" s="174"/>
      <c r="CI351" s="174"/>
      <c r="CJ351" s="174"/>
      <c r="CK351" s="174"/>
      <c r="CL351" s="174"/>
      <c r="CM351" s="510"/>
      <c r="CN351" s="174"/>
      <c r="CO351" s="549"/>
      <c r="CP351" s="510"/>
      <c r="CQ351" s="200"/>
      <c r="CR351" s="550"/>
      <c r="CS351" s="510"/>
      <c r="CT351" s="390"/>
      <c r="CU351" s="331"/>
      <c r="CV351" s="428"/>
      <c r="CW351" s="155"/>
      <c r="CX351" s="155"/>
      <c r="CY351" s="267"/>
      <c r="CZ351" s="323"/>
      <c r="DA351" s="323"/>
      <c r="DB351" s="423"/>
      <c r="DC351" s="155"/>
      <c r="DD351" s="155"/>
      <c r="DE351" s="267"/>
      <c r="DF351" s="323"/>
      <c r="DG351" s="323"/>
      <c r="DH351" s="428"/>
      <c r="DI351" s="155"/>
      <c r="DJ351" s="155"/>
      <c r="DK351" s="222"/>
      <c r="DL351" s="267"/>
      <c r="DM351" s="155"/>
      <c r="DN351" s="155"/>
      <c r="DO351" s="155"/>
      <c r="DP351" s="423"/>
      <c r="DQ351" s="155"/>
      <c r="DR351" s="155"/>
      <c r="DS351" s="222"/>
      <c r="DT351" s="267"/>
      <c r="DU351" s="174"/>
      <c r="DV351" s="174"/>
      <c r="DW351" s="200"/>
      <c r="DX351" s="428"/>
      <c r="DY351" s="155"/>
      <c r="DZ351" s="155"/>
      <c r="EA351" s="155"/>
      <c r="EB351" s="173"/>
      <c r="EC351" s="155"/>
      <c r="ED351" s="155"/>
      <c r="EE351" s="155"/>
      <c r="EF351" s="423"/>
      <c r="EG351" s="155"/>
      <c r="EH351" s="155"/>
      <c r="EI351" s="155"/>
      <c r="EJ351" s="267"/>
      <c r="EK351" s="155"/>
      <c r="EL351" s="155"/>
      <c r="EM351" s="155"/>
      <c r="EN351" s="428"/>
    </row>
    <row r="352" spans="1:144">
      <c r="A352" s="360"/>
      <c r="B352" s="172"/>
      <c r="C352" s="360"/>
      <c r="D352" s="172"/>
      <c r="E352" s="408"/>
      <c r="F352" s="408"/>
      <c r="G352" s="509"/>
      <c r="H352" s="546"/>
      <c r="I352" s="546"/>
      <c r="J352" s="251"/>
      <c r="K352" s="251"/>
      <c r="L352" s="509"/>
      <c r="M352" s="509"/>
      <c r="N352" s="509"/>
      <c r="O352" s="547"/>
      <c r="P352" s="200"/>
      <c r="Q352" s="174"/>
      <c r="R352" s="390"/>
      <c r="S352" s="510"/>
      <c r="T352" s="200"/>
      <c r="U352" s="174"/>
      <c r="V352" s="174"/>
      <c r="W352" s="510"/>
      <c r="X352" s="174"/>
      <c r="Y352" s="174"/>
      <c r="Z352" s="174"/>
      <c r="AA352" s="510"/>
      <c r="AB352" s="200"/>
      <c r="AC352" s="174"/>
      <c r="AD352" s="390"/>
      <c r="AE352" s="510"/>
      <c r="AF352" s="200"/>
      <c r="AG352" s="174"/>
      <c r="AH352" s="174"/>
      <c r="AI352" s="200"/>
      <c r="AJ352" s="548"/>
      <c r="AK352" s="200"/>
      <c r="AL352" s="174"/>
      <c r="AM352" s="390"/>
      <c r="AN352" s="510"/>
      <c r="AO352" s="200"/>
      <c r="AP352" s="174"/>
      <c r="AQ352" s="510"/>
      <c r="AR352" s="200"/>
      <c r="AS352" s="174"/>
      <c r="AT352" s="510"/>
      <c r="AU352" s="200"/>
      <c r="AV352" s="174"/>
      <c r="AW352" s="510"/>
      <c r="AX352" s="200"/>
      <c r="AY352" s="174"/>
      <c r="AZ352" s="510"/>
      <c r="BA352" s="174"/>
      <c r="BB352" s="174"/>
      <c r="BC352" s="174"/>
      <c r="BD352" s="174"/>
      <c r="BE352" s="174"/>
      <c r="BF352" s="510"/>
      <c r="BG352" s="174"/>
      <c r="BH352" s="174"/>
      <c r="BI352" s="174"/>
      <c r="BJ352" s="200"/>
      <c r="BK352" s="174"/>
      <c r="BL352" s="510"/>
      <c r="BM352" s="174"/>
      <c r="BN352" s="174"/>
      <c r="BO352" s="510"/>
      <c r="BP352" s="200"/>
      <c r="BQ352" s="447"/>
      <c r="BR352" s="510"/>
      <c r="BS352" s="174"/>
      <c r="BT352" s="174"/>
      <c r="BU352" s="510"/>
      <c r="BV352" s="200"/>
      <c r="BW352" s="174"/>
      <c r="BX352" s="510"/>
      <c r="BY352" s="174"/>
      <c r="BZ352" s="174"/>
      <c r="CA352" s="510"/>
      <c r="CB352" s="200"/>
      <c r="CC352" s="174"/>
      <c r="CD352" s="510"/>
      <c r="CE352" s="174"/>
      <c r="CF352" s="174"/>
      <c r="CG352" s="510"/>
      <c r="CH352" s="174"/>
      <c r="CI352" s="174"/>
      <c r="CJ352" s="174"/>
      <c r="CK352" s="174"/>
      <c r="CL352" s="174"/>
      <c r="CM352" s="510"/>
      <c r="CN352" s="174"/>
      <c r="CO352" s="549"/>
      <c r="CP352" s="510"/>
      <c r="CQ352" s="200"/>
      <c r="CR352" s="550"/>
      <c r="CS352" s="510"/>
      <c r="CT352" s="390"/>
      <c r="CU352" s="331"/>
      <c r="CV352" s="428"/>
      <c r="CW352" s="155"/>
      <c r="CX352" s="155"/>
      <c r="CY352" s="267"/>
      <c r="CZ352" s="323"/>
      <c r="DA352" s="323"/>
      <c r="DB352" s="423"/>
      <c r="DC352" s="155"/>
      <c r="DD352" s="155"/>
      <c r="DE352" s="267"/>
      <c r="DF352" s="323"/>
      <c r="DG352" s="323"/>
      <c r="DH352" s="428"/>
      <c r="DI352" s="155"/>
      <c r="DJ352" s="155"/>
      <c r="DK352" s="222"/>
      <c r="DL352" s="267"/>
      <c r="DM352" s="155"/>
      <c r="DN352" s="155"/>
      <c r="DO352" s="155"/>
      <c r="DP352" s="423"/>
      <c r="DQ352" s="155"/>
      <c r="DR352" s="155"/>
      <c r="DS352" s="222"/>
      <c r="DT352" s="267"/>
      <c r="DU352" s="174"/>
      <c r="DV352" s="174"/>
      <c r="DW352" s="200"/>
      <c r="DX352" s="428"/>
      <c r="DY352" s="155"/>
      <c r="DZ352" s="155"/>
      <c r="EA352" s="155"/>
      <c r="EB352" s="173"/>
      <c r="EC352" s="155"/>
      <c r="ED352" s="155"/>
      <c r="EE352" s="155"/>
      <c r="EF352" s="423"/>
      <c r="EG352" s="155"/>
      <c r="EH352" s="155"/>
      <c r="EI352" s="155"/>
      <c r="EJ352" s="267"/>
      <c r="EK352" s="155"/>
      <c r="EL352" s="155"/>
      <c r="EM352" s="155"/>
      <c r="EN352" s="428"/>
    </row>
    <row r="353" spans="1:144">
      <c r="A353" s="360"/>
      <c r="B353" s="172"/>
      <c r="C353" s="360"/>
      <c r="D353" s="172"/>
      <c r="E353" s="408"/>
      <c r="F353" s="408"/>
      <c r="G353" s="509"/>
      <c r="H353" s="546"/>
      <c r="I353" s="546"/>
      <c r="J353" s="251"/>
      <c r="K353" s="251"/>
      <c r="L353" s="509"/>
      <c r="M353" s="509"/>
      <c r="N353" s="509"/>
      <c r="O353" s="547"/>
      <c r="P353" s="200"/>
      <c r="Q353" s="174"/>
      <c r="R353" s="390"/>
      <c r="S353" s="510"/>
      <c r="T353" s="200"/>
      <c r="U353" s="174"/>
      <c r="V353" s="174"/>
      <c r="W353" s="510"/>
      <c r="X353" s="174"/>
      <c r="Y353" s="174"/>
      <c r="Z353" s="174"/>
      <c r="AA353" s="510"/>
      <c r="AB353" s="200"/>
      <c r="AC353" s="174"/>
      <c r="AD353" s="390"/>
      <c r="AE353" s="510"/>
      <c r="AF353" s="200"/>
      <c r="AG353" s="174"/>
      <c r="AH353" s="174"/>
      <c r="AI353" s="200"/>
      <c r="AJ353" s="548"/>
      <c r="AK353" s="200"/>
      <c r="AL353" s="174"/>
      <c r="AM353" s="390"/>
      <c r="AN353" s="510"/>
      <c r="AO353" s="200"/>
      <c r="AP353" s="174"/>
      <c r="AQ353" s="510"/>
      <c r="AR353" s="200"/>
      <c r="AS353" s="174"/>
      <c r="AT353" s="510"/>
      <c r="AU353" s="200"/>
      <c r="AV353" s="174"/>
      <c r="AW353" s="510"/>
      <c r="AX353" s="200"/>
      <c r="AY353" s="174"/>
      <c r="AZ353" s="510"/>
      <c r="BA353" s="174"/>
      <c r="BB353" s="174"/>
      <c r="BC353" s="174"/>
      <c r="BD353" s="174"/>
      <c r="BE353" s="174"/>
      <c r="BF353" s="510"/>
      <c r="BG353" s="174"/>
      <c r="BH353" s="174"/>
      <c r="BI353" s="174"/>
      <c r="BJ353" s="200"/>
      <c r="BK353" s="174"/>
      <c r="BL353" s="510"/>
      <c r="BM353" s="174"/>
      <c r="BN353" s="174"/>
      <c r="BO353" s="510"/>
      <c r="BP353" s="200"/>
      <c r="BQ353" s="447"/>
      <c r="BR353" s="510"/>
      <c r="BS353" s="174"/>
      <c r="BT353" s="174"/>
      <c r="BU353" s="510"/>
      <c r="BV353" s="200"/>
      <c r="BW353" s="174"/>
      <c r="BX353" s="510"/>
      <c r="BY353" s="174"/>
      <c r="BZ353" s="174"/>
      <c r="CA353" s="510"/>
      <c r="CB353" s="200"/>
      <c r="CC353" s="174"/>
      <c r="CD353" s="510"/>
      <c r="CE353" s="174"/>
      <c r="CF353" s="174"/>
      <c r="CG353" s="510"/>
      <c r="CH353" s="174"/>
      <c r="CI353" s="174"/>
      <c r="CJ353" s="174"/>
      <c r="CK353" s="174"/>
      <c r="CL353" s="174"/>
      <c r="CM353" s="510"/>
      <c r="CN353" s="174"/>
      <c r="CO353" s="549"/>
      <c r="CP353" s="510"/>
      <c r="CQ353" s="200"/>
      <c r="CR353" s="550"/>
      <c r="CS353" s="510"/>
      <c r="CT353" s="390"/>
      <c r="CU353" s="331"/>
      <c r="CV353" s="428"/>
      <c r="CW353" s="155"/>
      <c r="CX353" s="155"/>
      <c r="CY353" s="267"/>
      <c r="CZ353" s="323"/>
      <c r="DA353" s="323"/>
      <c r="DB353" s="423"/>
      <c r="DC353" s="155"/>
      <c r="DD353" s="155"/>
      <c r="DE353" s="267"/>
      <c r="DF353" s="323"/>
      <c r="DG353" s="323"/>
      <c r="DH353" s="428"/>
      <c r="DI353" s="155"/>
      <c r="DJ353" s="155"/>
      <c r="DK353" s="222"/>
      <c r="DL353" s="267"/>
      <c r="DM353" s="155"/>
      <c r="DN353" s="155"/>
      <c r="DO353" s="155"/>
      <c r="DP353" s="423"/>
      <c r="DQ353" s="155"/>
      <c r="DR353" s="155"/>
      <c r="DS353" s="222"/>
      <c r="DT353" s="267"/>
      <c r="DU353" s="174"/>
      <c r="DV353" s="174"/>
      <c r="DW353" s="200"/>
      <c r="DX353" s="428"/>
      <c r="DY353" s="155"/>
      <c r="DZ353" s="155"/>
      <c r="EA353" s="155"/>
      <c r="EB353" s="173"/>
      <c r="EC353" s="155"/>
      <c r="ED353" s="155"/>
      <c r="EE353" s="155"/>
      <c r="EF353" s="423"/>
      <c r="EG353" s="155"/>
      <c r="EH353" s="155"/>
      <c r="EI353" s="155"/>
      <c r="EJ353" s="267"/>
      <c r="EK353" s="155"/>
      <c r="EL353" s="155"/>
      <c r="EM353" s="155"/>
      <c r="EN353" s="428"/>
    </row>
    <row r="354" spans="1:144">
      <c r="A354" s="360"/>
      <c r="B354" s="172"/>
      <c r="C354" s="360"/>
      <c r="D354" s="172"/>
      <c r="E354" s="408"/>
      <c r="F354" s="408"/>
      <c r="G354" s="509"/>
      <c r="H354" s="546"/>
      <c r="I354" s="546"/>
      <c r="J354" s="251"/>
      <c r="K354" s="251"/>
      <c r="L354" s="509"/>
      <c r="M354" s="509"/>
      <c r="N354" s="509"/>
      <c r="O354" s="547"/>
      <c r="P354" s="200"/>
      <c r="Q354" s="174"/>
      <c r="R354" s="390"/>
      <c r="S354" s="510"/>
      <c r="T354" s="200"/>
      <c r="U354" s="174"/>
      <c r="V354" s="174"/>
      <c r="W354" s="510"/>
      <c r="X354" s="174"/>
      <c r="Y354" s="174"/>
      <c r="Z354" s="174"/>
      <c r="AA354" s="510"/>
      <c r="AB354" s="200"/>
      <c r="AC354" s="174"/>
      <c r="AD354" s="390"/>
      <c r="AE354" s="510"/>
      <c r="AF354" s="200"/>
      <c r="AG354" s="174"/>
      <c r="AH354" s="174"/>
      <c r="AI354" s="200"/>
      <c r="AJ354" s="548"/>
      <c r="AK354" s="200"/>
      <c r="AL354" s="174"/>
      <c r="AM354" s="390"/>
      <c r="AN354" s="510"/>
      <c r="AO354" s="200"/>
      <c r="AP354" s="174"/>
      <c r="AQ354" s="510"/>
      <c r="AR354" s="200"/>
      <c r="AS354" s="174"/>
      <c r="AT354" s="510"/>
      <c r="AU354" s="200"/>
      <c r="AV354" s="174"/>
      <c r="AW354" s="510"/>
      <c r="AX354" s="200"/>
      <c r="AY354" s="174"/>
      <c r="AZ354" s="510"/>
      <c r="BA354" s="174"/>
      <c r="BB354" s="174"/>
      <c r="BC354" s="174"/>
      <c r="BD354" s="174"/>
      <c r="BE354" s="174"/>
      <c r="BF354" s="510"/>
      <c r="BG354" s="174"/>
      <c r="BH354" s="174"/>
      <c r="BI354" s="174"/>
      <c r="BJ354" s="200"/>
      <c r="BK354" s="174"/>
      <c r="BL354" s="510"/>
      <c r="BM354" s="174"/>
      <c r="BN354" s="174"/>
      <c r="BO354" s="510"/>
      <c r="BP354" s="200"/>
      <c r="BQ354" s="447"/>
      <c r="BR354" s="510"/>
      <c r="BS354" s="174"/>
      <c r="BT354" s="174"/>
      <c r="BU354" s="510"/>
      <c r="BV354" s="200"/>
      <c r="BW354" s="174"/>
      <c r="BX354" s="510"/>
      <c r="BY354" s="174"/>
      <c r="BZ354" s="174"/>
      <c r="CA354" s="510"/>
      <c r="CB354" s="200"/>
      <c r="CC354" s="174"/>
      <c r="CD354" s="510"/>
      <c r="CE354" s="174"/>
      <c r="CF354" s="174"/>
      <c r="CG354" s="510"/>
      <c r="CH354" s="174"/>
      <c r="CI354" s="174"/>
      <c r="CJ354" s="174"/>
      <c r="CK354" s="174"/>
      <c r="CL354" s="174"/>
      <c r="CM354" s="510"/>
      <c r="CN354" s="174"/>
      <c r="CO354" s="549"/>
      <c r="CP354" s="510"/>
      <c r="CQ354" s="200"/>
      <c r="CR354" s="550"/>
      <c r="CS354" s="510"/>
      <c r="CT354" s="390"/>
      <c r="CU354" s="331"/>
      <c r="CV354" s="428"/>
      <c r="CW354" s="155"/>
      <c r="CX354" s="155"/>
      <c r="CY354" s="267"/>
      <c r="CZ354" s="323"/>
      <c r="DA354" s="323"/>
      <c r="DB354" s="423"/>
      <c r="DC354" s="155"/>
      <c r="DD354" s="155"/>
      <c r="DE354" s="267"/>
      <c r="DF354" s="323"/>
      <c r="DG354" s="323"/>
      <c r="DH354" s="428"/>
      <c r="DI354" s="155"/>
      <c r="DJ354" s="155"/>
      <c r="DK354" s="222"/>
      <c r="DL354" s="267"/>
      <c r="DM354" s="155"/>
      <c r="DN354" s="155"/>
      <c r="DO354" s="155"/>
      <c r="DP354" s="423"/>
      <c r="DQ354" s="155"/>
      <c r="DR354" s="155"/>
      <c r="DS354" s="222"/>
      <c r="DT354" s="267"/>
      <c r="DU354" s="174"/>
      <c r="DV354" s="174"/>
      <c r="DW354" s="200"/>
      <c r="DX354" s="428"/>
      <c r="DY354" s="155"/>
      <c r="DZ354" s="155"/>
      <c r="EA354" s="155"/>
      <c r="EB354" s="173"/>
      <c r="EC354" s="155"/>
      <c r="ED354" s="155"/>
      <c r="EE354" s="155"/>
      <c r="EF354" s="423"/>
      <c r="EG354" s="155"/>
      <c r="EH354" s="155"/>
      <c r="EI354" s="155"/>
      <c r="EJ354" s="267"/>
      <c r="EK354" s="155"/>
      <c r="EL354" s="155"/>
      <c r="EM354" s="155"/>
      <c r="EN354" s="428"/>
    </row>
    <row r="355" spans="1:144">
      <c r="A355" s="360"/>
      <c r="B355" s="172"/>
      <c r="C355" s="360"/>
      <c r="D355" s="172"/>
      <c r="E355" s="408"/>
      <c r="F355" s="408"/>
      <c r="G355" s="509"/>
      <c r="H355" s="546"/>
      <c r="I355" s="546"/>
      <c r="J355" s="251"/>
      <c r="K355" s="251"/>
      <c r="L355" s="509"/>
      <c r="M355" s="509"/>
      <c r="N355" s="509"/>
      <c r="O355" s="547"/>
      <c r="P355" s="200"/>
      <c r="Q355" s="174"/>
      <c r="R355" s="390"/>
      <c r="S355" s="510"/>
      <c r="T355" s="200"/>
      <c r="U355" s="174"/>
      <c r="V355" s="174"/>
      <c r="W355" s="510"/>
      <c r="X355" s="174"/>
      <c r="Y355" s="174"/>
      <c r="Z355" s="174"/>
      <c r="AA355" s="510"/>
      <c r="AB355" s="200"/>
      <c r="AC355" s="174"/>
      <c r="AD355" s="390"/>
      <c r="AE355" s="510"/>
      <c r="AF355" s="200"/>
      <c r="AG355" s="174"/>
      <c r="AH355" s="174"/>
      <c r="AI355" s="200"/>
      <c r="AJ355" s="548"/>
      <c r="AK355" s="200"/>
      <c r="AL355" s="174"/>
      <c r="AM355" s="390"/>
      <c r="AN355" s="510"/>
      <c r="AO355" s="200"/>
      <c r="AP355" s="174"/>
      <c r="AQ355" s="510"/>
      <c r="AR355" s="200"/>
      <c r="AS355" s="174"/>
      <c r="AT355" s="510"/>
      <c r="AU355" s="200"/>
      <c r="AV355" s="174"/>
      <c r="AW355" s="510"/>
      <c r="AX355" s="200"/>
      <c r="AY355" s="174"/>
      <c r="AZ355" s="510"/>
      <c r="BA355" s="174"/>
      <c r="BB355" s="174"/>
      <c r="BC355" s="174"/>
      <c r="BD355" s="174"/>
      <c r="BE355" s="174"/>
      <c r="BF355" s="510"/>
      <c r="BG355" s="174"/>
      <c r="BH355" s="174"/>
      <c r="BI355" s="174"/>
      <c r="BJ355" s="200"/>
      <c r="BK355" s="174"/>
      <c r="BL355" s="510"/>
      <c r="BM355" s="174"/>
      <c r="BN355" s="174"/>
      <c r="BO355" s="510"/>
      <c r="BP355" s="200"/>
      <c r="BQ355" s="447"/>
      <c r="BR355" s="510"/>
      <c r="BS355" s="174"/>
      <c r="BT355" s="174"/>
      <c r="BU355" s="510"/>
      <c r="BV355" s="200"/>
      <c r="BW355" s="174"/>
      <c r="BX355" s="510"/>
      <c r="BY355" s="174"/>
      <c r="BZ355" s="174"/>
      <c r="CA355" s="510"/>
      <c r="CB355" s="200"/>
      <c r="CC355" s="174"/>
      <c r="CD355" s="510"/>
      <c r="CE355" s="174"/>
      <c r="CF355" s="174"/>
      <c r="CG355" s="510"/>
      <c r="CH355" s="174"/>
      <c r="CI355" s="174"/>
      <c r="CJ355" s="174"/>
      <c r="CK355" s="174"/>
      <c r="CL355" s="174"/>
      <c r="CM355" s="510"/>
      <c r="CN355" s="174"/>
      <c r="CO355" s="549"/>
      <c r="CP355" s="510"/>
      <c r="CQ355" s="200"/>
      <c r="CR355" s="550"/>
      <c r="CS355" s="510"/>
      <c r="CT355" s="390"/>
      <c r="CU355" s="331"/>
      <c r="CV355" s="428"/>
      <c r="CW355" s="155"/>
      <c r="CX355" s="155"/>
      <c r="CY355" s="267"/>
      <c r="CZ355" s="323"/>
      <c r="DA355" s="323"/>
      <c r="DB355" s="423"/>
      <c r="DC355" s="155"/>
      <c r="DD355" s="155"/>
      <c r="DE355" s="267"/>
      <c r="DF355" s="323"/>
      <c r="DG355" s="323"/>
      <c r="DH355" s="428"/>
      <c r="DI355" s="155"/>
      <c r="DJ355" s="155"/>
      <c r="DK355" s="222"/>
      <c r="DL355" s="267"/>
      <c r="DM355" s="155"/>
      <c r="DN355" s="155"/>
      <c r="DO355" s="155"/>
      <c r="DP355" s="423"/>
      <c r="DQ355" s="155"/>
      <c r="DR355" s="155"/>
      <c r="DS355" s="222"/>
      <c r="DT355" s="267"/>
      <c r="DU355" s="174"/>
      <c r="DV355" s="174"/>
      <c r="DW355" s="200"/>
      <c r="DX355" s="428"/>
      <c r="DY355" s="155"/>
      <c r="DZ355" s="155"/>
      <c r="EA355" s="155"/>
      <c r="EB355" s="173"/>
      <c r="EC355" s="155"/>
      <c r="ED355" s="155"/>
      <c r="EE355" s="155"/>
      <c r="EF355" s="423"/>
      <c r="EG355" s="155"/>
      <c r="EH355" s="155"/>
      <c r="EI355" s="155"/>
      <c r="EJ355" s="267"/>
      <c r="EK355" s="155"/>
      <c r="EL355" s="155"/>
      <c r="EM355" s="155"/>
      <c r="EN355" s="428"/>
    </row>
    <row r="356" spans="1:144">
      <c r="A356" s="360"/>
      <c r="B356" s="172"/>
      <c r="C356" s="360"/>
      <c r="D356" s="172"/>
      <c r="E356" s="408"/>
      <c r="F356" s="408"/>
      <c r="G356" s="509"/>
      <c r="H356" s="546"/>
      <c r="I356" s="546"/>
      <c r="J356" s="251"/>
      <c r="K356" s="251"/>
      <c r="L356" s="509"/>
      <c r="M356" s="509"/>
      <c r="N356" s="509"/>
      <c r="O356" s="547"/>
      <c r="P356" s="200"/>
      <c r="Q356" s="174"/>
      <c r="R356" s="390"/>
      <c r="S356" s="510"/>
      <c r="T356" s="200"/>
      <c r="U356" s="174"/>
      <c r="V356" s="174"/>
      <c r="W356" s="510"/>
      <c r="X356" s="174"/>
      <c r="Y356" s="174"/>
      <c r="Z356" s="174"/>
      <c r="AA356" s="510"/>
      <c r="AB356" s="200"/>
      <c r="AC356" s="174"/>
      <c r="AD356" s="390"/>
      <c r="AE356" s="510"/>
      <c r="AF356" s="200"/>
      <c r="AG356" s="174"/>
      <c r="AH356" s="174"/>
      <c r="AI356" s="200"/>
      <c r="AJ356" s="548"/>
      <c r="AK356" s="200"/>
      <c r="AL356" s="174"/>
      <c r="AM356" s="390"/>
      <c r="AN356" s="510"/>
      <c r="AO356" s="200"/>
      <c r="AP356" s="174"/>
      <c r="AQ356" s="510"/>
      <c r="AR356" s="200"/>
      <c r="AS356" s="174"/>
      <c r="AT356" s="510"/>
      <c r="AU356" s="200"/>
      <c r="AV356" s="174"/>
      <c r="AW356" s="510"/>
      <c r="AX356" s="200"/>
      <c r="AY356" s="174"/>
      <c r="AZ356" s="510"/>
      <c r="BA356" s="174"/>
      <c r="BB356" s="174"/>
      <c r="BC356" s="174"/>
      <c r="BD356" s="174"/>
      <c r="BE356" s="174"/>
      <c r="BF356" s="510"/>
      <c r="BG356" s="174"/>
      <c r="BH356" s="174"/>
      <c r="BI356" s="174"/>
      <c r="BJ356" s="200"/>
      <c r="BK356" s="174"/>
      <c r="BL356" s="510"/>
      <c r="BM356" s="174"/>
      <c r="BN356" s="174"/>
      <c r="BO356" s="510"/>
      <c r="BP356" s="200"/>
      <c r="BQ356" s="447"/>
      <c r="BR356" s="510"/>
      <c r="BS356" s="174"/>
      <c r="BT356" s="174"/>
      <c r="BU356" s="510"/>
      <c r="BV356" s="200"/>
      <c r="BW356" s="174"/>
      <c r="BX356" s="510"/>
      <c r="BY356" s="174"/>
      <c r="BZ356" s="174"/>
      <c r="CA356" s="510"/>
      <c r="CB356" s="200"/>
      <c r="CC356" s="174"/>
      <c r="CD356" s="510"/>
      <c r="CE356" s="174"/>
      <c r="CF356" s="174"/>
      <c r="CG356" s="510"/>
      <c r="CH356" s="174"/>
      <c r="CI356" s="174"/>
      <c r="CJ356" s="174"/>
      <c r="CK356" s="174"/>
      <c r="CL356" s="174"/>
      <c r="CM356" s="510"/>
      <c r="CN356" s="174"/>
      <c r="CO356" s="549"/>
      <c r="CP356" s="510"/>
      <c r="CQ356" s="200"/>
      <c r="CR356" s="550"/>
      <c r="CS356" s="510"/>
      <c r="CT356" s="390"/>
      <c r="CU356" s="331"/>
      <c r="CV356" s="428"/>
      <c r="CW356" s="155"/>
      <c r="CX356" s="155"/>
      <c r="CY356" s="267"/>
      <c r="CZ356" s="323"/>
      <c r="DA356" s="323"/>
      <c r="DB356" s="423"/>
      <c r="DC356" s="155"/>
      <c r="DD356" s="155"/>
      <c r="DE356" s="267"/>
      <c r="DF356" s="323"/>
      <c r="DG356" s="323"/>
      <c r="DH356" s="428"/>
      <c r="DI356" s="155"/>
      <c r="DJ356" s="155"/>
      <c r="DK356" s="222"/>
      <c r="DL356" s="267"/>
      <c r="DM356" s="155"/>
      <c r="DN356" s="155"/>
      <c r="DO356" s="155"/>
      <c r="DP356" s="423"/>
      <c r="DQ356" s="155"/>
      <c r="DR356" s="155"/>
      <c r="DS356" s="222"/>
      <c r="DT356" s="267"/>
      <c r="DU356" s="174"/>
      <c r="DV356" s="174"/>
      <c r="DW356" s="200"/>
      <c r="DX356" s="428"/>
      <c r="DY356" s="155"/>
      <c r="DZ356" s="155"/>
      <c r="EA356" s="155"/>
      <c r="EB356" s="173"/>
      <c r="EC356" s="155"/>
      <c r="ED356" s="155"/>
      <c r="EE356" s="155"/>
      <c r="EF356" s="423"/>
      <c r="EG356" s="155"/>
      <c r="EH356" s="155"/>
      <c r="EI356" s="155"/>
      <c r="EJ356" s="267"/>
      <c r="EK356" s="155"/>
      <c r="EL356" s="155"/>
      <c r="EM356" s="155"/>
      <c r="EN356" s="428"/>
    </row>
    <row r="357" spans="1:144">
      <c r="A357" s="360"/>
      <c r="B357" s="172"/>
      <c r="C357" s="360"/>
      <c r="D357" s="172"/>
      <c r="E357" s="408"/>
      <c r="F357" s="408"/>
      <c r="G357" s="509"/>
      <c r="H357" s="546"/>
      <c r="I357" s="546"/>
      <c r="J357" s="251"/>
      <c r="K357" s="251"/>
      <c r="L357" s="509"/>
      <c r="M357" s="509"/>
      <c r="N357" s="509"/>
      <c r="O357" s="547"/>
      <c r="P357" s="200"/>
      <c r="Q357" s="174"/>
      <c r="R357" s="390"/>
      <c r="S357" s="510"/>
      <c r="T357" s="200"/>
      <c r="U357" s="174"/>
      <c r="V357" s="174"/>
      <c r="W357" s="510"/>
      <c r="X357" s="174"/>
      <c r="Y357" s="174"/>
      <c r="Z357" s="174"/>
      <c r="AA357" s="510"/>
      <c r="AB357" s="200"/>
      <c r="AC357" s="174"/>
      <c r="AD357" s="390"/>
      <c r="AE357" s="510"/>
      <c r="AF357" s="200"/>
      <c r="AG357" s="174"/>
      <c r="AH357" s="174"/>
      <c r="AI357" s="200"/>
      <c r="AJ357" s="548"/>
      <c r="AK357" s="200"/>
      <c r="AL357" s="174"/>
      <c r="AM357" s="390"/>
      <c r="AN357" s="510"/>
      <c r="AO357" s="200"/>
      <c r="AP357" s="174"/>
      <c r="AQ357" s="510"/>
      <c r="AR357" s="200"/>
      <c r="AS357" s="174"/>
      <c r="AT357" s="510"/>
      <c r="AU357" s="200"/>
      <c r="AV357" s="174"/>
      <c r="AW357" s="510"/>
      <c r="AX357" s="200"/>
      <c r="AY357" s="174"/>
      <c r="AZ357" s="510"/>
      <c r="BA357" s="174"/>
      <c r="BB357" s="174"/>
      <c r="BC357" s="174"/>
      <c r="BD357" s="174"/>
      <c r="BE357" s="174"/>
      <c r="BF357" s="510"/>
      <c r="BG357" s="174"/>
      <c r="BH357" s="174"/>
      <c r="BI357" s="174"/>
      <c r="BJ357" s="200"/>
      <c r="BK357" s="174"/>
      <c r="BL357" s="510"/>
      <c r="BM357" s="174"/>
      <c r="BN357" s="174"/>
      <c r="BO357" s="510"/>
      <c r="BP357" s="200"/>
      <c r="BQ357" s="447"/>
      <c r="BR357" s="510"/>
      <c r="BS357" s="174"/>
      <c r="BT357" s="174"/>
      <c r="BU357" s="510"/>
      <c r="BV357" s="200"/>
      <c r="BW357" s="174"/>
      <c r="BX357" s="510"/>
      <c r="BY357" s="174"/>
      <c r="BZ357" s="174"/>
      <c r="CA357" s="510"/>
      <c r="CB357" s="200"/>
      <c r="CC357" s="174"/>
      <c r="CD357" s="510"/>
      <c r="CE357" s="174"/>
      <c r="CF357" s="174"/>
      <c r="CG357" s="510"/>
      <c r="CH357" s="174"/>
      <c r="CI357" s="174"/>
      <c r="CJ357" s="174"/>
      <c r="CK357" s="174"/>
      <c r="CL357" s="174"/>
      <c r="CM357" s="510"/>
      <c r="CN357" s="174"/>
      <c r="CO357" s="549"/>
      <c r="CP357" s="510"/>
      <c r="CQ357" s="200"/>
      <c r="CR357" s="550"/>
      <c r="CS357" s="510"/>
      <c r="CT357" s="390"/>
      <c r="CU357" s="331"/>
      <c r="CV357" s="428"/>
      <c r="CW357" s="155"/>
      <c r="CX357" s="155"/>
      <c r="CY357" s="267"/>
      <c r="CZ357" s="323"/>
      <c r="DA357" s="323"/>
      <c r="DB357" s="423"/>
      <c r="DC357" s="155"/>
      <c r="DD357" s="155"/>
      <c r="DE357" s="267"/>
      <c r="DF357" s="323"/>
      <c r="DG357" s="323"/>
      <c r="DH357" s="428"/>
      <c r="DI357" s="155"/>
      <c r="DJ357" s="155"/>
      <c r="DK357" s="222"/>
      <c r="DL357" s="267"/>
      <c r="DM357" s="155"/>
      <c r="DN357" s="155"/>
      <c r="DO357" s="155"/>
      <c r="DP357" s="423"/>
      <c r="DQ357" s="155"/>
      <c r="DR357" s="155"/>
      <c r="DS357" s="222"/>
      <c r="DT357" s="267"/>
      <c r="DU357" s="174"/>
      <c r="DV357" s="174"/>
      <c r="DW357" s="200"/>
      <c r="DX357" s="428"/>
      <c r="DY357" s="155"/>
      <c r="DZ357" s="155"/>
      <c r="EA357" s="155"/>
      <c r="EB357" s="173"/>
      <c r="EC357" s="155"/>
      <c r="ED357" s="155"/>
      <c r="EE357" s="155"/>
      <c r="EF357" s="423"/>
      <c r="EG357" s="155"/>
      <c r="EH357" s="155"/>
      <c r="EI357" s="155"/>
      <c r="EJ357" s="267"/>
      <c r="EK357" s="155"/>
      <c r="EL357" s="155"/>
      <c r="EM357" s="155"/>
      <c r="EN357" s="428"/>
    </row>
    <row r="358" spans="1:144">
      <c r="A358" s="360"/>
      <c r="B358" s="172"/>
      <c r="C358" s="360"/>
      <c r="D358" s="172"/>
      <c r="E358" s="408"/>
      <c r="F358" s="408"/>
      <c r="G358" s="509"/>
      <c r="H358" s="546"/>
      <c r="I358" s="546"/>
      <c r="J358" s="251"/>
      <c r="K358" s="251"/>
      <c r="L358" s="509"/>
      <c r="M358" s="509"/>
      <c r="N358" s="509"/>
      <c r="O358" s="547"/>
      <c r="P358" s="200"/>
      <c r="Q358" s="174"/>
      <c r="R358" s="390"/>
      <c r="S358" s="510"/>
      <c r="T358" s="200"/>
      <c r="U358" s="174"/>
      <c r="V358" s="174"/>
      <c r="W358" s="510"/>
      <c r="X358" s="174"/>
      <c r="Y358" s="174"/>
      <c r="Z358" s="174"/>
      <c r="AA358" s="510"/>
      <c r="AB358" s="200"/>
      <c r="AC358" s="174"/>
      <c r="AD358" s="390"/>
      <c r="AE358" s="510"/>
      <c r="AF358" s="200"/>
      <c r="AG358" s="174"/>
      <c r="AH358" s="174"/>
      <c r="AI358" s="200"/>
      <c r="AJ358" s="548"/>
      <c r="AK358" s="200"/>
      <c r="AL358" s="174"/>
      <c r="AM358" s="390"/>
      <c r="AN358" s="510"/>
      <c r="AO358" s="200"/>
      <c r="AP358" s="174"/>
      <c r="AQ358" s="510"/>
      <c r="AR358" s="200"/>
      <c r="AS358" s="174"/>
      <c r="AT358" s="510"/>
      <c r="AU358" s="200"/>
      <c r="AV358" s="174"/>
      <c r="AW358" s="510"/>
      <c r="AX358" s="200"/>
      <c r="AY358" s="174"/>
      <c r="AZ358" s="510"/>
      <c r="BA358" s="174"/>
      <c r="BB358" s="174"/>
      <c r="BC358" s="174"/>
      <c r="BD358" s="174"/>
      <c r="BE358" s="174"/>
      <c r="BF358" s="510"/>
      <c r="BG358" s="174"/>
      <c r="BH358" s="174"/>
      <c r="BI358" s="174"/>
      <c r="BJ358" s="200"/>
      <c r="BK358" s="174"/>
      <c r="BL358" s="510"/>
      <c r="BM358" s="174"/>
      <c r="BN358" s="174"/>
      <c r="BO358" s="510"/>
      <c r="BP358" s="200"/>
      <c r="BQ358" s="447"/>
      <c r="BR358" s="510"/>
      <c r="BS358" s="174"/>
      <c r="BT358" s="174"/>
      <c r="BU358" s="510"/>
      <c r="BV358" s="200"/>
      <c r="BW358" s="174"/>
      <c r="BX358" s="510"/>
      <c r="BY358" s="174"/>
      <c r="BZ358" s="174"/>
      <c r="CA358" s="510"/>
      <c r="CB358" s="200"/>
      <c r="CC358" s="174"/>
      <c r="CD358" s="510"/>
      <c r="CE358" s="174"/>
      <c r="CF358" s="174"/>
      <c r="CG358" s="510"/>
      <c r="CH358" s="174"/>
      <c r="CI358" s="174"/>
      <c r="CJ358" s="174"/>
      <c r="CK358" s="174"/>
      <c r="CL358" s="174"/>
      <c r="CM358" s="510"/>
      <c r="CN358" s="174"/>
      <c r="CO358" s="549"/>
      <c r="CP358" s="510"/>
      <c r="CQ358" s="200"/>
      <c r="CR358" s="550"/>
      <c r="CS358" s="510"/>
      <c r="CT358" s="390"/>
      <c r="CU358" s="331"/>
      <c r="CV358" s="428"/>
      <c r="CW358" s="155"/>
      <c r="CX358" s="155"/>
      <c r="CY358" s="267"/>
      <c r="CZ358" s="323"/>
      <c r="DA358" s="323"/>
      <c r="DB358" s="423"/>
      <c r="DC358" s="155"/>
      <c r="DD358" s="155"/>
      <c r="DE358" s="267"/>
      <c r="DF358" s="323"/>
      <c r="DG358" s="323"/>
      <c r="DH358" s="428"/>
      <c r="DI358" s="155"/>
      <c r="DJ358" s="155"/>
      <c r="DK358" s="222"/>
      <c r="DL358" s="267"/>
      <c r="DM358" s="155"/>
      <c r="DN358" s="155"/>
      <c r="DO358" s="155"/>
      <c r="DP358" s="423"/>
      <c r="DQ358" s="155"/>
      <c r="DR358" s="155"/>
      <c r="DS358" s="222"/>
      <c r="DT358" s="267"/>
      <c r="DU358" s="174"/>
      <c r="DV358" s="174"/>
      <c r="DW358" s="200"/>
      <c r="DX358" s="428"/>
      <c r="DY358" s="155"/>
      <c r="DZ358" s="155"/>
      <c r="EA358" s="155"/>
      <c r="EB358" s="173"/>
      <c r="EC358" s="155"/>
      <c r="ED358" s="155"/>
      <c r="EE358" s="155"/>
      <c r="EF358" s="423"/>
      <c r="EG358" s="155"/>
      <c r="EH358" s="155"/>
      <c r="EI358" s="155"/>
      <c r="EJ358" s="267"/>
      <c r="EK358" s="155"/>
      <c r="EL358" s="155"/>
      <c r="EM358" s="155"/>
      <c r="EN358" s="428"/>
    </row>
    <row r="359" spans="1:144">
      <c r="A359" s="360"/>
      <c r="B359" s="172"/>
      <c r="C359" s="360"/>
      <c r="D359" s="172"/>
      <c r="E359" s="408"/>
      <c r="F359" s="408"/>
      <c r="G359" s="509"/>
      <c r="H359" s="546"/>
      <c r="I359" s="546"/>
      <c r="J359" s="251"/>
      <c r="K359" s="251"/>
      <c r="L359" s="509"/>
      <c r="M359" s="509"/>
      <c r="N359" s="509"/>
      <c r="O359" s="547"/>
      <c r="P359" s="200"/>
      <c r="Q359" s="174"/>
      <c r="R359" s="390"/>
      <c r="S359" s="510"/>
      <c r="T359" s="200"/>
      <c r="U359" s="174"/>
      <c r="V359" s="174"/>
      <c r="W359" s="510"/>
      <c r="X359" s="174"/>
      <c r="Y359" s="174"/>
      <c r="Z359" s="174"/>
      <c r="AA359" s="510"/>
      <c r="AB359" s="200"/>
      <c r="AC359" s="174"/>
      <c r="AD359" s="390"/>
      <c r="AE359" s="510"/>
      <c r="AF359" s="200"/>
      <c r="AG359" s="174"/>
      <c r="AH359" s="174"/>
      <c r="AI359" s="200"/>
      <c r="AJ359" s="548"/>
      <c r="AK359" s="200"/>
      <c r="AL359" s="174"/>
      <c r="AM359" s="390"/>
      <c r="AN359" s="510"/>
      <c r="AO359" s="200"/>
      <c r="AP359" s="174"/>
      <c r="AQ359" s="510"/>
      <c r="AR359" s="200"/>
      <c r="AS359" s="174"/>
      <c r="AT359" s="510"/>
      <c r="AU359" s="200"/>
      <c r="AV359" s="174"/>
      <c r="AW359" s="510"/>
      <c r="AX359" s="200"/>
      <c r="AY359" s="174"/>
      <c r="AZ359" s="510"/>
      <c r="BA359" s="174"/>
      <c r="BB359" s="174"/>
      <c r="BC359" s="174"/>
      <c r="BD359" s="174"/>
      <c r="BE359" s="174"/>
      <c r="BF359" s="510"/>
      <c r="BG359" s="174"/>
      <c r="BH359" s="174"/>
      <c r="BI359" s="174"/>
      <c r="BJ359" s="200"/>
      <c r="BK359" s="174"/>
      <c r="BL359" s="510"/>
      <c r="BM359" s="174"/>
      <c r="BN359" s="174"/>
      <c r="BO359" s="510"/>
      <c r="BP359" s="200"/>
      <c r="BQ359" s="447"/>
      <c r="BR359" s="510"/>
      <c r="BS359" s="174"/>
      <c r="BT359" s="174"/>
      <c r="BU359" s="510"/>
      <c r="BV359" s="200"/>
      <c r="BW359" s="174"/>
      <c r="BX359" s="510"/>
      <c r="BY359" s="174"/>
      <c r="BZ359" s="174"/>
      <c r="CA359" s="510"/>
      <c r="CB359" s="200"/>
      <c r="CC359" s="174"/>
      <c r="CD359" s="510"/>
      <c r="CE359" s="174"/>
      <c r="CF359" s="174"/>
      <c r="CG359" s="510"/>
      <c r="CH359" s="174"/>
      <c r="CI359" s="174"/>
      <c r="CJ359" s="174"/>
      <c r="CK359" s="174"/>
      <c r="CL359" s="174"/>
      <c r="CM359" s="510"/>
      <c r="CN359" s="174"/>
      <c r="CO359" s="549"/>
      <c r="CP359" s="510"/>
      <c r="CQ359" s="200"/>
      <c r="CR359" s="550"/>
      <c r="CS359" s="510"/>
      <c r="CT359" s="390"/>
      <c r="CU359" s="331"/>
      <c r="CV359" s="428"/>
      <c r="CW359" s="155"/>
      <c r="CX359" s="155"/>
      <c r="CY359" s="267"/>
      <c r="CZ359" s="323"/>
      <c r="DA359" s="323"/>
      <c r="DB359" s="423"/>
      <c r="DC359" s="155"/>
      <c r="DD359" s="155"/>
      <c r="DE359" s="267"/>
      <c r="DF359" s="323"/>
      <c r="DG359" s="323"/>
      <c r="DH359" s="428"/>
      <c r="DI359" s="155"/>
      <c r="DJ359" s="155"/>
      <c r="DK359" s="222"/>
      <c r="DL359" s="267"/>
      <c r="DM359" s="155"/>
      <c r="DN359" s="155"/>
      <c r="DO359" s="155"/>
      <c r="DP359" s="423"/>
      <c r="DQ359" s="155"/>
      <c r="DR359" s="155"/>
      <c r="DS359" s="222"/>
      <c r="DT359" s="267"/>
      <c r="DU359" s="174"/>
      <c r="DV359" s="174"/>
      <c r="DW359" s="200"/>
      <c r="DX359" s="428"/>
      <c r="DY359" s="155"/>
      <c r="DZ359" s="155"/>
      <c r="EA359" s="155"/>
      <c r="EB359" s="173"/>
      <c r="EC359" s="155"/>
      <c r="ED359" s="155"/>
      <c r="EE359" s="155"/>
      <c r="EF359" s="423"/>
      <c r="EG359" s="155"/>
      <c r="EH359" s="155"/>
      <c r="EI359" s="155"/>
      <c r="EJ359" s="267"/>
      <c r="EK359" s="155"/>
      <c r="EL359" s="155"/>
      <c r="EM359" s="155"/>
      <c r="EN359" s="428"/>
    </row>
    <row r="360" spans="1:144">
      <c r="A360" s="360"/>
      <c r="B360" s="172"/>
      <c r="C360" s="360"/>
      <c r="D360" s="172"/>
      <c r="E360" s="408"/>
      <c r="F360" s="408"/>
      <c r="G360" s="509"/>
      <c r="H360" s="546"/>
      <c r="I360" s="546"/>
      <c r="J360" s="251"/>
      <c r="K360" s="251"/>
      <c r="L360" s="509"/>
      <c r="M360" s="509"/>
      <c r="N360" s="509"/>
      <c r="O360" s="547"/>
      <c r="P360" s="200"/>
      <c r="Q360" s="174"/>
      <c r="R360" s="390"/>
      <c r="S360" s="510"/>
      <c r="T360" s="200"/>
      <c r="U360" s="174"/>
      <c r="V360" s="174"/>
      <c r="W360" s="510"/>
      <c r="X360" s="174"/>
      <c r="Y360" s="174"/>
      <c r="Z360" s="174"/>
      <c r="AA360" s="510"/>
      <c r="AB360" s="200"/>
      <c r="AC360" s="174"/>
      <c r="AD360" s="390"/>
      <c r="AE360" s="510"/>
      <c r="AF360" s="200"/>
      <c r="AG360" s="174"/>
      <c r="AH360" s="174"/>
      <c r="AI360" s="200"/>
      <c r="AJ360" s="548"/>
      <c r="AK360" s="200"/>
      <c r="AL360" s="174"/>
      <c r="AM360" s="390"/>
      <c r="AN360" s="510"/>
      <c r="AO360" s="200"/>
      <c r="AP360" s="174"/>
      <c r="AQ360" s="510"/>
      <c r="AR360" s="200"/>
      <c r="AS360" s="174"/>
      <c r="AT360" s="510"/>
      <c r="AU360" s="200"/>
      <c r="AV360" s="174"/>
      <c r="AW360" s="510"/>
      <c r="AX360" s="200"/>
      <c r="AY360" s="174"/>
      <c r="AZ360" s="510"/>
      <c r="BA360" s="174"/>
      <c r="BB360" s="174"/>
      <c r="BC360" s="174"/>
      <c r="BD360" s="174"/>
      <c r="BE360" s="174"/>
      <c r="BF360" s="510"/>
      <c r="BG360" s="174"/>
      <c r="BH360" s="174"/>
      <c r="BI360" s="174"/>
      <c r="BJ360" s="200"/>
      <c r="BK360" s="174"/>
      <c r="BL360" s="510"/>
      <c r="BM360" s="174"/>
      <c r="BN360" s="174"/>
      <c r="BO360" s="510"/>
      <c r="BP360" s="200"/>
      <c r="BQ360" s="447"/>
      <c r="BR360" s="510"/>
      <c r="BS360" s="174"/>
      <c r="BT360" s="174"/>
      <c r="BU360" s="510"/>
      <c r="BV360" s="200"/>
      <c r="BW360" s="174"/>
      <c r="BX360" s="510"/>
      <c r="BY360" s="174"/>
      <c r="BZ360" s="174"/>
      <c r="CA360" s="510"/>
      <c r="CB360" s="200"/>
      <c r="CC360" s="174"/>
      <c r="CD360" s="510"/>
      <c r="CE360" s="174"/>
      <c r="CF360" s="174"/>
      <c r="CG360" s="510"/>
      <c r="CH360" s="174"/>
      <c r="CI360" s="174"/>
      <c r="CJ360" s="174"/>
      <c r="CK360" s="174"/>
      <c r="CL360" s="174"/>
      <c r="CM360" s="510"/>
      <c r="CN360" s="174"/>
      <c r="CO360" s="549"/>
      <c r="CP360" s="510"/>
      <c r="CQ360" s="200"/>
      <c r="CR360" s="550"/>
      <c r="CS360" s="510"/>
      <c r="CT360" s="390"/>
      <c r="CU360" s="331"/>
      <c r="CV360" s="428"/>
      <c r="CW360" s="155"/>
      <c r="CX360" s="155"/>
      <c r="CY360" s="267"/>
      <c r="CZ360" s="323"/>
      <c r="DA360" s="323"/>
      <c r="DB360" s="423"/>
      <c r="DC360" s="155"/>
      <c r="DD360" s="155"/>
      <c r="DE360" s="267"/>
      <c r="DF360" s="323"/>
      <c r="DG360" s="323"/>
      <c r="DH360" s="428"/>
      <c r="DI360" s="155"/>
      <c r="DJ360" s="155"/>
      <c r="DK360" s="222"/>
      <c r="DL360" s="267"/>
      <c r="DM360" s="155"/>
      <c r="DN360" s="155"/>
      <c r="DO360" s="155"/>
      <c r="DP360" s="423"/>
      <c r="DQ360" s="155"/>
      <c r="DR360" s="155"/>
      <c r="DS360" s="222"/>
      <c r="DT360" s="267"/>
      <c r="DU360" s="174"/>
      <c r="DV360" s="174"/>
      <c r="DW360" s="200"/>
      <c r="DX360" s="428"/>
      <c r="DY360" s="155"/>
      <c r="DZ360" s="155"/>
      <c r="EA360" s="155"/>
      <c r="EB360" s="173"/>
      <c r="EC360" s="155"/>
      <c r="ED360" s="155"/>
      <c r="EE360" s="155"/>
      <c r="EF360" s="423"/>
      <c r="EG360" s="155"/>
      <c r="EH360" s="155"/>
      <c r="EI360" s="155"/>
      <c r="EJ360" s="267"/>
      <c r="EK360" s="155"/>
      <c r="EL360" s="155"/>
      <c r="EM360" s="155"/>
      <c r="EN360" s="428"/>
    </row>
    <row r="361" spans="1:144">
      <c r="A361" s="360"/>
      <c r="B361" s="172"/>
      <c r="C361" s="360"/>
      <c r="D361" s="172"/>
      <c r="E361" s="408"/>
      <c r="F361" s="408"/>
      <c r="G361" s="509"/>
      <c r="H361" s="546"/>
      <c r="I361" s="546"/>
      <c r="J361" s="251"/>
      <c r="K361" s="251"/>
      <c r="L361" s="509"/>
      <c r="M361" s="509"/>
      <c r="N361" s="509"/>
      <c r="O361" s="547"/>
      <c r="P361" s="200"/>
      <c r="Q361" s="174"/>
      <c r="R361" s="390"/>
      <c r="S361" s="510"/>
      <c r="T361" s="200"/>
      <c r="U361" s="174"/>
      <c r="V361" s="174"/>
      <c r="W361" s="510"/>
      <c r="X361" s="174"/>
      <c r="Y361" s="174"/>
      <c r="Z361" s="174"/>
      <c r="AA361" s="510"/>
      <c r="AB361" s="200"/>
      <c r="AC361" s="174"/>
      <c r="AD361" s="390"/>
      <c r="AE361" s="510"/>
      <c r="AF361" s="200"/>
      <c r="AG361" s="174"/>
      <c r="AH361" s="174"/>
      <c r="AI361" s="200"/>
      <c r="AJ361" s="548"/>
      <c r="AK361" s="200"/>
      <c r="AL361" s="174"/>
      <c r="AM361" s="390"/>
      <c r="AN361" s="510"/>
      <c r="AO361" s="200"/>
      <c r="AP361" s="174"/>
      <c r="AQ361" s="510"/>
      <c r="AR361" s="200"/>
      <c r="AS361" s="174"/>
      <c r="AT361" s="510"/>
      <c r="AU361" s="200"/>
      <c r="AV361" s="174"/>
      <c r="AW361" s="510"/>
      <c r="AX361" s="200"/>
      <c r="AY361" s="174"/>
      <c r="AZ361" s="510"/>
      <c r="BA361" s="174"/>
      <c r="BB361" s="174"/>
      <c r="BC361" s="174"/>
      <c r="BD361" s="174"/>
      <c r="BE361" s="174"/>
      <c r="BF361" s="510"/>
      <c r="BG361" s="174"/>
      <c r="BH361" s="174"/>
      <c r="BI361" s="174"/>
      <c r="BJ361" s="200"/>
      <c r="BK361" s="174"/>
      <c r="BL361" s="510"/>
      <c r="BM361" s="174"/>
      <c r="BN361" s="174"/>
      <c r="BO361" s="510"/>
      <c r="BP361" s="200"/>
      <c r="BQ361" s="447"/>
      <c r="BR361" s="510"/>
      <c r="BS361" s="174"/>
      <c r="BT361" s="174"/>
      <c r="BU361" s="510"/>
      <c r="BV361" s="200"/>
      <c r="BW361" s="174"/>
      <c r="BX361" s="510"/>
      <c r="BY361" s="174"/>
      <c r="BZ361" s="174"/>
      <c r="CA361" s="510"/>
      <c r="CB361" s="200"/>
      <c r="CC361" s="174"/>
      <c r="CD361" s="510"/>
      <c r="CE361" s="174"/>
      <c r="CF361" s="174"/>
      <c r="CG361" s="510"/>
      <c r="CH361" s="174"/>
      <c r="CI361" s="174"/>
      <c r="CJ361" s="174"/>
      <c r="CK361" s="174"/>
      <c r="CL361" s="174"/>
      <c r="CM361" s="510"/>
      <c r="CN361" s="174"/>
      <c r="CO361" s="549"/>
      <c r="CP361" s="510"/>
      <c r="CQ361" s="200"/>
      <c r="CR361" s="550"/>
      <c r="CS361" s="510"/>
      <c r="CT361" s="390"/>
      <c r="CU361" s="331"/>
      <c r="CV361" s="428"/>
      <c r="CW361" s="155"/>
      <c r="CX361" s="155"/>
      <c r="CY361" s="267"/>
      <c r="CZ361" s="323"/>
      <c r="DA361" s="323"/>
      <c r="DB361" s="423"/>
      <c r="DC361" s="155"/>
      <c r="DD361" s="155"/>
      <c r="DE361" s="267"/>
      <c r="DF361" s="323"/>
      <c r="DG361" s="323"/>
      <c r="DH361" s="428"/>
      <c r="DI361" s="155"/>
      <c r="DJ361" s="155"/>
      <c r="DK361" s="222"/>
      <c r="DL361" s="267"/>
      <c r="DM361" s="155"/>
      <c r="DN361" s="155"/>
      <c r="DO361" s="155"/>
      <c r="DP361" s="423"/>
      <c r="DQ361" s="155"/>
      <c r="DR361" s="155"/>
      <c r="DS361" s="222"/>
      <c r="DT361" s="267"/>
      <c r="DU361" s="174"/>
      <c r="DV361" s="174"/>
      <c r="DW361" s="200"/>
      <c r="DX361" s="428"/>
      <c r="DY361" s="155"/>
      <c r="DZ361" s="155"/>
      <c r="EA361" s="155"/>
      <c r="EB361" s="173"/>
      <c r="EC361" s="155"/>
      <c r="ED361" s="155"/>
      <c r="EE361" s="155"/>
      <c r="EF361" s="423"/>
      <c r="EG361" s="155"/>
      <c r="EH361" s="155"/>
      <c r="EI361" s="155"/>
      <c r="EJ361" s="267"/>
      <c r="EK361" s="155"/>
      <c r="EL361" s="155"/>
      <c r="EM361" s="155"/>
      <c r="EN361" s="428"/>
    </row>
    <row r="362" spans="1:144">
      <c r="A362" s="360"/>
      <c r="B362" s="172"/>
      <c r="C362" s="360"/>
      <c r="D362" s="172"/>
      <c r="E362" s="408"/>
      <c r="F362" s="408"/>
      <c r="G362" s="509"/>
      <c r="H362" s="546"/>
      <c r="I362" s="546"/>
      <c r="J362" s="251"/>
      <c r="K362" s="251"/>
      <c r="L362" s="509"/>
      <c r="M362" s="509"/>
      <c r="N362" s="509"/>
      <c r="O362" s="547"/>
      <c r="P362" s="200"/>
      <c r="Q362" s="174"/>
      <c r="R362" s="390"/>
      <c r="S362" s="510"/>
      <c r="T362" s="200"/>
      <c r="U362" s="174"/>
      <c r="V362" s="174"/>
      <c r="W362" s="510"/>
      <c r="X362" s="174"/>
      <c r="Y362" s="174"/>
      <c r="Z362" s="174"/>
      <c r="AA362" s="510"/>
      <c r="AB362" s="200"/>
      <c r="AC362" s="174"/>
      <c r="AD362" s="390"/>
      <c r="AE362" s="510"/>
      <c r="AF362" s="200"/>
      <c r="AG362" s="174"/>
      <c r="AH362" s="174"/>
      <c r="AI362" s="200"/>
      <c r="AJ362" s="548"/>
      <c r="AK362" s="200"/>
      <c r="AL362" s="174"/>
      <c r="AM362" s="390"/>
      <c r="AN362" s="510"/>
      <c r="AO362" s="200"/>
      <c r="AP362" s="174"/>
      <c r="AQ362" s="510"/>
      <c r="AR362" s="200"/>
      <c r="AS362" s="174"/>
      <c r="AT362" s="510"/>
      <c r="AU362" s="200"/>
      <c r="AV362" s="174"/>
      <c r="AW362" s="510"/>
      <c r="AX362" s="200"/>
      <c r="AY362" s="174"/>
      <c r="AZ362" s="510"/>
      <c r="BA362" s="174"/>
      <c r="BB362" s="174"/>
      <c r="BC362" s="174"/>
      <c r="BD362" s="174"/>
      <c r="BE362" s="174"/>
      <c r="BF362" s="510"/>
      <c r="BG362" s="174"/>
      <c r="BH362" s="174"/>
      <c r="BI362" s="174"/>
      <c r="BJ362" s="200"/>
      <c r="BK362" s="174"/>
      <c r="BL362" s="510"/>
      <c r="BM362" s="174"/>
      <c r="BN362" s="174"/>
      <c r="BO362" s="510"/>
      <c r="BP362" s="200"/>
      <c r="BQ362" s="447"/>
      <c r="BR362" s="510"/>
      <c r="BS362" s="174"/>
      <c r="BT362" s="174"/>
      <c r="BU362" s="510"/>
      <c r="BV362" s="200"/>
      <c r="BW362" s="174"/>
      <c r="BX362" s="510"/>
      <c r="BY362" s="174"/>
      <c r="BZ362" s="174"/>
      <c r="CA362" s="510"/>
      <c r="CB362" s="200"/>
      <c r="CC362" s="174"/>
      <c r="CD362" s="510"/>
      <c r="CE362" s="174"/>
      <c r="CF362" s="174"/>
      <c r="CG362" s="510"/>
      <c r="CH362" s="174"/>
      <c r="CI362" s="174"/>
      <c r="CJ362" s="174"/>
      <c r="CK362" s="174"/>
      <c r="CL362" s="174"/>
      <c r="CM362" s="510"/>
      <c r="CN362" s="174"/>
      <c r="CO362" s="549"/>
      <c r="CP362" s="510"/>
      <c r="CQ362" s="200"/>
      <c r="CR362" s="550"/>
      <c r="CS362" s="510"/>
      <c r="CT362" s="390"/>
      <c r="CU362" s="331"/>
      <c r="CV362" s="428"/>
      <c r="CW362" s="155"/>
      <c r="CX362" s="155"/>
      <c r="CY362" s="267"/>
      <c r="CZ362" s="323"/>
      <c r="DA362" s="323"/>
      <c r="DB362" s="423"/>
      <c r="DC362" s="155"/>
      <c r="DD362" s="155"/>
      <c r="DE362" s="267"/>
      <c r="DF362" s="323"/>
      <c r="DG362" s="323"/>
      <c r="DH362" s="428"/>
      <c r="DI362" s="155"/>
      <c r="DJ362" s="155"/>
      <c r="DK362" s="222"/>
      <c r="DL362" s="267"/>
      <c r="DM362" s="155"/>
      <c r="DN362" s="155"/>
      <c r="DO362" s="155"/>
      <c r="DP362" s="423"/>
      <c r="DQ362" s="155"/>
      <c r="DR362" s="155"/>
      <c r="DS362" s="222"/>
      <c r="DT362" s="267"/>
      <c r="DU362" s="174"/>
      <c r="DV362" s="174"/>
      <c r="DW362" s="200"/>
      <c r="DX362" s="428"/>
      <c r="DY362" s="155"/>
      <c r="DZ362" s="155"/>
      <c r="EA362" s="155"/>
      <c r="EB362" s="173"/>
      <c r="EC362" s="155"/>
      <c r="ED362" s="155"/>
      <c r="EE362" s="155"/>
      <c r="EF362" s="423"/>
      <c r="EG362" s="155"/>
      <c r="EH362" s="155"/>
      <c r="EI362" s="155"/>
      <c r="EJ362" s="267"/>
      <c r="EK362" s="155"/>
      <c r="EL362" s="155"/>
      <c r="EM362" s="155"/>
      <c r="EN362" s="428"/>
    </row>
    <row r="363" spans="1:144">
      <c r="A363" s="360"/>
      <c r="B363" s="172"/>
      <c r="C363" s="360"/>
      <c r="D363" s="172"/>
      <c r="E363" s="408"/>
      <c r="F363" s="408"/>
      <c r="G363" s="509"/>
      <c r="H363" s="546"/>
      <c r="I363" s="546"/>
      <c r="J363" s="251"/>
      <c r="K363" s="251"/>
      <c r="L363" s="509"/>
      <c r="M363" s="509"/>
      <c r="N363" s="509"/>
      <c r="O363" s="547"/>
      <c r="P363" s="200"/>
      <c r="Q363" s="174"/>
      <c r="R363" s="390"/>
      <c r="S363" s="510"/>
      <c r="T363" s="200"/>
      <c r="U363" s="174"/>
      <c r="V363" s="174"/>
      <c r="W363" s="510"/>
      <c r="X363" s="174"/>
      <c r="Y363" s="174"/>
      <c r="Z363" s="174"/>
      <c r="AA363" s="510"/>
      <c r="AB363" s="200"/>
      <c r="AC363" s="174"/>
      <c r="AD363" s="390"/>
      <c r="AE363" s="510"/>
      <c r="AF363" s="200"/>
      <c r="AG363" s="174"/>
      <c r="AH363" s="174"/>
      <c r="AI363" s="200"/>
      <c r="AJ363" s="548"/>
      <c r="AK363" s="200"/>
      <c r="AL363" s="174"/>
      <c r="AM363" s="390"/>
      <c r="AN363" s="510"/>
      <c r="AO363" s="200"/>
      <c r="AP363" s="174"/>
      <c r="AQ363" s="510"/>
      <c r="AR363" s="200"/>
      <c r="AS363" s="174"/>
      <c r="AT363" s="510"/>
      <c r="AU363" s="200"/>
      <c r="AV363" s="174"/>
      <c r="AW363" s="510"/>
      <c r="AX363" s="200"/>
      <c r="AY363" s="174"/>
      <c r="AZ363" s="510"/>
      <c r="BA363" s="174"/>
      <c r="BB363" s="174"/>
      <c r="BC363" s="174"/>
      <c r="BD363" s="174"/>
      <c r="BE363" s="174"/>
      <c r="BF363" s="510"/>
      <c r="BG363" s="174"/>
      <c r="BH363" s="174"/>
      <c r="BI363" s="174"/>
      <c r="BJ363" s="200"/>
      <c r="BK363" s="174"/>
      <c r="BL363" s="510"/>
      <c r="BM363" s="174"/>
      <c r="BN363" s="174"/>
      <c r="BO363" s="510"/>
      <c r="BP363" s="200"/>
      <c r="BQ363" s="447"/>
      <c r="BR363" s="510"/>
      <c r="BS363" s="174"/>
      <c r="BT363" s="174"/>
      <c r="BU363" s="510"/>
      <c r="BV363" s="200"/>
      <c r="BW363" s="174"/>
      <c r="BX363" s="510"/>
      <c r="BY363" s="174"/>
      <c r="BZ363" s="174"/>
      <c r="CA363" s="510"/>
      <c r="CB363" s="200"/>
      <c r="CC363" s="174"/>
      <c r="CD363" s="510"/>
      <c r="CE363" s="174"/>
      <c r="CF363" s="174"/>
      <c r="CG363" s="510"/>
      <c r="CH363" s="174"/>
      <c r="CI363" s="174"/>
      <c r="CJ363" s="174"/>
      <c r="CK363" s="174"/>
      <c r="CL363" s="174"/>
      <c r="CM363" s="510"/>
      <c r="CN363" s="174"/>
      <c r="CO363" s="549"/>
      <c r="CP363" s="510"/>
      <c r="CQ363" s="200"/>
      <c r="CR363" s="550"/>
      <c r="CS363" s="510"/>
      <c r="CT363" s="390"/>
      <c r="CU363" s="331"/>
      <c r="CV363" s="428"/>
      <c r="CW363" s="155"/>
      <c r="CX363" s="155"/>
      <c r="CY363" s="267"/>
      <c r="CZ363" s="323"/>
      <c r="DA363" s="323"/>
      <c r="DB363" s="423"/>
      <c r="DC363" s="155"/>
      <c r="DD363" s="155"/>
      <c r="DE363" s="267"/>
      <c r="DF363" s="323"/>
      <c r="DG363" s="323"/>
      <c r="DH363" s="428"/>
      <c r="DI363" s="155"/>
      <c r="DJ363" s="155"/>
      <c r="DK363" s="222"/>
      <c r="DL363" s="267"/>
      <c r="DM363" s="155"/>
      <c r="DN363" s="155"/>
      <c r="DO363" s="155"/>
      <c r="DP363" s="423"/>
      <c r="DQ363" s="155"/>
      <c r="DR363" s="155"/>
      <c r="DS363" s="222"/>
      <c r="DT363" s="267"/>
      <c r="DU363" s="174"/>
      <c r="DV363" s="174"/>
      <c r="DW363" s="200"/>
      <c r="DX363" s="428"/>
      <c r="DY363" s="155"/>
      <c r="DZ363" s="155"/>
      <c r="EA363" s="155"/>
      <c r="EB363" s="173"/>
      <c r="EC363" s="155"/>
      <c r="ED363" s="155"/>
      <c r="EE363" s="155"/>
      <c r="EF363" s="423"/>
      <c r="EG363" s="155"/>
      <c r="EH363" s="155"/>
      <c r="EI363" s="155"/>
      <c r="EJ363" s="267"/>
      <c r="EK363" s="155"/>
      <c r="EL363" s="155"/>
      <c r="EM363" s="155"/>
      <c r="EN363" s="428"/>
    </row>
    <row r="364" spans="1:144">
      <c r="A364" s="360"/>
      <c r="B364" s="172"/>
      <c r="C364" s="360"/>
      <c r="D364" s="172"/>
      <c r="E364" s="408"/>
      <c r="F364" s="408"/>
      <c r="G364" s="509"/>
      <c r="H364" s="546"/>
      <c r="I364" s="546"/>
      <c r="J364" s="251"/>
      <c r="K364" s="251"/>
      <c r="L364" s="509"/>
      <c r="M364" s="509"/>
      <c r="N364" s="509"/>
      <c r="O364" s="547"/>
      <c r="P364" s="200"/>
      <c r="Q364" s="174"/>
      <c r="R364" s="390"/>
      <c r="S364" s="510"/>
      <c r="T364" s="200"/>
      <c r="U364" s="174"/>
      <c r="V364" s="174"/>
      <c r="W364" s="510"/>
      <c r="X364" s="174"/>
      <c r="Y364" s="174"/>
      <c r="Z364" s="174"/>
      <c r="AA364" s="510"/>
      <c r="AB364" s="200"/>
      <c r="AC364" s="174"/>
      <c r="AD364" s="390"/>
      <c r="AE364" s="510"/>
      <c r="AF364" s="200"/>
      <c r="AG364" s="174"/>
      <c r="AH364" s="174"/>
      <c r="AI364" s="200"/>
      <c r="AJ364" s="548"/>
      <c r="AK364" s="200"/>
      <c r="AL364" s="174"/>
      <c r="AM364" s="390"/>
      <c r="AN364" s="510"/>
      <c r="AO364" s="200"/>
      <c r="AP364" s="174"/>
      <c r="AQ364" s="510"/>
      <c r="AR364" s="200"/>
      <c r="AS364" s="174"/>
      <c r="AT364" s="510"/>
      <c r="AU364" s="200"/>
      <c r="AV364" s="174"/>
      <c r="AW364" s="510"/>
      <c r="AX364" s="200"/>
      <c r="AY364" s="174"/>
      <c r="AZ364" s="510"/>
      <c r="BA364" s="174"/>
      <c r="BB364" s="174"/>
      <c r="BC364" s="174"/>
      <c r="BD364" s="174"/>
      <c r="BE364" s="174"/>
      <c r="BF364" s="510"/>
      <c r="BG364" s="174"/>
      <c r="BH364" s="174"/>
      <c r="BI364" s="174"/>
      <c r="BJ364" s="200"/>
      <c r="BK364" s="174"/>
      <c r="BL364" s="510"/>
      <c r="BM364" s="174"/>
      <c r="BN364" s="174"/>
      <c r="BO364" s="510"/>
      <c r="BP364" s="200"/>
      <c r="BQ364" s="447"/>
      <c r="BR364" s="510"/>
      <c r="BS364" s="174"/>
      <c r="BT364" s="174"/>
      <c r="BU364" s="510"/>
      <c r="BV364" s="200"/>
      <c r="BW364" s="174"/>
      <c r="BX364" s="510"/>
      <c r="BY364" s="174"/>
      <c r="BZ364" s="174"/>
      <c r="CA364" s="510"/>
      <c r="CB364" s="200"/>
      <c r="CC364" s="174"/>
      <c r="CD364" s="510"/>
      <c r="CE364" s="174"/>
      <c r="CF364" s="174"/>
      <c r="CG364" s="510"/>
      <c r="CH364" s="174"/>
      <c r="CI364" s="174"/>
      <c r="CJ364" s="174"/>
      <c r="CK364" s="174"/>
      <c r="CL364" s="174"/>
      <c r="CM364" s="510"/>
      <c r="CN364" s="174"/>
      <c r="CO364" s="549"/>
      <c r="CP364" s="510"/>
      <c r="CQ364" s="200"/>
      <c r="CR364" s="550"/>
      <c r="CS364" s="510"/>
      <c r="CT364" s="390"/>
      <c r="CU364" s="331"/>
      <c r="CV364" s="428"/>
      <c r="CW364" s="155"/>
      <c r="CX364" s="155"/>
      <c r="CY364" s="267"/>
      <c r="CZ364" s="323"/>
      <c r="DA364" s="323"/>
      <c r="DB364" s="423"/>
      <c r="DC364" s="155"/>
      <c r="DD364" s="155"/>
      <c r="DE364" s="267"/>
      <c r="DF364" s="323"/>
      <c r="DG364" s="323"/>
      <c r="DH364" s="428"/>
      <c r="DI364" s="155"/>
      <c r="DJ364" s="155"/>
      <c r="DK364" s="222"/>
      <c r="DL364" s="267"/>
      <c r="DM364" s="155"/>
      <c r="DN364" s="155"/>
      <c r="DO364" s="155"/>
      <c r="DP364" s="423"/>
      <c r="DQ364" s="155"/>
      <c r="DR364" s="155"/>
      <c r="DS364" s="222"/>
      <c r="DT364" s="267"/>
      <c r="DU364" s="174"/>
      <c r="DV364" s="174"/>
      <c r="DW364" s="200"/>
      <c r="DX364" s="428"/>
      <c r="DY364" s="155"/>
      <c r="DZ364" s="155"/>
      <c r="EA364" s="155"/>
      <c r="EB364" s="173"/>
      <c r="EC364" s="155"/>
      <c r="ED364" s="155"/>
      <c r="EE364" s="155"/>
      <c r="EF364" s="423"/>
      <c r="EG364" s="155"/>
      <c r="EH364" s="155"/>
      <c r="EI364" s="155"/>
      <c r="EJ364" s="267"/>
      <c r="EK364" s="155"/>
      <c r="EL364" s="155"/>
      <c r="EM364" s="155"/>
      <c r="EN364" s="428"/>
    </row>
    <row r="365" spans="1:144">
      <c r="A365" s="360"/>
      <c r="B365" s="172"/>
      <c r="C365" s="360"/>
      <c r="D365" s="172"/>
      <c r="E365" s="408"/>
      <c r="F365" s="408"/>
      <c r="G365" s="509"/>
      <c r="H365" s="546"/>
      <c r="I365" s="546"/>
      <c r="J365" s="251"/>
      <c r="K365" s="251"/>
      <c r="L365" s="509"/>
      <c r="M365" s="509"/>
      <c r="N365" s="509"/>
      <c r="O365" s="547"/>
      <c r="P365" s="200"/>
      <c r="Q365" s="174"/>
      <c r="R365" s="390"/>
      <c r="S365" s="510"/>
      <c r="T365" s="200"/>
      <c r="U365" s="174"/>
      <c r="V365" s="174"/>
      <c r="W365" s="510"/>
      <c r="X365" s="174"/>
      <c r="Y365" s="174"/>
      <c r="Z365" s="174"/>
      <c r="AA365" s="510"/>
      <c r="AB365" s="200"/>
      <c r="AC365" s="174"/>
      <c r="AD365" s="390"/>
      <c r="AE365" s="510"/>
      <c r="AF365" s="200"/>
      <c r="AG365" s="174"/>
      <c r="AH365" s="174"/>
      <c r="AI365" s="200"/>
      <c r="AJ365" s="548"/>
      <c r="AK365" s="200"/>
      <c r="AL365" s="174"/>
      <c r="AM365" s="390"/>
      <c r="AN365" s="510"/>
      <c r="AO365" s="200"/>
      <c r="AP365" s="174"/>
      <c r="AQ365" s="510"/>
      <c r="AR365" s="200"/>
      <c r="AS365" s="174"/>
      <c r="AT365" s="510"/>
      <c r="AU365" s="200"/>
      <c r="AV365" s="174"/>
      <c r="AW365" s="510"/>
      <c r="AX365" s="200"/>
      <c r="AY365" s="174"/>
      <c r="AZ365" s="510"/>
      <c r="BA365" s="174"/>
      <c r="BB365" s="174"/>
      <c r="BC365" s="174"/>
      <c r="BD365" s="174"/>
      <c r="BE365" s="174"/>
      <c r="BF365" s="510"/>
      <c r="BG365" s="174"/>
      <c r="BH365" s="174"/>
      <c r="BI365" s="174"/>
      <c r="BJ365" s="200"/>
      <c r="BK365" s="174"/>
      <c r="BL365" s="510"/>
      <c r="BM365" s="174"/>
      <c r="BN365" s="174"/>
      <c r="BO365" s="510"/>
      <c r="BP365" s="200"/>
      <c r="BQ365" s="447"/>
      <c r="BR365" s="510"/>
      <c r="BS365" s="174"/>
      <c r="BT365" s="174"/>
      <c r="BU365" s="510"/>
      <c r="BV365" s="200"/>
      <c r="BW365" s="174"/>
      <c r="BX365" s="510"/>
      <c r="BY365" s="174"/>
      <c r="BZ365" s="174"/>
      <c r="CA365" s="510"/>
      <c r="CB365" s="200"/>
      <c r="CC365" s="174"/>
      <c r="CD365" s="510"/>
      <c r="CE365" s="174"/>
      <c r="CF365" s="174"/>
      <c r="CG365" s="510"/>
      <c r="CH365" s="174"/>
      <c r="CI365" s="174"/>
      <c r="CJ365" s="174"/>
      <c r="CK365" s="174"/>
      <c r="CL365" s="174"/>
      <c r="CM365" s="510"/>
      <c r="CN365" s="174"/>
      <c r="CO365" s="549"/>
      <c r="CP365" s="510"/>
      <c r="CQ365" s="200"/>
      <c r="CR365" s="550"/>
      <c r="CS365" s="510"/>
      <c r="CT365" s="390"/>
      <c r="CU365" s="331"/>
      <c r="CV365" s="428"/>
      <c r="CW365" s="155"/>
      <c r="CX365" s="155"/>
      <c r="CY365" s="267"/>
      <c r="CZ365" s="323"/>
      <c r="DA365" s="323"/>
      <c r="DB365" s="423"/>
      <c r="DC365" s="155"/>
      <c r="DD365" s="155"/>
      <c r="DE365" s="267"/>
      <c r="DF365" s="323"/>
      <c r="DG365" s="323"/>
      <c r="DH365" s="428"/>
      <c r="DI365" s="155"/>
      <c r="DJ365" s="155"/>
      <c r="DK365" s="222"/>
      <c r="DL365" s="267"/>
      <c r="DM365" s="155"/>
      <c r="DN365" s="155"/>
      <c r="DO365" s="155"/>
      <c r="DP365" s="423"/>
      <c r="DQ365" s="155"/>
      <c r="DR365" s="155"/>
      <c r="DS365" s="222"/>
      <c r="DT365" s="267"/>
      <c r="DU365" s="174"/>
      <c r="DV365" s="174"/>
      <c r="DW365" s="200"/>
      <c r="DX365" s="428"/>
      <c r="DY365" s="155"/>
      <c r="DZ365" s="155"/>
      <c r="EA365" s="155"/>
      <c r="EB365" s="173"/>
      <c r="EC365" s="155"/>
      <c r="ED365" s="155"/>
      <c r="EE365" s="155"/>
      <c r="EF365" s="423"/>
      <c r="EG365" s="155"/>
      <c r="EH365" s="155"/>
      <c r="EI365" s="155"/>
      <c r="EJ365" s="267"/>
      <c r="EK365" s="155"/>
      <c r="EL365" s="155"/>
      <c r="EM365" s="155"/>
      <c r="EN365" s="428"/>
    </row>
    <row r="366" spans="1:144">
      <c r="A366" s="360"/>
      <c r="B366" s="172"/>
      <c r="C366" s="360"/>
      <c r="D366" s="172"/>
      <c r="E366" s="408"/>
      <c r="F366" s="408"/>
      <c r="G366" s="509"/>
      <c r="H366" s="546"/>
      <c r="I366" s="546"/>
      <c r="J366" s="251"/>
      <c r="K366" s="251"/>
      <c r="L366" s="509"/>
      <c r="M366" s="509"/>
      <c r="N366" s="509"/>
      <c r="O366" s="547"/>
      <c r="P366" s="200"/>
      <c r="Q366" s="174"/>
      <c r="R366" s="390"/>
      <c r="S366" s="510"/>
      <c r="T366" s="200"/>
      <c r="U366" s="174"/>
      <c r="V366" s="174"/>
      <c r="W366" s="510"/>
      <c r="X366" s="174"/>
      <c r="Y366" s="174"/>
      <c r="Z366" s="174"/>
      <c r="AA366" s="510"/>
      <c r="AB366" s="200"/>
      <c r="AC366" s="174"/>
      <c r="AD366" s="390"/>
      <c r="AE366" s="510"/>
      <c r="AF366" s="200"/>
      <c r="AG366" s="174"/>
      <c r="AH366" s="174"/>
      <c r="AI366" s="200"/>
      <c r="AJ366" s="548"/>
      <c r="AK366" s="200"/>
      <c r="AL366" s="174"/>
      <c r="AM366" s="390"/>
      <c r="AN366" s="510"/>
      <c r="AO366" s="200"/>
      <c r="AP366" s="174"/>
      <c r="AQ366" s="510"/>
      <c r="AR366" s="200"/>
      <c r="AS366" s="174"/>
      <c r="AT366" s="510"/>
      <c r="AU366" s="200"/>
      <c r="AV366" s="174"/>
      <c r="AW366" s="510"/>
      <c r="AX366" s="200"/>
      <c r="AY366" s="174"/>
      <c r="AZ366" s="510"/>
      <c r="BA366" s="174"/>
      <c r="BB366" s="174"/>
      <c r="BC366" s="174"/>
      <c r="BD366" s="174"/>
      <c r="BE366" s="174"/>
      <c r="BF366" s="510"/>
      <c r="BG366" s="174"/>
      <c r="BH366" s="174"/>
      <c r="BI366" s="174"/>
      <c r="BJ366" s="200"/>
      <c r="BK366" s="174"/>
      <c r="BL366" s="510"/>
      <c r="BM366" s="174"/>
      <c r="BN366" s="174"/>
      <c r="BO366" s="510"/>
      <c r="BP366" s="200"/>
      <c r="BQ366" s="447"/>
      <c r="BR366" s="510"/>
      <c r="BS366" s="174"/>
      <c r="BT366" s="174"/>
      <c r="BU366" s="510"/>
      <c r="BV366" s="200"/>
      <c r="BW366" s="174"/>
      <c r="BX366" s="510"/>
      <c r="BY366" s="174"/>
      <c r="BZ366" s="174"/>
      <c r="CA366" s="510"/>
      <c r="CB366" s="200"/>
      <c r="CC366" s="174"/>
      <c r="CD366" s="510"/>
      <c r="CE366" s="174"/>
      <c r="CF366" s="174"/>
      <c r="CG366" s="510"/>
      <c r="CH366" s="174"/>
      <c r="CI366" s="174"/>
      <c r="CJ366" s="174"/>
      <c r="CK366" s="174"/>
      <c r="CL366" s="174"/>
      <c r="CM366" s="510"/>
      <c r="CN366" s="174"/>
      <c r="CO366" s="549"/>
      <c r="CP366" s="510"/>
      <c r="CQ366" s="200"/>
      <c r="CR366" s="550"/>
      <c r="CS366" s="510"/>
      <c r="CT366" s="390"/>
      <c r="CU366" s="331"/>
      <c r="CV366" s="428"/>
      <c r="CW366" s="155"/>
      <c r="CX366" s="155"/>
      <c r="CY366" s="267"/>
      <c r="CZ366" s="323"/>
      <c r="DA366" s="323"/>
      <c r="DB366" s="423"/>
      <c r="DC366" s="155"/>
      <c r="DD366" s="155"/>
      <c r="DE366" s="267"/>
      <c r="DF366" s="323"/>
      <c r="DG366" s="323"/>
      <c r="DH366" s="428"/>
      <c r="DI366" s="155"/>
      <c r="DJ366" s="155"/>
      <c r="DK366" s="222"/>
      <c r="DL366" s="267"/>
      <c r="DM366" s="155"/>
      <c r="DN366" s="155"/>
      <c r="DO366" s="155"/>
      <c r="DP366" s="423"/>
      <c r="DQ366" s="155"/>
      <c r="DR366" s="155"/>
      <c r="DS366" s="222"/>
      <c r="DT366" s="267"/>
      <c r="DU366" s="174"/>
      <c r="DV366" s="174"/>
      <c r="DW366" s="200"/>
      <c r="DX366" s="428"/>
      <c r="DY366" s="155"/>
      <c r="DZ366" s="155"/>
      <c r="EA366" s="155"/>
      <c r="EB366" s="173"/>
      <c r="EC366" s="155"/>
      <c r="ED366" s="155"/>
      <c r="EE366" s="155"/>
      <c r="EF366" s="423"/>
      <c r="EG366" s="155"/>
      <c r="EH366" s="155"/>
      <c r="EI366" s="155"/>
      <c r="EJ366" s="267"/>
      <c r="EK366" s="155"/>
      <c r="EL366" s="155"/>
      <c r="EM366" s="155"/>
      <c r="EN366" s="428"/>
    </row>
    <row r="367" spans="1:144">
      <c r="A367" s="360"/>
      <c r="B367" s="172"/>
      <c r="C367" s="360"/>
      <c r="D367" s="172"/>
      <c r="E367" s="408"/>
      <c r="F367" s="408"/>
      <c r="G367" s="509"/>
      <c r="H367" s="546"/>
      <c r="I367" s="546"/>
      <c r="J367" s="251"/>
      <c r="K367" s="251"/>
      <c r="L367" s="509"/>
      <c r="M367" s="509"/>
      <c r="N367" s="509"/>
      <c r="O367" s="547"/>
      <c r="P367" s="200"/>
      <c r="Q367" s="174"/>
      <c r="R367" s="390"/>
      <c r="S367" s="510"/>
      <c r="T367" s="200"/>
      <c r="U367" s="174"/>
      <c r="V367" s="174"/>
      <c r="W367" s="510"/>
      <c r="X367" s="174"/>
      <c r="Y367" s="174"/>
      <c r="Z367" s="174"/>
      <c r="AA367" s="510"/>
      <c r="AB367" s="200"/>
      <c r="AC367" s="174"/>
      <c r="AD367" s="390"/>
      <c r="AE367" s="510"/>
      <c r="AF367" s="200"/>
      <c r="AG367" s="174"/>
      <c r="AH367" s="174"/>
      <c r="AI367" s="200"/>
      <c r="AJ367" s="548"/>
      <c r="AK367" s="200"/>
      <c r="AL367" s="174"/>
      <c r="AM367" s="390"/>
      <c r="AN367" s="510"/>
      <c r="AO367" s="200"/>
      <c r="AP367" s="174"/>
      <c r="AQ367" s="510"/>
      <c r="AR367" s="200"/>
      <c r="AS367" s="174"/>
      <c r="AT367" s="510"/>
      <c r="AU367" s="200"/>
      <c r="AV367" s="174"/>
      <c r="AW367" s="510"/>
      <c r="AX367" s="200"/>
      <c r="AY367" s="174"/>
      <c r="AZ367" s="510"/>
      <c r="BA367" s="174"/>
      <c r="BB367" s="174"/>
      <c r="BC367" s="174"/>
      <c r="BD367" s="174"/>
      <c r="BE367" s="174"/>
      <c r="BF367" s="510"/>
      <c r="BG367" s="174"/>
      <c r="BH367" s="174"/>
      <c r="BI367" s="174"/>
      <c r="BJ367" s="200"/>
      <c r="BK367" s="174"/>
      <c r="BL367" s="510"/>
      <c r="BM367" s="174"/>
      <c r="BN367" s="174"/>
      <c r="BO367" s="510"/>
      <c r="BP367" s="200"/>
      <c r="BQ367" s="447"/>
      <c r="BR367" s="510"/>
      <c r="BS367" s="174"/>
      <c r="BT367" s="174"/>
      <c r="BU367" s="510"/>
      <c r="BV367" s="200"/>
      <c r="BW367" s="174"/>
      <c r="BX367" s="510"/>
      <c r="BY367" s="174"/>
      <c r="BZ367" s="174"/>
      <c r="CA367" s="510"/>
      <c r="CB367" s="200"/>
      <c r="CC367" s="174"/>
      <c r="CD367" s="510"/>
      <c r="CE367" s="174"/>
      <c r="CF367" s="174"/>
      <c r="CG367" s="510"/>
      <c r="CH367" s="174"/>
      <c r="CI367" s="174"/>
      <c r="CJ367" s="174"/>
      <c r="CK367" s="174"/>
      <c r="CL367" s="174"/>
      <c r="CM367" s="510"/>
      <c r="CN367" s="174"/>
      <c r="CO367" s="549"/>
      <c r="CP367" s="510"/>
      <c r="CQ367" s="200"/>
      <c r="CR367" s="550"/>
      <c r="CS367" s="510"/>
      <c r="CT367" s="390"/>
      <c r="CU367" s="331"/>
      <c r="CV367" s="428"/>
      <c r="CW367" s="155"/>
      <c r="CX367" s="155"/>
      <c r="CY367" s="267"/>
      <c r="CZ367" s="323"/>
      <c r="DA367" s="323"/>
      <c r="DB367" s="423"/>
      <c r="DC367" s="155"/>
      <c r="DD367" s="155"/>
      <c r="DE367" s="267"/>
      <c r="DF367" s="323"/>
      <c r="DG367" s="323"/>
      <c r="DH367" s="428"/>
      <c r="DI367" s="155"/>
      <c r="DJ367" s="155"/>
      <c r="DK367" s="222"/>
      <c r="DL367" s="267"/>
      <c r="DM367" s="155"/>
      <c r="DN367" s="155"/>
      <c r="DO367" s="155"/>
      <c r="DP367" s="423"/>
      <c r="DQ367" s="155"/>
      <c r="DR367" s="155"/>
      <c r="DS367" s="222"/>
      <c r="DT367" s="267"/>
      <c r="DU367" s="174"/>
      <c r="DV367" s="174"/>
      <c r="DW367" s="200"/>
      <c r="DX367" s="428"/>
      <c r="DY367" s="155"/>
      <c r="DZ367" s="155"/>
      <c r="EA367" s="155"/>
      <c r="EB367" s="173"/>
      <c r="EC367" s="155"/>
      <c r="ED367" s="155"/>
      <c r="EE367" s="155"/>
      <c r="EF367" s="423"/>
      <c r="EG367" s="155"/>
      <c r="EH367" s="155"/>
      <c r="EI367" s="155"/>
      <c r="EJ367" s="267"/>
      <c r="EK367" s="155"/>
      <c r="EL367" s="155"/>
      <c r="EM367" s="155"/>
      <c r="EN367" s="428"/>
    </row>
    <row r="368" spans="1:144">
      <c r="A368" s="360"/>
      <c r="B368" s="172"/>
      <c r="C368" s="360"/>
      <c r="D368" s="172"/>
      <c r="E368" s="408"/>
      <c r="F368" s="408"/>
      <c r="G368" s="509"/>
      <c r="H368" s="546"/>
      <c r="I368" s="546"/>
      <c r="J368" s="251"/>
      <c r="K368" s="251"/>
      <c r="L368" s="509"/>
      <c r="M368" s="509"/>
      <c r="N368" s="509"/>
      <c r="O368" s="547"/>
      <c r="P368" s="200"/>
      <c r="Q368" s="174"/>
      <c r="R368" s="390"/>
      <c r="S368" s="510"/>
      <c r="T368" s="200"/>
      <c r="U368" s="174"/>
      <c r="V368" s="174"/>
      <c r="W368" s="510"/>
      <c r="X368" s="174"/>
      <c r="Y368" s="174"/>
      <c r="Z368" s="174"/>
      <c r="AA368" s="510"/>
      <c r="AB368" s="200"/>
      <c r="AC368" s="174"/>
      <c r="AD368" s="390"/>
      <c r="AE368" s="510"/>
      <c r="AF368" s="200"/>
      <c r="AG368" s="174"/>
      <c r="AH368" s="174"/>
      <c r="AI368" s="200"/>
      <c r="AJ368" s="548"/>
      <c r="AK368" s="200"/>
      <c r="AL368" s="174"/>
      <c r="AM368" s="390"/>
      <c r="AN368" s="510"/>
      <c r="AO368" s="200"/>
      <c r="AP368" s="174"/>
      <c r="AQ368" s="510"/>
      <c r="AR368" s="200"/>
      <c r="AS368" s="174"/>
      <c r="AT368" s="510"/>
      <c r="AU368" s="200"/>
      <c r="AV368" s="174"/>
      <c r="AW368" s="510"/>
      <c r="AX368" s="200"/>
      <c r="AY368" s="174"/>
      <c r="AZ368" s="510"/>
      <c r="BA368" s="174"/>
      <c r="BB368" s="174"/>
      <c r="BC368" s="174"/>
      <c r="BD368" s="174"/>
      <c r="BE368" s="174"/>
      <c r="BF368" s="510"/>
      <c r="BG368" s="174"/>
      <c r="BH368" s="174"/>
      <c r="BI368" s="174"/>
      <c r="BJ368" s="200"/>
      <c r="BK368" s="174"/>
      <c r="BL368" s="510"/>
      <c r="BM368" s="174"/>
      <c r="BN368" s="174"/>
      <c r="BO368" s="510"/>
      <c r="BP368" s="200"/>
      <c r="BQ368" s="447"/>
      <c r="BR368" s="510"/>
      <c r="BS368" s="174"/>
      <c r="BT368" s="174"/>
      <c r="BU368" s="510"/>
      <c r="BV368" s="200"/>
      <c r="BW368" s="174"/>
      <c r="BX368" s="510"/>
      <c r="BY368" s="174"/>
      <c r="BZ368" s="174"/>
      <c r="CA368" s="510"/>
      <c r="CB368" s="200"/>
      <c r="CC368" s="174"/>
      <c r="CD368" s="510"/>
      <c r="CE368" s="174"/>
      <c r="CF368" s="174"/>
      <c r="CG368" s="510"/>
      <c r="CH368" s="174"/>
      <c r="CI368" s="174"/>
      <c r="CJ368" s="174"/>
      <c r="CK368" s="174"/>
      <c r="CL368" s="174"/>
      <c r="CM368" s="510"/>
      <c r="CN368" s="174"/>
      <c r="CO368" s="549"/>
      <c r="CP368" s="510"/>
      <c r="CQ368" s="200"/>
      <c r="CR368" s="550"/>
      <c r="CS368" s="510"/>
      <c r="CT368" s="390"/>
      <c r="CU368" s="331"/>
      <c r="CV368" s="428"/>
      <c r="CW368" s="155"/>
      <c r="CX368" s="155"/>
      <c r="CY368" s="267"/>
      <c r="CZ368" s="323"/>
      <c r="DA368" s="323"/>
      <c r="DB368" s="423"/>
      <c r="DC368" s="155"/>
      <c r="DD368" s="155"/>
      <c r="DE368" s="267"/>
      <c r="DF368" s="323"/>
      <c r="DG368" s="323"/>
      <c r="DH368" s="428"/>
      <c r="DI368" s="155"/>
      <c r="DJ368" s="155"/>
      <c r="DK368" s="222"/>
      <c r="DL368" s="267"/>
      <c r="DM368" s="155"/>
      <c r="DN368" s="155"/>
      <c r="DO368" s="155"/>
      <c r="DP368" s="423"/>
      <c r="DQ368" s="155"/>
      <c r="DR368" s="155"/>
      <c r="DS368" s="222"/>
      <c r="DT368" s="267"/>
      <c r="DU368" s="174"/>
      <c r="DV368" s="174"/>
      <c r="DW368" s="200"/>
      <c r="DX368" s="428"/>
      <c r="DY368" s="155"/>
      <c r="DZ368" s="155"/>
      <c r="EA368" s="155"/>
      <c r="EB368" s="173"/>
      <c r="EC368" s="155"/>
      <c r="ED368" s="155"/>
      <c r="EE368" s="155"/>
      <c r="EF368" s="423"/>
      <c r="EG368" s="155"/>
      <c r="EH368" s="155"/>
      <c r="EI368" s="155"/>
      <c r="EJ368" s="267"/>
      <c r="EK368" s="155"/>
      <c r="EL368" s="155"/>
      <c r="EM368" s="155"/>
      <c r="EN368" s="428"/>
    </row>
    <row r="369" spans="1:144">
      <c r="A369" s="360"/>
      <c r="B369" s="172"/>
      <c r="C369" s="360"/>
      <c r="D369" s="172"/>
      <c r="E369" s="408"/>
      <c r="F369" s="408"/>
      <c r="G369" s="509"/>
      <c r="H369" s="546"/>
      <c r="I369" s="546"/>
      <c r="J369" s="251"/>
      <c r="K369" s="251"/>
      <c r="L369" s="509"/>
      <c r="M369" s="509"/>
      <c r="N369" s="509"/>
      <c r="O369" s="547"/>
      <c r="P369" s="200"/>
      <c r="Q369" s="174"/>
      <c r="R369" s="390"/>
      <c r="S369" s="510"/>
      <c r="T369" s="200"/>
      <c r="U369" s="174"/>
      <c r="V369" s="174"/>
      <c r="W369" s="510"/>
      <c r="X369" s="174"/>
      <c r="Y369" s="174"/>
      <c r="Z369" s="174"/>
      <c r="AA369" s="510"/>
      <c r="AB369" s="200"/>
      <c r="AC369" s="174"/>
      <c r="AD369" s="390"/>
      <c r="AE369" s="510"/>
      <c r="AF369" s="200"/>
      <c r="AG369" s="174"/>
      <c r="AH369" s="174"/>
      <c r="AI369" s="200"/>
      <c r="AJ369" s="548"/>
      <c r="AK369" s="200"/>
      <c r="AL369" s="174"/>
      <c r="AM369" s="390"/>
      <c r="AN369" s="510"/>
      <c r="AO369" s="200"/>
      <c r="AP369" s="174"/>
      <c r="AQ369" s="510"/>
      <c r="AR369" s="200"/>
      <c r="AS369" s="174"/>
      <c r="AT369" s="510"/>
      <c r="AU369" s="200"/>
      <c r="AV369" s="174"/>
      <c r="AW369" s="510"/>
      <c r="AX369" s="200"/>
      <c r="AY369" s="174"/>
      <c r="AZ369" s="510"/>
      <c r="BA369" s="174"/>
      <c r="BB369" s="174"/>
      <c r="BC369" s="174"/>
      <c r="BD369" s="174"/>
      <c r="BE369" s="174"/>
      <c r="BF369" s="510"/>
      <c r="BG369" s="174"/>
      <c r="BH369" s="174"/>
      <c r="BI369" s="174"/>
      <c r="BJ369" s="200"/>
      <c r="BK369" s="174"/>
      <c r="BL369" s="510"/>
      <c r="BM369" s="174"/>
      <c r="BN369" s="174"/>
      <c r="BO369" s="510"/>
      <c r="BP369" s="200"/>
      <c r="BQ369" s="447"/>
      <c r="BR369" s="510"/>
      <c r="BS369" s="174"/>
      <c r="BT369" s="174"/>
      <c r="BU369" s="510"/>
      <c r="BV369" s="200"/>
      <c r="BW369" s="174"/>
      <c r="BX369" s="510"/>
      <c r="BY369" s="174"/>
      <c r="BZ369" s="174"/>
      <c r="CA369" s="510"/>
      <c r="CB369" s="200"/>
      <c r="CC369" s="174"/>
      <c r="CD369" s="510"/>
      <c r="CE369" s="174"/>
      <c r="CF369" s="174"/>
      <c r="CG369" s="510"/>
      <c r="CH369" s="174"/>
      <c r="CI369" s="174"/>
      <c r="CJ369" s="174"/>
      <c r="CK369" s="174"/>
      <c r="CL369" s="174"/>
      <c r="CM369" s="510"/>
      <c r="CN369" s="174"/>
      <c r="CO369" s="549"/>
      <c r="CP369" s="510"/>
      <c r="CQ369" s="200"/>
      <c r="CR369" s="550"/>
      <c r="CS369" s="510"/>
      <c r="CT369" s="390"/>
      <c r="CU369" s="331"/>
      <c r="CV369" s="428"/>
      <c r="CW369" s="155"/>
      <c r="CX369" s="155"/>
      <c r="CY369" s="267"/>
      <c r="CZ369" s="323"/>
      <c r="DA369" s="323"/>
      <c r="DB369" s="423"/>
      <c r="DC369" s="155"/>
      <c r="DD369" s="155"/>
      <c r="DE369" s="267"/>
      <c r="DF369" s="323"/>
      <c r="DG369" s="323"/>
      <c r="DH369" s="428"/>
      <c r="DI369" s="155"/>
      <c r="DJ369" s="155"/>
      <c r="DK369" s="222"/>
      <c r="DL369" s="267"/>
      <c r="DM369" s="155"/>
      <c r="DN369" s="155"/>
      <c r="DO369" s="155"/>
      <c r="DP369" s="423"/>
      <c r="DQ369" s="155"/>
      <c r="DR369" s="155"/>
      <c r="DS369" s="222"/>
      <c r="DT369" s="267"/>
      <c r="DU369" s="174"/>
      <c r="DV369" s="174"/>
      <c r="DW369" s="200"/>
      <c r="DX369" s="428"/>
      <c r="DY369" s="155"/>
      <c r="DZ369" s="155"/>
      <c r="EA369" s="155"/>
      <c r="EB369" s="173"/>
      <c r="EC369" s="155"/>
      <c r="ED369" s="155"/>
      <c r="EE369" s="155"/>
      <c r="EF369" s="423"/>
      <c r="EG369" s="155"/>
      <c r="EH369" s="155"/>
      <c r="EI369" s="155"/>
      <c r="EJ369" s="267"/>
      <c r="EK369" s="155"/>
      <c r="EL369" s="155"/>
      <c r="EM369" s="155"/>
      <c r="EN369" s="428"/>
    </row>
    <row r="370" spans="1:144">
      <c r="A370" s="360"/>
      <c r="B370" s="172"/>
      <c r="C370" s="360"/>
      <c r="D370" s="172"/>
      <c r="E370" s="408"/>
      <c r="F370" s="408"/>
      <c r="G370" s="509"/>
      <c r="H370" s="546"/>
      <c r="I370" s="546"/>
      <c r="J370" s="251"/>
      <c r="K370" s="251"/>
      <c r="L370" s="509"/>
      <c r="M370" s="509"/>
      <c r="N370" s="509"/>
      <c r="O370" s="547"/>
      <c r="P370" s="200"/>
      <c r="Q370" s="174"/>
      <c r="R370" s="390"/>
      <c r="S370" s="510"/>
      <c r="T370" s="200"/>
      <c r="U370" s="174"/>
      <c r="V370" s="174"/>
      <c r="W370" s="510"/>
      <c r="X370" s="174"/>
      <c r="Y370" s="174"/>
      <c r="Z370" s="174"/>
      <c r="AA370" s="510"/>
      <c r="AB370" s="200"/>
      <c r="AC370" s="174"/>
      <c r="AD370" s="390"/>
      <c r="AE370" s="510"/>
      <c r="AF370" s="200"/>
      <c r="AG370" s="174"/>
      <c r="AH370" s="174"/>
      <c r="AI370" s="200"/>
      <c r="AJ370" s="548"/>
      <c r="AK370" s="200"/>
      <c r="AL370" s="174"/>
      <c r="AM370" s="390"/>
      <c r="AN370" s="510"/>
      <c r="AO370" s="200"/>
      <c r="AP370" s="174"/>
      <c r="AQ370" s="510"/>
      <c r="AR370" s="200"/>
      <c r="AS370" s="174"/>
      <c r="AT370" s="510"/>
      <c r="AU370" s="200"/>
      <c r="AV370" s="174"/>
      <c r="AW370" s="510"/>
      <c r="AX370" s="200"/>
      <c r="AY370" s="174"/>
      <c r="AZ370" s="510"/>
      <c r="BA370" s="174"/>
      <c r="BB370" s="174"/>
      <c r="BC370" s="174"/>
      <c r="BD370" s="174"/>
      <c r="BE370" s="174"/>
      <c r="BF370" s="510"/>
      <c r="BG370" s="174"/>
      <c r="BH370" s="174"/>
      <c r="BI370" s="174"/>
      <c r="BJ370" s="200"/>
      <c r="BK370" s="174"/>
      <c r="BL370" s="510"/>
      <c r="BM370" s="174"/>
      <c r="BN370" s="174"/>
      <c r="BO370" s="510"/>
      <c r="BP370" s="200"/>
      <c r="BQ370" s="447"/>
      <c r="BR370" s="510"/>
      <c r="BS370" s="174"/>
      <c r="BT370" s="174"/>
      <c r="BU370" s="510"/>
      <c r="BV370" s="200"/>
      <c r="BW370" s="174"/>
      <c r="BX370" s="510"/>
      <c r="BY370" s="174"/>
      <c r="BZ370" s="174"/>
      <c r="CA370" s="510"/>
      <c r="CB370" s="200"/>
      <c r="CC370" s="174"/>
      <c r="CD370" s="510"/>
      <c r="CE370" s="174"/>
      <c r="CF370" s="174"/>
      <c r="CG370" s="510"/>
      <c r="CH370" s="174"/>
      <c r="CI370" s="174"/>
      <c r="CJ370" s="174"/>
      <c r="CK370" s="174"/>
      <c r="CL370" s="174"/>
      <c r="CM370" s="510"/>
      <c r="CN370" s="174"/>
      <c r="CO370" s="549"/>
      <c r="CP370" s="510"/>
      <c r="CQ370" s="200"/>
      <c r="CR370" s="550"/>
      <c r="CS370" s="510"/>
      <c r="CT370" s="390"/>
      <c r="CU370" s="331"/>
      <c r="CV370" s="428"/>
      <c r="CW370" s="155"/>
      <c r="CX370" s="155"/>
      <c r="CY370" s="267"/>
      <c r="CZ370" s="323"/>
      <c r="DA370" s="323"/>
      <c r="DB370" s="423"/>
      <c r="DC370" s="155"/>
      <c r="DD370" s="155"/>
      <c r="DE370" s="267"/>
      <c r="DF370" s="323"/>
      <c r="DG370" s="323"/>
      <c r="DH370" s="428"/>
      <c r="DI370" s="155"/>
      <c r="DJ370" s="155"/>
      <c r="DK370" s="222"/>
      <c r="DL370" s="267"/>
      <c r="DM370" s="155"/>
      <c r="DN370" s="155"/>
      <c r="DO370" s="155"/>
      <c r="DP370" s="423"/>
      <c r="DQ370" s="155"/>
      <c r="DR370" s="155"/>
      <c r="DS370" s="222"/>
      <c r="DT370" s="267"/>
      <c r="DU370" s="174"/>
      <c r="DV370" s="174"/>
      <c r="DW370" s="200"/>
      <c r="DX370" s="428"/>
      <c r="DY370" s="155"/>
      <c r="DZ370" s="155"/>
      <c r="EA370" s="155"/>
      <c r="EB370" s="173"/>
      <c r="EC370" s="155"/>
      <c r="ED370" s="155"/>
      <c r="EE370" s="155"/>
      <c r="EF370" s="423"/>
      <c r="EG370" s="155"/>
      <c r="EH370" s="155"/>
      <c r="EI370" s="155"/>
      <c r="EJ370" s="267"/>
      <c r="EK370" s="155"/>
      <c r="EL370" s="155"/>
      <c r="EM370" s="155"/>
      <c r="EN370" s="428"/>
    </row>
    <row r="371" spans="1:144">
      <c r="A371" s="360"/>
      <c r="B371" s="172"/>
      <c r="C371" s="360"/>
      <c r="D371" s="172"/>
      <c r="E371" s="408"/>
      <c r="F371" s="408"/>
      <c r="G371" s="509"/>
      <c r="H371" s="546"/>
      <c r="I371" s="546"/>
      <c r="J371" s="251"/>
      <c r="K371" s="251"/>
      <c r="L371" s="509"/>
      <c r="M371" s="509"/>
      <c r="N371" s="509"/>
      <c r="O371" s="547"/>
      <c r="P371" s="200"/>
      <c r="Q371" s="174"/>
      <c r="R371" s="390"/>
      <c r="S371" s="510"/>
      <c r="T371" s="200"/>
      <c r="U371" s="174"/>
      <c r="V371" s="174"/>
      <c r="W371" s="510"/>
      <c r="X371" s="174"/>
      <c r="Y371" s="174"/>
      <c r="Z371" s="174"/>
      <c r="AA371" s="510"/>
      <c r="AB371" s="200"/>
      <c r="AC371" s="174"/>
      <c r="AD371" s="390"/>
      <c r="AE371" s="510"/>
      <c r="AF371" s="200"/>
      <c r="AG371" s="174"/>
      <c r="AH371" s="174"/>
      <c r="AI371" s="200"/>
      <c r="AJ371" s="548"/>
      <c r="AK371" s="200"/>
      <c r="AL371" s="174"/>
      <c r="AM371" s="390"/>
      <c r="AN371" s="510"/>
      <c r="AO371" s="200"/>
      <c r="AP371" s="174"/>
      <c r="AQ371" s="510"/>
      <c r="AR371" s="200"/>
      <c r="AS371" s="174"/>
      <c r="AT371" s="510"/>
      <c r="AU371" s="200"/>
      <c r="AV371" s="174"/>
      <c r="AW371" s="510"/>
      <c r="AX371" s="200"/>
      <c r="AY371" s="174"/>
      <c r="AZ371" s="510"/>
      <c r="BA371" s="174"/>
      <c r="BB371" s="174"/>
      <c r="BC371" s="174"/>
      <c r="BD371" s="174"/>
      <c r="BE371" s="174"/>
      <c r="BF371" s="510"/>
      <c r="BG371" s="174"/>
      <c r="BH371" s="174"/>
      <c r="BI371" s="174"/>
      <c r="BJ371" s="200"/>
      <c r="BK371" s="174"/>
      <c r="BL371" s="510"/>
      <c r="BM371" s="174"/>
      <c r="BN371" s="174"/>
      <c r="BO371" s="510"/>
      <c r="BP371" s="200"/>
      <c r="BQ371" s="447"/>
      <c r="BR371" s="510"/>
      <c r="BS371" s="174"/>
      <c r="BT371" s="174"/>
      <c r="BU371" s="510"/>
      <c r="BV371" s="200"/>
      <c r="BW371" s="174"/>
      <c r="BX371" s="510"/>
      <c r="BY371" s="174"/>
      <c r="BZ371" s="174"/>
      <c r="CA371" s="510"/>
      <c r="CB371" s="200"/>
      <c r="CC371" s="174"/>
      <c r="CD371" s="510"/>
      <c r="CE371" s="174"/>
      <c r="CF371" s="174"/>
      <c r="CG371" s="510"/>
      <c r="CH371" s="174"/>
      <c r="CI371" s="174"/>
      <c r="CJ371" s="174"/>
      <c r="CK371" s="174"/>
      <c r="CL371" s="174"/>
      <c r="CM371" s="510"/>
      <c r="CN371" s="174"/>
      <c r="CO371" s="549"/>
      <c r="CP371" s="510"/>
      <c r="CQ371" s="200"/>
      <c r="CR371" s="550"/>
      <c r="CS371" s="510"/>
      <c r="CT371" s="390"/>
      <c r="CU371" s="331"/>
      <c r="CV371" s="428"/>
      <c r="CW371" s="155"/>
      <c r="CX371" s="155"/>
      <c r="CY371" s="267"/>
      <c r="CZ371" s="323"/>
      <c r="DA371" s="323"/>
      <c r="DB371" s="423"/>
      <c r="DC371" s="155"/>
      <c r="DD371" s="155"/>
      <c r="DE371" s="267"/>
      <c r="DF371" s="323"/>
      <c r="DG371" s="323"/>
      <c r="DH371" s="428"/>
      <c r="DI371" s="155"/>
      <c r="DJ371" s="155"/>
      <c r="DK371" s="222"/>
      <c r="DL371" s="267"/>
      <c r="DM371" s="155"/>
      <c r="DN371" s="155"/>
      <c r="DO371" s="155"/>
      <c r="DP371" s="423"/>
      <c r="DQ371" s="155"/>
      <c r="DR371" s="155"/>
      <c r="DS371" s="222"/>
      <c r="DT371" s="267"/>
      <c r="DU371" s="174"/>
      <c r="DV371" s="174"/>
      <c r="DW371" s="200"/>
      <c r="DX371" s="428"/>
      <c r="DY371" s="155"/>
      <c r="DZ371" s="155"/>
      <c r="EA371" s="155"/>
      <c r="EB371" s="173"/>
      <c r="EC371" s="155"/>
      <c r="ED371" s="155"/>
      <c r="EE371" s="155"/>
      <c r="EF371" s="423"/>
      <c r="EG371" s="155"/>
      <c r="EH371" s="155"/>
      <c r="EI371" s="155"/>
      <c r="EJ371" s="267"/>
      <c r="EK371" s="155"/>
      <c r="EL371" s="155"/>
      <c r="EM371" s="155"/>
      <c r="EN371" s="428"/>
    </row>
    <row r="372" spans="1:144">
      <c r="A372" s="360"/>
      <c r="B372" s="172"/>
      <c r="C372" s="360"/>
      <c r="D372" s="172"/>
      <c r="E372" s="408"/>
      <c r="F372" s="408"/>
      <c r="G372" s="509"/>
      <c r="H372" s="546"/>
      <c r="I372" s="546"/>
      <c r="J372" s="251"/>
      <c r="K372" s="251"/>
      <c r="L372" s="509"/>
      <c r="M372" s="509"/>
      <c r="N372" s="509"/>
      <c r="O372" s="547"/>
      <c r="P372" s="200"/>
      <c r="Q372" s="174"/>
      <c r="R372" s="390"/>
      <c r="S372" s="510"/>
      <c r="T372" s="200"/>
      <c r="U372" s="174"/>
      <c r="V372" s="174"/>
      <c r="W372" s="510"/>
      <c r="X372" s="174"/>
      <c r="Y372" s="174"/>
      <c r="Z372" s="174"/>
      <c r="AA372" s="510"/>
      <c r="AB372" s="200"/>
      <c r="AC372" s="174"/>
      <c r="AD372" s="390"/>
      <c r="AE372" s="510"/>
      <c r="AF372" s="200"/>
      <c r="AG372" s="174"/>
      <c r="AH372" s="174"/>
      <c r="AI372" s="200"/>
      <c r="AJ372" s="548"/>
      <c r="AK372" s="200"/>
      <c r="AL372" s="174"/>
      <c r="AM372" s="390"/>
      <c r="AN372" s="510"/>
      <c r="AO372" s="200"/>
      <c r="AP372" s="174"/>
      <c r="AQ372" s="510"/>
      <c r="AR372" s="200"/>
      <c r="AS372" s="174"/>
      <c r="AT372" s="510"/>
      <c r="AU372" s="200"/>
      <c r="AV372" s="174"/>
      <c r="AW372" s="510"/>
      <c r="AX372" s="200"/>
      <c r="AY372" s="174"/>
      <c r="AZ372" s="510"/>
      <c r="BA372" s="174"/>
      <c r="BB372" s="174"/>
      <c r="BC372" s="174"/>
      <c r="BD372" s="174"/>
      <c r="BE372" s="174"/>
      <c r="BF372" s="510"/>
      <c r="BG372" s="174"/>
      <c r="BH372" s="174"/>
      <c r="BI372" s="174"/>
      <c r="BJ372" s="200"/>
      <c r="BK372" s="174"/>
      <c r="BL372" s="510"/>
      <c r="BM372" s="174"/>
      <c r="BN372" s="174"/>
      <c r="BO372" s="510"/>
      <c r="BP372" s="200"/>
      <c r="BQ372" s="447"/>
      <c r="BR372" s="510"/>
      <c r="BS372" s="174"/>
      <c r="BT372" s="174"/>
      <c r="BU372" s="510"/>
      <c r="BV372" s="200"/>
      <c r="BW372" s="174"/>
      <c r="BX372" s="510"/>
      <c r="BY372" s="174"/>
      <c r="BZ372" s="174"/>
      <c r="CA372" s="510"/>
      <c r="CB372" s="200"/>
      <c r="CC372" s="174"/>
      <c r="CD372" s="510"/>
      <c r="CE372" s="174"/>
      <c r="CF372" s="174"/>
      <c r="CG372" s="510"/>
      <c r="CH372" s="174"/>
      <c r="CI372" s="174"/>
      <c r="CJ372" s="174"/>
      <c r="CK372" s="174"/>
      <c r="CL372" s="174"/>
      <c r="CM372" s="510"/>
      <c r="CN372" s="174"/>
      <c r="CO372" s="549"/>
      <c r="CP372" s="510"/>
      <c r="CQ372" s="200"/>
      <c r="CR372" s="550"/>
      <c r="CS372" s="510"/>
      <c r="CT372" s="390"/>
      <c r="CU372" s="331"/>
      <c r="CV372" s="428"/>
      <c r="CW372" s="155"/>
      <c r="CX372" s="155"/>
      <c r="CY372" s="267"/>
      <c r="CZ372" s="323"/>
      <c r="DA372" s="323"/>
      <c r="DB372" s="423"/>
      <c r="DC372" s="155"/>
      <c r="DD372" s="155"/>
      <c r="DE372" s="267"/>
      <c r="DF372" s="323"/>
      <c r="DG372" s="323"/>
      <c r="DH372" s="428"/>
      <c r="DI372" s="155"/>
      <c r="DJ372" s="155"/>
      <c r="DK372" s="222"/>
      <c r="DL372" s="267"/>
      <c r="DM372" s="155"/>
      <c r="DN372" s="155"/>
      <c r="DO372" s="155"/>
      <c r="DP372" s="423"/>
      <c r="DQ372" s="155"/>
      <c r="DR372" s="155"/>
      <c r="DS372" s="222"/>
      <c r="DT372" s="267"/>
      <c r="DU372" s="174"/>
      <c r="DV372" s="174"/>
      <c r="DW372" s="200"/>
      <c r="DX372" s="428"/>
      <c r="DY372" s="155"/>
      <c r="DZ372" s="155"/>
      <c r="EA372" s="155"/>
      <c r="EB372" s="173"/>
      <c r="EC372" s="155"/>
      <c r="ED372" s="155"/>
      <c r="EE372" s="155"/>
      <c r="EF372" s="423"/>
      <c r="EG372" s="155"/>
      <c r="EH372" s="155"/>
      <c r="EI372" s="155"/>
      <c r="EJ372" s="267"/>
      <c r="EK372" s="155"/>
      <c r="EL372" s="155"/>
      <c r="EM372" s="155"/>
      <c r="EN372" s="428"/>
    </row>
    <row r="373" spans="1:144">
      <c r="A373" s="360"/>
      <c r="B373" s="172"/>
      <c r="C373" s="360"/>
      <c r="D373" s="172"/>
      <c r="E373" s="408"/>
      <c r="F373" s="408"/>
      <c r="G373" s="509"/>
      <c r="H373" s="546"/>
      <c r="I373" s="546"/>
      <c r="J373" s="251"/>
      <c r="K373" s="251"/>
      <c r="L373" s="509"/>
      <c r="M373" s="509"/>
      <c r="N373" s="509"/>
      <c r="O373" s="547"/>
      <c r="P373" s="200"/>
      <c r="Q373" s="174"/>
      <c r="R373" s="390"/>
      <c r="S373" s="510"/>
      <c r="T373" s="200"/>
      <c r="U373" s="174"/>
      <c r="V373" s="174"/>
      <c r="W373" s="510"/>
      <c r="X373" s="174"/>
      <c r="Y373" s="174"/>
      <c r="Z373" s="174"/>
      <c r="AA373" s="510"/>
      <c r="AB373" s="200"/>
      <c r="AC373" s="174"/>
      <c r="AD373" s="390"/>
      <c r="AE373" s="510"/>
      <c r="AF373" s="200"/>
      <c r="AG373" s="174"/>
      <c r="AH373" s="174"/>
      <c r="AI373" s="200"/>
      <c r="AJ373" s="548"/>
      <c r="AK373" s="200"/>
      <c r="AL373" s="174"/>
      <c r="AM373" s="390"/>
      <c r="AN373" s="510"/>
      <c r="AO373" s="200"/>
      <c r="AP373" s="174"/>
      <c r="AQ373" s="510"/>
      <c r="AR373" s="200"/>
      <c r="AS373" s="174"/>
      <c r="AT373" s="510"/>
      <c r="AU373" s="200"/>
      <c r="AV373" s="174"/>
      <c r="AW373" s="510"/>
      <c r="AX373" s="200"/>
      <c r="AY373" s="174"/>
      <c r="AZ373" s="510"/>
      <c r="BA373" s="174"/>
      <c r="BB373" s="174"/>
      <c r="BC373" s="174"/>
      <c r="BD373" s="174"/>
      <c r="BE373" s="174"/>
      <c r="BF373" s="510"/>
      <c r="BG373" s="174"/>
      <c r="BH373" s="174"/>
      <c r="BI373" s="174"/>
      <c r="BJ373" s="200"/>
      <c r="BK373" s="174"/>
      <c r="BL373" s="510"/>
      <c r="BM373" s="174"/>
      <c r="BN373" s="174"/>
      <c r="BO373" s="510"/>
      <c r="BP373" s="200"/>
      <c r="BQ373" s="447"/>
      <c r="BR373" s="510"/>
      <c r="BS373" s="174"/>
      <c r="BT373" s="174"/>
      <c r="BU373" s="510"/>
      <c r="BV373" s="200"/>
      <c r="BW373" s="174"/>
      <c r="BX373" s="510"/>
      <c r="BY373" s="174"/>
      <c r="BZ373" s="174"/>
      <c r="CA373" s="510"/>
      <c r="CB373" s="200"/>
      <c r="CC373" s="174"/>
      <c r="CD373" s="510"/>
      <c r="CE373" s="174"/>
      <c r="CF373" s="174"/>
      <c r="CG373" s="510"/>
      <c r="CH373" s="174"/>
      <c r="CI373" s="174"/>
      <c r="CJ373" s="174"/>
      <c r="CK373" s="174"/>
      <c r="CL373" s="174"/>
      <c r="CM373" s="510"/>
      <c r="CN373" s="174"/>
      <c r="CO373" s="549"/>
      <c r="CP373" s="510"/>
      <c r="CQ373" s="200"/>
      <c r="CR373" s="550"/>
      <c r="CS373" s="510"/>
      <c r="CT373" s="390"/>
      <c r="CU373" s="331"/>
      <c r="CV373" s="428"/>
      <c r="CW373" s="155"/>
      <c r="CX373" s="155"/>
      <c r="CY373" s="267"/>
      <c r="CZ373" s="323"/>
      <c r="DA373" s="323"/>
      <c r="DB373" s="423"/>
      <c r="DC373" s="155"/>
      <c r="DD373" s="155"/>
      <c r="DE373" s="267"/>
      <c r="DF373" s="323"/>
      <c r="DG373" s="323"/>
      <c r="DH373" s="428"/>
      <c r="DI373" s="155"/>
      <c r="DJ373" s="155"/>
      <c r="DK373" s="222"/>
      <c r="DL373" s="267"/>
      <c r="DM373" s="155"/>
      <c r="DN373" s="155"/>
      <c r="DO373" s="155"/>
      <c r="DP373" s="423"/>
      <c r="DQ373" s="155"/>
      <c r="DR373" s="155"/>
      <c r="DS373" s="222"/>
      <c r="DT373" s="267"/>
      <c r="DU373" s="174"/>
      <c r="DV373" s="174"/>
      <c r="DW373" s="200"/>
      <c r="DX373" s="428"/>
      <c r="DY373" s="155"/>
      <c r="DZ373" s="155"/>
      <c r="EA373" s="155"/>
      <c r="EB373" s="173"/>
      <c r="EC373" s="155"/>
      <c r="ED373" s="155"/>
      <c r="EE373" s="155"/>
      <c r="EF373" s="423"/>
      <c r="EG373" s="155"/>
      <c r="EH373" s="155"/>
      <c r="EI373" s="155"/>
      <c r="EJ373" s="267"/>
      <c r="EK373" s="155"/>
      <c r="EL373" s="155"/>
      <c r="EM373" s="155"/>
      <c r="EN373" s="428"/>
    </row>
    <row r="374" spans="1:144">
      <c r="A374" s="360"/>
      <c r="B374" s="172"/>
      <c r="C374" s="360"/>
      <c r="D374" s="172"/>
      <c r="E374" s="408"/>
      <c r="F374" s="408"/>
      <c r="G374" s="509"/>
      <c r="H374" s="546"/>
      <c r="I374" s="546"/>
      <c r="J374" s="251"/>
      <c r="K374" s="251"/>
      <c r="L374" s="509"/>
      <c r="M374" s="509"/>
      <c r="N374" s="509"/>
      <c r="O374" s="547"/>
      <c r="P374" s="200"/>
      <c r="Q374" s="174"/>
      <c r="R374" s="390"/>
      <c r="S374" s="510"/>
      <c r="T374" s="200"/>
      <c r="U374" s="174"/>
      <c r="V374" s="174"/>
      <c r="W374" s="510"/>
      <c r="X374" s="174"/>
      <c r="Y374" s="174"/>
      <c r="Z374" s="174"/>
      <c r="AA374" s="510"/>
      <c r="AB374" s="200"/>
      <c r="AC374" s="174"/>
      <c r="AD374" s="390"/>
      <c r="AE374" s="510"/>
      <c r="AF374" s="200"/>
      <c r="AG374" s="174"/>
      <c r="AH374" s="174"/>
      <c r="AI374" s="200"/>
      <c r="AJ374" s="548"/>
      <c r="AK374" s="200"/>
      <c r="AL374" s="174"/>
      <c r="AM374" s="390"/>
      <c r="AN374" s="510"/>
      <c r="AO374" s="200"/>
      <c r="AP374" s="174"/>
      <c r="AQ374" s="510"/>
      <c r="AR374" s="200"/>
      <c r="AS374" s="174"/>
      <c r="AT374" s="510"/>
      <c r="AU374" s="200"/>
      <c r="AV374" s="174"/>
      <c r="AW374" s="510"/>
      <c r="AX374" s="200"/>
      <c r="AY374" s="174"/>
      <c r="AZ374" s="510"/>
      <c r="BA374" s="174"/>
      <c r="BB374" s="174"/>
      <c r="BC374" s="174"/>
      <c r="BD374" s="174"/>
      <c r="BE374" s="174"/>
      <c r="BF374" s="510"/>
      <c r="BG374" s="174"/>
      <c r="BH374" s="174"/>
      <c r="BI374" s="174"/>
      <c r="BJ374" s="200"/>
      <c r="BK374" s="174"/>
      <c r="BL374" s="510"/>
      <c r="BM374" s="174"/>
      <c r="BN374" s="174"/>
      <c r="BO374" s="510"/>
      <c r="BP374" s="200"/>
      <c r="BQ374" s="447"/>
      <c r="BR374" s="510"/>
      <c r="BS374" s="174"/>
      <c r="BT374" s="174"/>
      <c r="BU374" s="510"/>
      <c r="BV374" s="200"/>
      <c r="BW374" s="174"/>
      <c r="BX374" s="510"/>
      <c r="BY374" s="174"/>
      <c r="BZ374" s="174"/>
      <c r="CA374" s="510"/>
      <c r="CB374" s="200"/>
      <c r="CC374" s="174"/>
      <c r="CD374" s="510"/>
      <c r="CE374" s="174"/>
      <c r="CF374" s="174"/>
      <c r="CG374" s="510"/>
      <c r="CH374" s="174"/>
      <c r="CI374" s="174"/>
      <c r="CJ374" s="174"/>
      <c r="CK374" s="174"/>
      <c r="CL374" s="174"/>
      <c r="CM374" s="510"/>
      <c r="CN374" s="174"/>
      <c r="CO374" s="549"/>
      <c r="CP374" s="510"/>
      <c r="CQ374" s="200"/>
      <c r="CR374" s="550"/>
      <c r="CS374" s="510"/>
      <c r="CT374" s="390"/>
      <c r="CU374" s="331"/>
      <c r="CV374" s="428"/>
      <c r="CW374" s="155"/>
      <c r="CX374" s="155"/>
      <c r="CY374" s="267"/>
      <c r="CZ374" s="323"/>
      <c r="DA374" s="323"/>
      <c r="DB374" s="423"/>
      <c r="DC374" s="155"/>
      <c r="DD374" s="155"/>
      <c r="DE374" s="267"/>
      <c r="DF374" s="323"/>
      <c r="DG374" s="323"/>
      <c r="DH374" s="428"/>
      <c r="DI374" s="155"/>
      <c r="DJ374" s="155"/>
      <c r="DK374" s="222"/>
      <c r="DL374" s="267"/>
      <c r="DM374" s="155"/>
      <c r="DN374" s="155"/>
      <c r="DO374" s="155"/>
      <c r="DP374" s="423"/>
      <c r="DQ374" s="155"/>
      <c r="DR374" s="155"/>
      <c r="DS374" s="222"/>
      <c r="DT374" s="267"/>
      <c r="DU374" s="174"/>
      <c r="DV374" s="174"/>
      <c r="DW374" s="200"/>
      <c r="DX374" s="428"/>
      <c r="DY374" s="155"/>
      <c r="DZ374" s="155"/>
      <c r="EA374" s="155"/>
      <c r="EB374" s="173"/>
      <c r="EC374" s="155"/>
      <c r="ED374" s="155"/>
      <c r="EE374" s="155"/>
      <c r="EF374" s="423"/>
      <c r="EG374" s="155"/>
      <c r="EH374" s="155"/>
      <c r="EI374" s="155"/>
      <c r="EJ374" s="267"/>
      <c r="EK374" s="155"/>
      <c r="EL374" s="155"/>
      <c r="EM374" s="155"/>
      <c r="EN374" s="428"/>
    </row>
    <row r="375" spans="1:144">
      <c r="A375" s="360"/>
      <c r="B375" s="172"/>
      <c r="C375" s="360"/>
      <c r="D375" s="172"/>
      <c r="E375" s="408"/>
      <c r="F375" s="408"/>
      <c r="G375" s="509"/>
      <c r="H375" s="546"/>
      <c r="I375" s="546"/>
      <c r="J375" s="251"/>
      <c r="K375" s="251"/>
      <c r="L375" s="509"/>
      <c r="M375" s="509"/>
      <c r="N375" s="509"/>
      <c r="O375" s="547"/>
      <c r="P375" s="200"/>
      <c r="Q375" s="174"/>
      <c r="R375" s="390"/>
      <c r="S375" s="510"/>
      <c r="T375" s="200"/>
      <c r="U375" s="174"/>
      <c r="V375" s="174"/>
      <c r="W375" s="510"/>
      <c r="X375" s="174"/>
      <c r="Y375" s="174"/>
      <c r="Z375" s="174"/>
      <c r="AA375" s="510"/>
      <c r="AB375" s="200"/>
      <c r="AC375" s="174"/>
      <c r="AD375" s="390"/>
      <c r="AE375" s="510"/>
      <c r="AF375" s="200"/>
      <c r="AG375" s="174"/>
      <c r="AH375" s="174"/>
      <c r="AI375" s="200"/>
      <c r="AJ375" s="548"/>
      <c r="AK375" s="200"/>
      <c r="AL375" s="174"/>
      <c r="AM375" s="390"/>
      <c r="AN375" s="510"/>
      <c r="AO375" s="200"/>
      <c r="AP375" s="174"/>
      <c r="AQ375" s="510"/>
      <c r="AR375" s="200"/>
      <c r="AS375" s="174"/>
      <c r="AT375" s="510"/>
      <c r="AU375" s="200"/>
      <c r="AV375" s="174"/>
      <c r="AW375" s="510"/>
      <c r="AX375" s="200"/>
      <c r="AY375" s="174"/>
      <c r="AZ375" s="510"/>
      <c r="BA375" s="174"/>
      <c r="BB375" s="174"/>
      <c r="BC375" s="174"/>
      <c r="BD375" s="174"/>
      <c r="BE375" s="174"/>
      <c r="BF375" s="510"/>
      <c r="BG375" s="174"/>
      <c r="BH375" s="174"/>
      <c r="BI375" s="174"/>
      <c r="BJ375" s="200"/>
      <c r="BK375" s="174"/>
      <c r="BL375" s="510"/>
      <c r="BM375" s="174"/>
      <c r="BN375" s="174"/>
      <c r="BO375" s="510"/>
      <c r="BP375" s="200"/>
      <c r="BQ375" s="447"/>
      <c r="BR375" s="510"/>
      <c r="BS375" s="174"/>
      <c r="BT375" s="174"/>
      <c r="BU375" s="510"/>
      <c r="BV375" s="200"/>
      <c r="BW375" s="174"/>
      <c r="BX375" s="510"/>
      <c r="BY375" s="174"/>
      <c r="BZ375" s="174"/>
      <c r="CA375" s="510"/>
      <c r="CB375" s="200"/>
      <c r="CC375" s="174"/>
      <c r="CD375" s="510"/>
      <c r="CE375" s="174"/>
      <c r="CF375" s="174"/>
      <c r="CG375" s="510"/>
      <c r="CH375" s="174"/>
      <c r="CI375" s="174"/>
      <c r="CJ375" s="174"/>
      <c r="CK375" s="174"/>
      <c r="CL375" s="174"/>
      <c r="CM375" s="510"/>
      <c r="CN375" s="174"/>
      <c r="CO375" s="549"/>
      <c r="CP375" s="510"/>
      <c r="CQ375" s="200"/>
      <c r="CR375" s="550"/>
      <c r="CS375" s="510"/>
      <c r="CT375" s="390"/>
      <c r="CU375" s="331"/>
      <c r="CV375" s="428"/>
      <c r="CW375" s="155"/>
      <c r="CX375" s="155"/>
      <c r="CY375" s="267"/>
      <c r="CZ375" s="323"/>
      <c r="DA375" s="323"/>
      <c r="DB375" s="423"/>
      <c r="DC375" s="155"/>
      <c r="DD375" s="155"/>
      <c r="DE375" s="267"/>
      <c r="DF375" s="323"/>
      <c r="DG375" s="323"/>
      <c r="DH375" s="428"/>
      <c r="DI375" s="155"/>
      <c r="DJ375" s="155"/>
      <c r="DK375" s="222"/>
      <c r="DL375" s="267"/>
      <c r="DM375" s="155"/>
      <c r="DN375" s="155"/>
      <c r="DO375" s="155"/>
      <c r="DP375" s="423"/>
      <c r="DQ375" s="155"/>
      <c r="DR375" s="155"/>
      <c r="DS375" s="222"/>
      <c r="DT375" s="267"/>
      <c r="DU375" s="174"/>
      <c r="DV375" s="174"/>
      <c r="DW375" s="200"/>
      <c r="DX375" s="428"/>
      <c r="DY375" s="155"/>
      <c r="DZ375" s="155"/>
      <c r="EA375" s="155"/>
      <c r="EB375" s="173"/>
      <c r="EC375" s="155"/>
      <c r="ED375" s="155"/>
      <c r="EE375" s="155"/>
      <c r="EF375" s="423"/>
      <c r="EG375" s="155"/>
      <c r="EH375" s="155"/>
      <c r="EI375" s="155"/>
      <c r="EJ375" s="267"/>
      <c r="EK375" s="155"/>
      <c r="EL375" s="155"/>
      <c r="EM375" s="155"/>
      <c r="EN375" s="428"/>
    </row>
    <row r="376" spans="1:144">
      <c r="A376" s="360"/>
      <c r="B376" s="172"/>
      <c r="C376" s="360"/>
      <c r="D376" s="172"/>
      <c r="E376" s="408"/>
      <c r="F376" s="408"/>
      <c r="G376" s="509"/>
      <c r="H376" s="546"/>
      <c r="I376" s="546"/>
      <c r="J376" s="251"/>
      <c r="K376" s="251"/>
      <c r="L376" s="509"/>
      <c r="M376" s="509"/>
      <c r="N376" s="509"/>
      <c r="O376" s="547"/>
      <c r="P376" s="200"/>
      <c r="Q376" s="174"/>
      <c r="R376" s="390"/>
      <c r="S376" s="510"/>
      <c r="T376" s="200"/>
      <c r="U376" s="174"/>
      <c r="V376" s="174"/>
      <c r="W376" s="510"/>
      <c r="X376" s="174"/>
      <c r="Y376" s="174"/>
      <c r="Z376" s="174"/>
      <c r="AA376" s="510"/>
      <c r="AB376" s="200"/>
      <c r="AC376" s="174"/>
      <c r="AD376" s="390"/>
      <c r="AE376" s="510"/>
      <c r="AF376" s="200"/>
      <c r="AG376" s="174"/>
      <c r="AH376" s="174"/>
      <c r="AI376" s="200"/>
      <c r="AJ376" s="548"/>
      <c r="AK376" s="200"/>
      <c r="AL376" s="174"/>
      <c r="AM376" s="390"/>
      <c r="AN376" s="510"/>
      <c r="AO376" s="200"/>
      <c r="AP376" s="174"/>
      <c r="AQ376" s="510"/>
      <c r="AR376" s="200"/>
      <c r="AS376" s="174"/>
      <c r="AT376" s="510"/>
      <c r="AU376" s="200"/>
      <c r="AV376" s="174"/>
      <c r="AW376" s="510"/>
      <c r="AX376" s="200"/>
      <c r="AY376" s="174"/>
      <c r="AZ376" s="510"/>
      <c r="BA376" s="174"/>
      <c r="BB376" s="174"/>
      <c r="BC376" s="174"/>
      <c r="BD376" s="174"/>
      <c r="BE376" s="174"/>
      <c r="BF376" s="510"/>
      <c r="BG376" s="174"/>
      <c r="BH376" s="174"/>
      <c r="BI376" s="174"/>
      <c r="BJ376" s="200"/>
      <c r="BK376" s="174"/>
      <c r="BL376" s="510"/>
      <c r="BM376" s="174"/>
      <c r="BN376" s="174"/>
      <c r="BO376" s="510"/>
      <c r="BP376" s="200"/>
      <c r="BQ376" s="447"/>
      <c r="BR376" s="510"/>
      <c r="BS376" s="174"/>
      <c r="BT376" s="174"/>
      <c r="BU376" s="510"/>
      <c r="BV376" s="200"/>
      <c r="BW376" s="174"/>
      <c r="BX376" s="510"/>
      <c r="BY376" s="174"/>
      <c r="BZ376" s="174"/>
      <c r="CA376" s="510"/>
      <c r="CB376" s="200"/>
      <c r="CC376" s="174"/>
      <c r="CD376" s="510"/>
      <c r="CE376" s="174"/>
      <c r="CF376" s="174"/>
      <c r="CG376" s="510"/>
      <c r="CH376" s="174"/>
      <c r="CI376" s="174"/>
      <c r="CJ376" s="174"/>
      <c r="CK376" s="174"/>
      <c r="CL376" s="174"/>
      <c r="CM376" s="510"/>
      <c r="CN376" s="174"/>
      <c r="CO376" s="549"/>
      <c r="CP376" s="510"/>
      <c r="CQ376" s="200"/>
      <c r="CR376" s="550"/>
      <c r="CS376" s="510"/>
      <c r="CT376" s="390"/>
      <c r="CU376" s="331"/>
      <c r="CV376" s="428"/>
      <c r="CW376" s="155"/>
      <c r="CX376" s="155"/>
      <c r="CY376" s="267"/>
      <c r="CZ376" s="323"/>
      <c r="DA376" s="323"/>
      <c r="DB376" s="423"/>
      <c r="DC376" s="155"/>
      <c r="DD376" s="155"/>
      <c r="DE376" s="267"/>
      <c r="DF376" s="323"/>
      <c r="DG376" s="323"/>
      <c r="DH376" s="428"/>
      <c r="DI376" s="155"/>
      <c r="DJ376" s="155"/>
      <c r="DK376" s="222"/>
      <c r="DL376" s="267"/>
      <c r="DM376" s="155"/>
      <c r="DN376" s="155"/>
      <c r="DO376" s="155"/>
      <c r="DP376" s="423"/>
      <c r="DQ376" s="155"/>
      <c r="DR376" s="155"/>
      <c r="DS376" s="222"/>
      <c r="DT376" s="267"/>
      <c r="DU376" s="174"/>
      <c r="DV376" s="174"/>
      <c r="DW376" s="200"/>
      <c r="DX376" s="428"/>
      <c r="DY376" s="155"/>
      <c r="DZ376" s="155"/>
      <c r="EA376" s="155"/>
      <c r="EB376" s="173"/>
      <c r="EC376" s="155"/>
      <c r="ED376" s="155"/>
      <c r="EE376" s="155"/>
      <c r="EF376" s="423"/>
      <c r="EG376" s="155"/>
      <c r="EH376" s="155"/>
      <c r="EI376" s="155"/>
      <c r="EJ376" s="267"/>
      <c r="EK376" s="155"/>
      <c r="EL376" s="155"/>
      <c r="EM376" s="155"/>
      <c r="EN376" s="428"/>
    </row>
    <row r="377" spans="1:144">
      <c r="A377" s="360"/>
      <c r="B377" s="172"/>
      <c r="C377" s="360"/>
      <c r="D377" s="172"/>
      <c r="E377" s="408"/>
      <c r="F377" s="408"/>
      <c r="G377" s="509"/>
      <c r="H377" s="546"/>
      <c r="I377" s="546"/>
      <c r="J377" s="251"/>
      <c r="K377" s="251"/>
      <c r="L377" s="509"/>
      <c r="M377" s="509"/>
      <c r="N377" s="509"/>
      <c r="O377" s="547"/>
      <c r="P377" s="200"/>
      <c r="Q377" s="174"/>
      <c r="R377" s="390"/>
      <c r="S377" s="510"/>
      <c r="T377" s="200"/>
      <c r="U377" s="174"/>
      <c r="V377" s="174"/>
      <c r="W377" s="510"/>
      <c r="X377" s="174"/>
      <c r="Y377" s="174"/>
      <c r="Z377" s="174"/>
      <c r="AA377" s="510"/>
      <c r="AB377" s="200"/>
      <c r="AC377" s="174"/>
      <c r="AD377" s="390"/>
      <c r="AE377" s="510"/>
      <c r="AF377" s="200"/>
      <c r="AG377" s="174"/>
      <c r="AH377" s="174"/>
      <c r="AI377" s="200"/>
      <c r="AJ377" s="548"/>
      <c r="AK377" s="200"/>
      <c r="AL377" s="174"/>
      <c r="AM377" s="390"/>
      <c r="AN377" s="510"/>
      <c r="AO377" s="200"/>
      <c r="AP377" s="174"/>
      <c r="AQ377" s="510"/>
      <c r="AR377" s="200"/>
      <c r="AS377" s="174"/>
      <c r="AT377" s="510"/>
      <c r="AU377" s="200"/>
      <c r="AV377" s="174"/>
      <c r="AW377" s="510"/>
      <c r="AX377" s="200"/>
      <c r="AY377" s="174"/>
      <c r="AZ377" s="510"/>
      <c r="BA377" s="174"/>
      <c r="BB377" s="174"/>
      <c r="BC377" s="174"/>
      <c r="BD377" s="174"/>
      <c r="BE377" s="174"/>
      <c r="BF377" s="510"/>
      <c r="BG377" s="174"/>
      <c r="BH377" s="174"/>
      <c r="BI377" s="174"/>
      <c r="BJ377" s="200"/>
      <c r="BK377" s="174"/>
      <c r="BL377" s="510"/>
      <c r="BM377" s="174"/>
      <c r="BN377" s="174"/>
      <c r="BO377" s="510"/>
      <c r="BP377" s="200"/>
      <c r="BQ377" s="447"/>
      <c r="BR377" s="510"/>
      <c r="BS377" s="174"/>
      <c r="BT377" s="174"/>
      <c r="BU377" s="510"/>
      <c r="BV377" s="200"/>
      <c r="BW377" s="174"/>
      <c r="BX377" s="510"/>
      <c r="BY377" s="174"/>
      <c r="BZ377" s="174"/>
      <c r="CA377" s="510"/>
      <c r="CB377" s="200"/>
      <c r="CC377" s="174"/>
      <c r="CD377" s="510"/>
      <c r="CE377" s="174"/>
      <c r="CF377" s="174"/>
      <c r="CG377" s="510"/>
      <c r="CH377" s="174"/>
      <c r="CI377" s="174"/>
      <c r="CJ377" s="174"/>
      <c r="CK377" s="174"/>
      <c r="CL377" s="174"/>
      <c r="CM377" s="510"/>
      <c r="CN377" s="174"/>
      <c r="CO377" s="549"/>
      <c r="CP377" s="510"/>
      <c r="CQ377" s="200"/>
      <c r="CR377" s="550"/>
      <c r="CS377" s="510"/>
      <c r="CT377" s="390"/>
      <c r="CU377" s="331"/>
      <c r="CV377" s="428"/>
      <c r="CW377" s="155"/>
      <c r="CX377" s="155"/>
      <c r="CY377" s="267"/>
      <c r="CZ377" s="323"/>
      <c r="DA377" s="323"/>
      <c r="DB377" s="423"/>
      <c r="DC377" s="155"/>
      <c r="DD377" s="155"/>
      <c r="DE377" s="267"/>
      <c r="DF377" s="323"/>
      <c r="DG377" s="323"/>
      <c r="DH377" s="428"/>
      <c r="DI377" s="155"/>
      <c r="DJ377" s="155"/>
      <c r="DK377" s="222"/>
      <c r="DL377" s="267"/>
      <c r="DM377" s="155"/>
      <c r="DN377" s="155"/>
      <c r="DO377" s="155"/>
      <c r="DP377" s="423"/>
      <c r="DQ377" s="155"/>
      <c r="DR377" s="155"/>
      <c r="DS377" s="222"/>
      <c r="DT377" s="267"/>
      <c r="DU377" s="174"/>
      <c r="DV377" s="174"/>
      <c r="DW377" s="200"/>
      <c r="DX377" s="428"/>
      <c r="DY377" s="155"/>
      <c r="DZ377" s="155"/>
      <c r="EA377" s="155"/>
      <c r="EB377" s="173"/>
      <c r="EC377" s="155"/>
      <c r="ED377" s="155"/>
      <c r="EE377" s="155"/>
      <c r="EF377" s="423"/>
      <c r="EG377" s="155"/>
      <c r="EH377" s="155"/>
      <c r="EI377" s="155"/>
      <c r="EJ377" s="267"/>
      <c r="EK377" s="155"/>
      <c r="EL377" s="155"/>
      <c r="EM377" s="155"/>
      <c r="EN377" s="428"/>
    </row>
    <row r="378" spans="1:144">
      <c r="A378" s="360"/>
      <c r="B378" s="172"/>
      <c r="C378" s="360"/>
      <c r="D378" s="172"/>
      <c r="E378" s="408"/>
      <c r="F378" s="408"/>
      <c r="G378" s="509"/>
      <c r="H378" s="546"/>
      <c r="I378" s="546"/>
      <c r="J378" s="251"/>
      <c r="K378" s="251"/>
      <c r="L378" s="509"/>
      <c r="M378" s="509"/>
      <c r="N378" s="509"/>
      <c r="O378" s="547"/>
      <c r="P378" s="200"/>
      <c r="Q378" s="174"/>
      <c r="R378" s="390"/>
      <c r="S378" s="510"/>
      <c r="T378" s="200"/>
      <c r="U378" s="174"/>
      <c r="V378" s="174"/>
      <c r="W378" s="510"/>
      <c r="X378" s="174"/>
      <c r="Y378" s="174"/>
      <c r="Z378" s="174"/>
      <c r="AA378" s="510"/>
      <c r="AB378" s="200"/>
      <c r="AC378" s="174"/>
      <c r="AD378" s="390"/>
      <c r="AE378" s="510"/>
      <c r="AF378" s="200"/>
      <c r="AG378" s="174"/>
      <c r="AH378" s="174"/>
      <c r="AI378" s="200"/>
      <c r="AJ378" s="548"/>
      <c r="AK378" s="200"/>
      <c r="AL378" s="174"/>
      <c r="AM378" s="390"/>
      <c r="AN378" s="510"/>
      <c r="AO378" s="200"/>
      <c r="AP378" s="174"/>
      <c r="AQ378" s="510"/>
      <c r="AR378" s="200"/>
      <c r="AS378" s="174"/>
      <c r="AT378" s="510"/>
      <c r="AU378" s="200"/>
      <c r="AV378" s="174"/>
      <c r="AW378" s="510"/>
      <c r="AX378" s="200"/>
      <c r="AY378" s="174"/>
      <c r="AZ378" s="510"/>
      <c r="BA378" s="174"/>
      <c r="BB378" s="174"/>
      <c r="BC378" s="174"/>
      <c r="BD378" s="174"/>
      <c r="BE378" s="174"/>
      <c r="BF378" s="510"/>
      <c r="BG378" s="174"/>
      <c r="BH378" s="174"/>
      <c r="BI378" s="174"/>
      <c r="BJ378" s="200"/>
      <c r="BK378" s="174"/>
      <c r="BL378" s="510"/>
      <c r="BM378" s="174"/>
      <c r="BN378" s="174"/>
      <c r="BO378" s="510"/>
      <c r="BP378" s="200"/>
      <c r="BQ378" s="447"/>
      <c r="BR378" s="510"/>
      <c r="BS378" s="174"/>
      <c r="BT378" s="174"/>
      <c r="BU378" s="510"/>
      <c r="BV378" s="200"/>
      <c r="BW378" s="174"/>
      <c r="BX378" s="510"/>
      <c r="BY378" s="174"/>
      <c r="BZ378" s="174"/>
      <c r="CA378" s="510"/>
      <c r="CB378" s="200"/>
      <c r="CC378" s="174"/>
      <c r="CD378" s="510"/>
      <c r="CE378" s="174"/>
      <c r="CF378" s="174"/>
      <c r="CG378" s="510"/>
      <c r="CH378" s="174"/>
      <c r="CI378" s="174"/>
      <c r="CJ378" s="174"/>
      <c r="CK378" s="174"/>
      <c r="CL378" s="174"/>
      <c r="CM378" s="510"/>
      <c r="CN378" s="174"/>
      <c r="CO378" s="549"/>
      <c r="CP378" s="510"/>
      <c r="CQ378" s="200"/>
      <c r="CR378" s="550"/>
      <c r="CS378" s="510"/>
      <c r="CT378" s="390"/>
      <c r="CU378" s="331"/>
      <c r="CV378" s="428"/>
      <c r="CW378" s="155"/>
      <c r="CX378" s="155"/>
      <c r="CY378" s="267"/>
      <c r="CZ378" s="323"/>
      <c r="DA378" s="323"/>
      <c r="DB378" s="423"/>
      <c r="DC378" s="155"/>
      <c r="DD378" s="155"/>
      <c r="DE378" s="267"/>
      <c r="DF378" s="323"/>
      <c r="DG378" s="323"/>
      <c r="DH378" s="428"/>
      <c r="DI378" s="155"/>
      <c r="DJ378" s="155"/>
      <c r="DK378" s="222"/>
      <c r="DL378" s="267"/>
      <c r="DM378" s="155"/>
      <c r="DN378" s="155"/>
      <c r="DO378" s="155"/>
      <c r="DP378" s="423"/>
      <c r="DQ378" s="155"/>
      <c r="DR378" s="155"/>
      <c r="DS378" s="222"/>
      <c r="DT378" s="267"/>
      <c r="DU378" s="174"/>
      <c r="DV378" s="174"/>
      <c r="DW378" s="200"/>
      <c r="DX378" s="428"/>
      <c r="DY378" s="155"/>
      <c r="DZ378" s="155"/>
      <c r="EA378" s="155"/>
      <c r="EB378" s="173"/>
      <c r="EC378" s="155"/>
      <c r="ED378" s="155"/>
      <c r="EE378" s="155"/>
      <c r="EF378" s="423"/>
      <c r="EG378" s="155"/>
      <c r="EH378" s="155"/>
      <c r="EI378" s="155"/>
      <c r="EJ378" s="267"/>
      <c r="EK378" s="155"/>
      <c r="EL378" s="155"/>
      <c r="EM378" s="155"/>
      <c r="EN378" s="428"/>
    </row>
    <row r="379" spans="1:144">
      <c r="A379" s="360"/>
      <c r="B379" s="172"/>
      <c r="C379" s="360"/>
      <c r="D379" s="172"/>
      <c r="E379" s="408"/>
      <c r="F379" s="408"/>
      <c r="G379" s="509"/>
      <c r="H379" s="546"/>
      <c r="I379" s="546"/>
      <c r="J379" s="251"/>
      <c r="K379" s="251"/>
      <c r="L379" s="509"/>
      <c r="M379" s="509"/>
      <c r="N379" s="509"/>
      <c r="O379" s="547"/>
      <c r="P379" s="200"/>
      <c r="Q379" s="174"/>
      <c r="R379" s="390"/>
      <c r="S379" s="510"/>
      <c r="T379" s="200"/>
      <c r="U379" s="174"/>
      <c r="V379" s="174"/>
      <c r="W379" s="510"/>
      <c r="X379" s="174"/>
      <c r="Y379" s="174"/>
      <c r="Z379" s="174"/>
      <c r="AA379" s="510"/>
      <c r="AB379" s="200"/>
      <c r="AC379" s="174"/>
      <c r="AD379" s="390"/>
      <c r="AE379" s="510"/>
      <c r="AF379" s="200"/>
      <c r="AG379" s="174"/>
      <c r="AH379" s="174"/>
      <c r="AI379" s="200"/>
      <c r="AJ379" s="548"/>
      <c r="AK379" s="200"/>
      <c r="AL379" s="174"/>
      <c r="AM379" s="390"/>
      <c r="AN379" s="510"/>
      <c r="AO379" s="200"/>
      <c r="AP379" s="174"/>
      <c r="AQ379" s="510"/>
      <c r="AR379" s="200"/>
      <c r="AS379" s="174"/>
      <c r="AT379" s="510"/>
      <c r="AU379" s="200"/>
      <c r="AV379" s="174"/>
      <c r="AW379" s="510"/>
      <c r="AX379" s="200"/>
      <c r="AY379" s="174"/>
      <c r="AZ379" s="510"/>
      <c r="BA379" s="174"/>
      <c r="BB379" s="174"/>
      <c r="BC379" s="174"/>
      <c r="BD379" s="174"/>
      <c r="BE379" s="174"/>
      <c r="BF379" s="510"/>
      <c r="BG379" s="174"/>
      <c r="BH379" s="174"/>
      <c r="BI379" s="174"/>
      <c r="BJ379" s="200"/>
      <c r="BK379" s="174"/>
      <c r="BL379" s="510"/>
      <c r="BM379" s="174"/>
      <c r="BN379" s="174"/>
      <c r="BO379" s="510"/>
      <c r="BP379" s="200"/>
      <c r="BQ379" s="447"/>
      <c r="BR379" s="510"/>
      <c r="BS379" s="174"/>
      <c r="BT379" s="174"/>
      <c r="BU379" s="510"/>
      <c r="BV379" s="200"/>
      <c r="BW379" s="174"/>
      <c r="BX379" s="510"/>
      <c r="BY379" s="174"/>
      <c r="BZ379" s="174"/>
      <c r="CA379" s="510"/>
      <c r="CB379" s="200"/>
      <c r="CC379" s="174"/>
      <c r="CD379" s="510"/>
      <c r="CE379" s="174"/>
      <c r="CF379" s="174"/>
      <c r="CG379" s="510"/>
      <c r="CH379" s="174"/>
      <c r="CI379" s="174"/>
      <c r="CJ379" s="174"/>
      <c r="CK379" s="174"/>
      <c r="CL379" s="174"/>
      <c r="CM379" s="510"/>
      <c r="CN379" s="174"/>
      <c r="CO379" s="549"/>
      <c r="CP379" s="510"/>
      <c r="CQ379" s="200"/>
      <c r="CR379" s="550"/>
      <c r="CS379" s="510"/>
      <c r="CT379" s="390"/>
      <c r="CU379" s="331"/>
      <c r="CV379" s="428"/>
      <c r="CW379" s="155"/>
      <c r="CX379" s="155"/>
      <c r="CY379" s="267"/>
      <c r="CZ379" s="323"/>
      <c r="DA379" s="323"/>
      <c r="DB379" s="423"/>
      <c r="DC379" s="155"/>
      <c r="DD379" s="155"/>
      <c r="DE379" s="267"/>
      <c r="DF379" s="323"/>
      <c r="DG379" s="323"/>
      <c r="DH379" s="428"/>
      <c r="DI379" s="155"/>
      <c r="DJ379" s="155"/>
      <c r="DK379" s="222"/>
      <c r="DL379" s="267"/>
      <c r="DM379" s="155"/>
      <c r="DN379" s="155"/>
      <c r="DO379" s="155"/>
      <c r="DP379" s="423"/>
      <c r="DQ379" s="155"/>
      <c r="DR379" s="155"/>
      <c r="DS379" s="222"/>
      <c r="DT379" s="267"/>
      <c r="DU379" s="174"/>
      <c r="DV379" s="174"/>
      <c r="DW379" s="200"/>
      <c r="DX379" s="428"/>
      <c r="DY379" s="155"/>
      <c r="DZ379" s="155"/>
      <c r="EA379" s="155"/>
      <c r="EB379" s="173"/>
      <c r="EC379" s="155"/>
      <c r="ED379" s="155"/>
      <c r="EE379" s="155"/>
      <c r="EF379" s="423"/>
      <c r="EG379" s="155"/>
      <c r="EH379" s="155"/>
      <c r="EI379" s="155"/>
      <c r="EJ379" s="267"/>
      <c r="EK379" s="155"/>
      <c r="EL379" s="155"/>
      <c r="EM379" s="155"/>
      <c r="EN379" s="428"/>
    </row>
    <row r="380" spans="1:144">
      <c r="A380" s="360"/>
      <c r="B380" s="172"/>
      <c r="C380" s="360"/>
      <c r="D380" s="172"/>
      <c r="E380" s="408"/>
      <c r="F380" s="408"/>
      <c r="G380" s="509"/>
      <c r="H380" s="546"/>
      <c r="I380" s="546"/>
      <c r="J380" s="251"/>
      <c r="K380" s="251"/>
      <c r="L380" s="509"/>
      <c r="M380" s="509"/>
      <c r="N380" s="509"/>
      <c r="O380" s="547"/>
      <c r="P380" s="200"/>
      <c r="Q380" s="174"/>
      <c r="R380" s="390"/>
      <c r="S380" s="510"/>
      <c r="T380" s="200"/>
      <c r="U380" s="174"/>
      <c r="V380" s="174"/>
      <c r="W380" s="510"/>
      <c r="X380" s="174"/>
      <c r="Y380" s="174"/>
      <c r="Z380" s="174"/>
      <c r="AA380" s="510"/>
      <c r="AB380" s="200"/>
      <c r="AC380" s="174"/>
      <c r="AD380" s="390"/>
      <c r="AE380" s="510"/>
      <c r="AF380" s="200"/>
      <c r="AG380" s="174"/>
      <c r="AH380" s="174"/>
      <c r="AI380" s="200"/>
      <c r="AJ380" s="548"/>
      <c r="AK380" s="200"/>
      <c r="AL380" s="174"/>
      <c r="AM380" s="390"/>
      <c r="AN380" s="510"/>
      <c r="AO380" s="200"/>
      <c r="AP380" s="174"/>
      <c r="AQ380" s="510"/>
      <c r="AR380" s="200"/>
      <c r="AS380" s="174"/>
      <c r="AT380" s="510"/>
      <c r="AU380" s="200"/>
      <c r="AV380" s="174"/>
      <c r="AW380" s="510"/>
      <c r="AX380" s="200"/>
      <c r="AY380" s="174"/>
      <c r="AZ380" s="510"/>
      <c r="BA380" s="174"/>
      <c r="BB380" s="174"/>
      <c r="BC380" s="174"/>
      <c r="BD380" s="174"/>
      <c r="BE380" s="174"/>
      <c r="BF380" s="510"/>
      <c r="BG380" s="174"/>
      <c r="BH380" s="174"/>
      <c r="BI380" s="174"/>
      <c r="BJ380" s="200"/>
      <c r="BK380" s="174"/>
      <c r="BL380" s="510"/>
      <c r="BM380" s="174"/>
      <c r="BN380" s="174"/>
      <c r="BO380" s="510"/>
      <c r="BP380" s="200"/>
      <c r="BQ380" s="447"/>
      <c r="BR380" s="510"/>
      <c r="BS380" s="174"/>
      <c r="BT380" s="174"/>
      <c r="BU380" s="510"/>
      <c r="BV380" s="200"/>
      <c r="BW380" s="174"/>
      <c r="BX380" s="510"/>
      <c r="BY380" s="174"/>
      <c r="BZ380" s="174"/>
      <c r="CA380" s="510"/>
      <c r="CB380" s="200"/>
      <c r="CC380" s="174"/>
      <c r="CD380" s="510"/>
      <c r="CE380" s="174"/>
      <c r="CF380" s="174"/>
      <c r="CG380" s="510"/>
      <c r="CH380" s="174"/>
      <c r="CI380" s="174"/>
      <c r="CJ380" s="174"/>
      <c r="CK380" s="174"/>
      <c r="CL380" s="174"/>
      <c r="CM380" s="510"/>
      <c r="CN380" s="174"/>
      <c r="CO380" s="549"/>
      <c r="CP380" s="510"/>
      <c r="CQ380" s="200"/>
      <c r="CR380" s="550"/>
      <c r="CS380" s="510"/>
      <c r="CT380" s="390"/>
      <c r="CU380" s="331"/>
      <c r="CV380" s="428"/>
      <c r="CW380" s="155"/>
      <c r="CX380" s="155"/>
      <c r="CY380" s="267"/>
      <c r="CZ380" s="323"/>
      <c r="DA380" s="323"/>
      <c r="DB380" s="423"/>
      <c r="DC380" s="155"/>
      <c r="DD380" s="155"/>
      <c r="DE380" s="267"/>
      <c r="DF380" s="323"/>
      <c r="DG380" s="323"/>
      <c r="DH380" s="428"/>
      <c r="DI380" s="155"/>
      <c r="DJ380" s="155"/>
      <c r="DK380" s="222"/>
      <c r="DL380" s="267"/>
      <c r="DM380" s="155"/>
      <c r="DN380" s="155"/>
      <c r="DO380" s="155"/>
      <c r="DP380" s="423"/>
      <c r="DQ380" s="155"/>
      <c r="DR380" s="155"/>
      <c r="DS380" s="222"/>
      <c r="DT380" s="267"/>
      <c r="DU380" s="174"/>
      <c r="DV380" s="174"/>
      <c r="DW380" s="200"/>
      <c r="DX380" s="428"/>
      <c r="DY380" s="155"/>
      <c r="DZ380" s="155"/>
      <c r="EA380" s="155"/>
      <c r="EB380" s="173"/>
      <c r="EC380" s="155"/>
      <c r="ED380" s="155"/>
      <c r="EE380" s="155"/>
      <c r="EF380" s="423"/>
      <c r="EG380" s="155"/>
      <c r="EH380" s="155"/>
      <c r="EI380" s="155"/>
      <c r="EJ380" s="267"/>
      <c r="EK380" s="155"/>
      <c r="EL380" s="155"/>
      <c r="EM380" s="155"/>
      <c r="EN380" s="428"/>
    </row>
    <row r="381" spans="1:144">
      <c r="A381" s="360"/>
      <c r="B381" s="172"/>
      <c r="C381" s="360"/>
      <c r="D381" s="172"/>
      <c r="E381" s="408"/>
      <c r="F381" s="408"/>
      <c r="G381" s="509"/>
      <c r="H381" s="546"/>
      <c r="I381" s="546"/>
      <c r="J381" s="251"/>
      <c r="K381" s="251"/>
      <c r="L381" s="509"/>
      <c r="M381" s="509"/>
      <c r="N381" s="509"/>
      <c r="O381" s="547"/>
      <c r="P381" s="200"/>
      <c r="Q381" s="174"/>
      <c r="R381" s="390"/>
      <c r="S381" s="510"/>
      <c r="T381" s="200"/>
      <c r="U381" s="174"/>
      <c r="V381" s="174"/>
      <c r="W381" s="510"/>
      <c r="X381" s="174"/>
      <c r="Y381" s="174"/>
      <c r="Z381" s="174"/>
      <c r="AA381" s="510"/>
      <c r="AB381" s="200"/>
      <c r="AC381" s="174"/>
      <c r="AD381" s="390"/>
      <c r="AE381" s="510"/>
      <c r="AF381" s="200"/>
      <c r="AG381" s="174"/>
      <c r="AH381" s="174"/>
      <c r="AI381" s="200"/>
      <c r="AJ381" s="548"/>
      <c r="AK381" s="200"/>
      <c r="AL381" s="174"/>
      <c r="AM381" s="390"/>
      <c r="AN381" s="510"/>
      <c r="AO381" s="200"/>
      <c r="AP381" s="174"/>
      <c r="AQ381" s="510"/>
      <c r="AR381" s="200"/>
      <c r="AS381" s="174"/>
      <c r="AT381" s="510"/>
      <c r="AU381" s="200"/>
      <c r="AV381" s="174"/>
      <c r="AW381" s="510"/>
      <c r="AX381" s="200"/>
      <c r="AY381" s="174"/>
      <c r="AZ381" s="510"/>
      <c r="BA381" s="174"/>
      <c r="BB381" s="174"/>
      <c r="BC381" s="174"/>
      <c r="BD381" s="174"/>
      <c r="BE381" s="174"/>
      <c r="BF381" s="510"/>
      <c r="BG381" s="174"/>
      <c r="BH381" s="174"/>
      <c r="BI381" s="174"/>
      <c r="BJ381" s="200"/>
      <c r="BK381" s="174"/>
      <c r="BL381" s="510"/>
      <c r="BM381" s="174"/>
      <c r="BN381" s="174"/>
      <c r="BO381" s="510"/>
      <c r="BP381" s="200"/>
      <c r="BQ381" s="447"/>
      <c r="BR381" s="510"/>
      <c r="BS381" s="174"/>
      <c r="BT381" s="174"/>
      <c r="BU381" s="510"/>
      <c r="BV381" s="200"/>
      <c r="BW381" s="174"/>
      <c r="BX381" s="510"/>
      <c r="BY381" s="174"/>
      <c r="BZ381" s="174"/>
      <c r="CA381" s="510"/>
      <c r="CB381" s="200"/>
      <c r="CC381" s="174"/>
      <c r="CD381" s="510"/>
      <c r="CE381" s="174"/>
      <c r="CF381" s="174"/>
      <c r="CG381" s="510"/>
      <c r="CH381" s="174"/>
      <c r="CI381" s="174"/>
      <c r="CJ381" s="174"/>
      <c r="CK381" s="174"/>
      <c r="CL381" s="174"/>
      <c r="CM381" s="510"/>
      <c r="CN381" s="174"/>
      <c r="CO381" s="549"/>
      <c r="CP381" s="510"/>
      <c r="CQ381" s="200"/>
      <c r="CR381" s="550"/>
      <c r="CS381" s="510"/>
      <c r="CT381" s="390"/>
      <c r="CU381" s="331"/>
      <c r="CV381" s="428"/>
      <c r="CW381" s="155"/>
      <c r="CX381" s="155"/>
      <c r="CY381" s="267"/>
      <c r="CZ381" s="323"/>
      <c r="DA381" s="323"/>
      <c r="DB381" s="423"/>
      <c r="DC381" s="155"/>
      <c r="DD381" s="155"/>
      <c r="DE381" s="267"/>
      <c r="DF381" s="323"/>
      <c r="DG381" s="323"/>
      <c r="DH381" s="428"/>
      <c r="DI381" s="155"/>
      <c r="DJ381" s="155"/>
      <c r="DK381" s="222"/>
      <c r="DL381" s="267"/>
      <c r="DM381" s="155"/>
      <c r="DN381" s="155"/>
      <c r="DO381" s="155"/>
      <c r="DP381" s="423"/>
      <c r="DQ381" s="155"/>
      <c r="DR381" s="155"/>
      <c r="DS381" s="222"/>
      <c r="DT381" s="267"/>
      <c r="DU381" s="174"/>
      <c r="DV381" s="174"/>
      <c r="DW381" s="200"/>
      <c r="DX381" s="428"/>
      <c r="DY381" s="155"/>
      <c r="DZ381" s="155"/>
      <c r="EA381" s="155"/>
      <c r="EB381" s="173"/>
      <c r="EC381" s="155"/>
      <c r="ED381" s="155"/>
      <c r="EE381" s="155"/>
      <c r="EF381" s="423"/>
      <c r="EG381" s="155"/>
      <c r="EH381" s="155"/>
      <c r="EI381" s="155"/>
      <c r="EJ381" s="267"/>
      <c r="EK381" s="155"/>
      <c r="EL381" s="155"/>
      <c r="EM381" s="155"/>
      <c r="EN381" s="428"/>
    </row>
    <row r="382" spans="1:144">
      <c r="A382" s="360"/>
      <c r="B382" s="172"/>
      <c r="C382" s="360"/>
      <c r="D382" s="172"/>
      <c r="E382" s="408"/>
      <c r="F382" s="408"/>
      <c r="G382" s="509"/>
      <c r="H382" s="546"/>
      <c r="I382" s="546"/>
      <c r="J382" s="251"/>
      <c r="K382" s="251"/>
      <c r="L382" s="509"/>
      <c r="M382" s="509"/>
      <c r="N382" s="509"/>
      <c r="O382" s="547"/>
      <c r="P382" s="200"/>
      <c r="Q382" s="174"/>
      <c r="R382" s="390"/>
      <c r="S382" s="510"/>
      <c r="T382" s="200"/>
      <c r="U382" s="174"/>
      <c r="V382" s="174"/>
      <c r="W382" s="510"/>
      <c r="X382" s="174"/>
      <c r="Y382" s="174"/>
      <c r="Z382" s="174"/>
      <c r="AA382" s="510"/>
      <c r="AB382" s="200"/>
      <c r="AC382" s="174"/>
      <c r="AD382" s="390"/>
      <c r="AE382" s="510"/>
      <c r="AF382" s="200"/>
      <c r="AG382" s="174"/>
      <c r="AH382" s="174"/>
      <c r="AI382" s="200"/>
      <c r="AJ382" s="548"/>
      <c r="AK382" s="200"/>
      <c r="AL382" s="174"/>
      <c r="AM382" s="390"/>
      <c r="AN382" s="510"/>
      <c r="AO382" s="200"/>
      <c r="AP382" s="174"/>
      <c r="AQ382" s="510"/>
      <c r="AR382" s="200"/>
      <c r="AS382" s="174"/>
      <c r="AT382" s="510"/>
      <c r="AU382" s="200"/>
      <c r="AV382" s="174"/>
      <c r="AW382" s="510"/>
      <c r="AX382" s="200"/>
      <c r="AY382" s="174"/>
      <c r="AZ382" s="510"/>
      <c r="BA382" s="174"/>
      <c r="BB382" s="174"/>
      <c r="BC382" s="174"/>
      <c r="BD382" s="174"/>
      <c r="BE382" s="174"/>
      <c r="BF382" s="510"/>
      <c r="BG382" s="174"/>
      <c r="BH382" s="174"/>
      <c r="BI382" s="174"/>
      <c r="BJ382" s="200"/>
      <c r="BK382" s="174"/>
      <c r="BL382" s="510"/>
      <c r="BM382" s="174"/>
      <c r="BN382" s="174"/>
      <c r="BO382" s="510"/>
      <c r="BP382" s="200"/>
      <c r="BQ382" s="447"/>
      <c r="BR382" s="510"/>
      <c r="BS382" s="174"/>
      <c r="BT382" s="174"/>
      <c r="BU382" s="510"/>
      <c r="BV382" s="200"/>
      <c r="BW382" s="174"/>
      <c r="BX382" s="510"/>
      <c r="BY382" s="174"/>
      <c r="BZ382" s="174"/>
      <c r="CA382" s="510"/>
      <c r="CB382" s="200"/>
      <c r="CC382" s="174"/>
      <c r="CD382" s="510"/>
      <c r="CE382" s="174"/>
      <c r="CF382" s="174"/>
      <c r="CG382" s="510"/>
      <c r="CH382" s="174"/>
      <c r="CI382" s="174"/>
      <c r="CJ382" s="174"/>
      <c r="CK382" s="174"/>
      <c r="CL382" s="174"/>
      <c r="CM382" s="510"/>
      <c r="CN382" s="174"/>
      <c r="CO382" s="549"/>
      <c r="CP382" s="510"/>
      <c r="CQ382" s="200"/>
      <c r="CR382" s="550"/>
      <c r="CS382" s="510"/>
      <c r="CT382" s="390"/>
      <c r="CU382" s="331"/>
      <c r="CV382" s="428"/>
      <c r="CW382" s="155"/>
      <c r="CX382" s="155"/>
      <c r="CY382" s="267"/>
      <c r="CZ382" s="323"/>
      <c r="DA382" s="323"/>
      <c r="DB382" s="423"/>
      <c r="DC382" s="155"/>
      <c r="DD382" s="155"/>
      <c r="DE382" s="267"/>
      <c r="DF382" s="323"/>
      <c r="DG382" s="323"/>
      <c r="DH382" s="428"/>
      <c r="DI382" s="155"/>
      <c r="DJ382" s="155"/>
      <c r="DK382" s="222"/>
      <c r="DL382" s="267"/>
      <c r="DM382" s="155"/>
      <c r="DN382" s="155"/>
      <c r="DO382" s="155"/>
      <c r="DP382" s="423"/>
      <c r="DQ382" s="155"/>
      <c r="DR382" s="155"/>
      <c r="DS382" s="222"/>
      <c r="DT382" s="267"/>
      <c r="DU382" s="174"/>
      <c r="DV382" s="174"/>
      <c r="DW382" s="200"/>
      <c r="DX382" s="428"/>
      <c r="DY382" s="155"/>
      <c r="DZ382" s="155"/>
      <c r="EA382" s="155"/>
      <c r="EB382" s="173"/>
      <c r="EC382" s="155"/>
      <c r="ED382" s="155"/>
      <c r="EE382" s="155"/>
      <c r="EF382" s="423"/>
      <c r="EG382" s="155"/>
      <c r="EH382" s="155"/>
      <c r="EI382" s="155"/>
      <c r="EJ382" s="267"/>
      <c r="EK382" s="155"/>
      <c r="EL382" s="155"/>
      <c r="EM382" s="155"/>
      <c r="EN382" s="428"/>
    </row>
    <row r="383" spans="1:144">
      <c r="A383" s="360"/>
      <c r="B383" s="172"/>
      <c r="C383" s="360"/>
      <c r="D383" s="172"/>
      <c r="E383" s="408"/>
      <c r="F383" s="408"/>
      <c r="G383" s="509"/>
      <c r="H383" s="546"/>
      <c r="I383" s="546"/>
      <c r="J383" s="251"/>
      <c r="K383" s="251"/>
      <c r="L383" s="509"/>
      <c r="M383" s="509"/>
      <c r="N383" s="509"/>
      <c r="O383" s="547"/>
      <c r="P383" s="200"/>
      <c r="Q383" s="174"/>
      <c r="R383" s="390"/>
      <c r="S383" s="510"/>
      <c r="T383" s="200"/>
      <c r="U383" s="174"/>
      <c r="V383" s="174"/>
      <c r="W383" s="510"/>
      <c r="X383" s="174"/>
      <c r="Y383" s="174"/>
      <c r="Z383" s="174"/>
      <c r="AA383" s="510"/>
      <c r="AB383" s="200"/>
      <c r="AC383" s="174"/>
      <c r="AD383" s="390"/>
      <c r="AE383" s="510"/>
      <c r="AF383" s="200"/>
      <c r="AG383" s="174"/>
      <c r="AH383" s="174"/>
      <c r="AI383" s="200"/>
      <c r="AJ383" s="548"/>
      <c r="AK383" s="200"/>
      <c r="AL383" s="174"/>
      <c r="AM383" s="390"/>
      <c r="AN383" s="510"/>
      <c r="AO383" s="200"/>
      <c r="AP383" s="174"/>
      <c r="AQ383" s="510"/>
      <c r="AR383" s="200"/>
      <c r="AS383" s="174"/>
      <c r="AT383" s="510"/>
      <c r="AU383" s="200"/>
      <c r="AV383" s="174"/>
      <c r="AW383" s="510"/>
      <c r="AX383" s="200"/>
      <c r="AY383" s="174"/>
      <c r="AZ383" s="510"/>
      <c r="BA383" s="174"/>
      <c r="BB383" s="174"/>
      <c r="BC383" s="174"/>
      <c r="BD383" s="174"/>
      <c r="BE383" s="174"/>
      <c r="BF383" s="510"/>
      <c r="BG383" s="174"/>
      <c r="BH383" s="174"/>
      <c r="BI383" s="174"/>
      <c r="BJ383" s="200"/>
      <c r="BK383" s="174"/>
      <c r="BL383" s="510"/>
      <c r="BM383" s="174"/>
      <c r="BN383" s="174"/>
      <c r="BO383" s="510"/>
      <c r="BP383" s="200"/>
      <c r="BQ383" s="447"/>
      <c r="BR383" s="510"/>
      <c r="BS383" s="174"/>
      <c r="BT383" s="174"/>
      <c r="BU383" s="510"/>
      <c r="BV383" s="200"/>
      <c r="BW383" s="174"/>
      <c r="BX383" s="510"/>
      <c r="BY383" s="174"/>
      <c r="BZ383" s="174"/>
      <c r="CA383" s="510"/>
      <c r="CB383" s="200"/>
      <c r="CC383" s="174"/>
      <c r="CD383" s="510"/>
      <c r="CE383" s="174"/>
      <c r="CF383" s="174"/>
      <c r="CG383" s="510"/>
      <c r="CH383" s="174"/>
      <c r="CI383" s="174"/>
      <c r="CJ383" s="174"/>
      <c r="CK383" s="174"/>
      <c r="CL383" s="174"/>
      <c r="CM383" s="510"/>
      <c r="CN383" s="174"/>
      <c r="CO383" s="549"/>
      <c r="CP383" s="510"/>
      <c r="CQ383" s="200"/>
      <c r="CR383" s="550"/>
      <c r="CS383" s="510"/>
      <c r="CT383" s="390"/>
      <c r="CU383" s="331"/>
      <c r="CV383" s="428"/>
      <c r="CW383" s="155"/>
      <c r="CX383" s="155"/>
      <c r="CY383" s="267"/>
      <c r="CZ383" s="323"/>
      <c r="DA383" s="323"/>
      <c r="DB383" s="423"/>
      <c r="DC383" s="155"/>
      <c r="DD383" s="155"/>
      <c r="DE383" s="267"/>
      <c r="DF383" s="323"/>
      <c r="DG383" s="323"/>
      <c r="DH383" s="428"/>
      <c r="DI383" s="155"/>
      <c r="DJ383" s="155"/>
      <c r="DK383" s="222"/>
      <c r="DL383" s="267"/>
      <c r="DM383" s="155"/>
      <c r="DN383" s="155"/>
      <c r="DO383" s="155"/>
      <c r="DP383" s="423"/>
      <c r="DQ383" s="155"/>
      <c r="DR383" s="155"/>
      <c r="DS383" s="222"/>
      <c r="DT383" s="267"/>
      <c r="DU383" s="174"/>
      <c r="DV383" s="174"/>
      <c r="DW383" s="200"/>
      <c r="DX383" s="428"/>
      <c r="DY383" s="155"/>
      <c r="DZ383" s="155"/>
      <c r="EA383" s="155"/>
      <c r="EB383" s="173"/>
      <c r="EC383" s="155"/>
      <c r="ED383" s="155"/>
      <c r="EE383" s="155"/>
      <c r="EF383" s="423"/>
      <c r="EG383" s="155"/>
      <c r="EH383" s="155"/>
      <c r="EI383" s="155"/>
      <c r="EJ383" s="267"/>
      <c r="EK383" s="155"/>
      <c r="EL383" s="155"/>
      <c r="EM383" s="155"/>
      <c r="EN383" s="428"/>
    </row>
    <row r="384" spans="1:144">
      <c r="A384" s="360"/>
      <c r="B384" s="172"/>
      <c r="C384" s="360"/>
      <c r="D384" s="172"/>
      <c r="E384" s="408"/>
      <c r="F384" s="408"/>
      <c r="G384" s="509"/>
      <c r="H384" s="546"/>
      <c r="I384" s="546"/>
      <c r="J384" s="251"/>
      <c r="K384" s="251"/>
      <c r="L384" s="509"/>
      <c r="M384" s="509"/>
      <c r="N384" s="509"/>
      <c r="O384" s="547"/>
      <c r="P384" s="200"/>
      <c r="Q384" s="174"/>
      <c r="R384" s="390"/>
      <c r="S384" s="510"/>
      <c r="T384" s="200"/>
      <c r="U384" s="174"/>
      <c r="V384" s="174"/>
      <c r="W384" s="510"/>
      <c r="X384" s="174"/>
      <c r="Y384" s="174"/>
      <c r="Z384" s="174"/>
      <c r="AA384" s="510"/>
      <c r="AB384" s="200"/>
      <c r="AC384" s="174"/>
      <c r="AD384" s="390"/>
      <c r="AE384" s="510"/>
      <c r="AF384" s="200"/>
      <c r="AG384" s="174"/>
      <c r="AH384" s="174"/>
      <c r="AI384" s="200"/>
      <c r="AJ384" s="548"/>
      <c r="AK384" s="200"/>
      <c r="AL384" s="174"/>
      <c r="AM384" s="390"/>
      <c r="AN384" s="510"/>
      <c r="AO384" s="200"/>
      <c r="AP384" s="174"/>
      <c r="AQ384" s="510"/>
      <c r="AR384" s="200"/>
      <c r="AS384" s="174"/>
      <c r="AT384" s="510"/>
      <c r="AU384" s="200"/>
      <c r="AV384" s="174"/>
      <c r="AW384" s="510"/>
      <c r="AX384" s="200"/>
      <c r="AY384" s="174"/>
      <c r="AZ384" s="510"/>
      <c r="BA384" s="174"/>
      <c r="BB384" s="174"/>
      <c r="BC384" s="174"/>
      <c r="BD384" s="174"/>
      <c r="BE384" s="174"/>
      <c r="BF384" s="510"/>
      <c r="BG384" s="174"/>
      <c r="BH384" s="174"/>
      <c r="BI384" s="174"/>
      <c r="BJ384" s="200"/>
      <c r="BK384" s="174"/>
      <c r="BL384" s="510"/>
      <c r="BM384" s="174"/>
      <c r="BN384" s="174"/>
      <c r="BO384" s="510"/>
      <c r="BP384" s="200"/>
      <c r="BQ384" s="447"/>
      <c r="BR384" s="510"/>
      <c r="BS384" s="174"/>
      <c r="BT384" s="174"/>
      <c r="BU384" s="510"/>
      <c r="BV384" s="200"/>
      <c r="BW384" s="174"/>
      <c r="BX384" s="510"/>
      <c r="BY384" s="174"/>
      <c r="BZ384" s="174"/>
      <c r="CA384" s="510"/>
      <c r="CB384" s="200"/>
      <c r="CC384" s="174"/>
      <c r="CD384" s="510"/>
      <c r="CE384" s="174"/>
      <c r="CF384" s="174"/>
      <c r="CG384" s="510"/>
      <c r="CH384" s="174"/>
      <c r="CI384" s="174"/>
      <c r="CJ384" s="174"/>
      <c r="CK384" s="174"/>
      <c r="CL384" s="174"/>
      <c r="CM384" s="510"/>
      <c r="CN384" s="174"/>
      <c r="CO384" s="549"/>
      <c r="CP384" s="510"/>
      <c r="CQ384" s="200"/>
      <c r="CR384" s="550"/>
      <c r="CS384" s="510"/>
      <c r="CT384" s="390"/>
      <c r="CU384" s="331"/>
      <c r="CV384" s="428"/>
      <c r="CW384" s="155"/>
      <c r="CX384" s="155"/>
      <c r="CY384" s="267"/>
      <c r="CZ384" s="323"/>
      <c r="DA384" s="323"/>
      <c r="DB384" s="423"/>
      <c r="DC384" s="155"/>
      <c r="DD384" s="155"/>
      <c r="DE384" s="267"/>
      <c r="DF384" s="323"/>
      <c r="DG384" s="323"/>
      <c r="DH384" s="428"/>
      <c r="DI384" s="155"/>
      <c r="DJ384" s="155"/>
      <c r="DK384" s="222"/>
      <c r="DL384" s="267"/>
      <c r="DM384" s="155"/>
      <c r="DN384" s="155"/>
      <c r="DO384" s="155"/>
      <c r="DP384" s="423"/>
      <c r="DQ384" s="155"/>
      <c r="DR384" s="155"/>
      <c r="DS384" s="222"/>
      <c r="DT384" s="267"/>
      <c r="DU384" s="174"/>
      <c r="DV384" s="174"/>
      <c r="DW384" s="200"/>
      <c r="DX384" s="428"/>
      <c r="DY384" s="155"/>
      <c r="DZ384" s="155"/>
      <c r="EA384" s="155"/>
      <c r="EB384" s="173"/>
      <c r="EC384" s="155"/>
      <c r="ED384" s="155"/>
      <c r="EE384" s="155"/>
      <c r="EF384" s="423"/>
      <c r="EG384" s="155"/>
      <c r="EH384" s="155"/>
      <c r="EI384" s="155"/>
      <c r="EJ384" s="267"/>
      <c r="EK384" s="155"/>
      <c r="EL384" s="155"/>
      <c r="EM384" s="155"/>
      <c r="EN384" s="428"/>
    </row>
    <row r="385" spans="1:144">
      <c r="A385" s="360"/>
      <c r="B385" s="172"/>
      <c r="C385" s="360"/>
      <c r="D385" s="172"/>
      <c r="E385" s="408"/>
      <c r="F385" s="408"/>
      <c r="G385" s="509"/>
      <c r="H385" s="546"/>
      <c r="I385" s="546"/>
      <c r="J385" s="251"/>
      <c r="K385" s="251"/>
      <c r="L385" s="509"/>
      <c r="M385" s="509"/>
      <c r="N385" s="509"/>
      <c r="O385" s="547"/>
      <c r="P385" s="200"/>
      <c r="Q385" s="174"/>
      <c r="R385" s="390"/>
      <c r="S385" s="510"/>
      <c r="T385" s="200"/>
      <c r="U385" s="174"/>
      <c r="V385" s="174"/>
      <c r="W385" s="510"/>
      <c r="X385" s="174"/>
      <c r="Y385" s="174"/>
      <c r="Z385" s="174"/>
      <c r="AA385" s="510"/>
      <c r="AB385" s="200"/>
      <c r="AC385" s="174"/>
      <c r="AD385" s="390"/>
      <c r="AE385" s="510"/>
      <c r="AF385" s="200"/>
      <c r="AG385" s="174"/>
      <c r="AH385" s="174"/>
      <c r="AI385" s="200"/>
      <c r="AJ385" s="548"/>
      <c r="AK385" s="200"/>
      <c r="AL385" s="174"/>
      <c r="AM385" s="390"/>
      <c r="AN385" s="510"/>
      <c r="AO385" s="200"/>
      <c r="AP385" s="174"/>
      <c r="AQ385" s="510"/>
      <c r="AR385" s="200"/>
      <c r="AS385" s="174"/>
      <c r="AT385" s="510"/>
      <c r="AU385" s="200"/>
      <c r="AV385" s="174"/>
      <c r="AW385" s="510"/>
      <c r="AX385" s="200"/>
      <c r="AY385" s="174"/>
      <c r="AZ385" s="510"/>
      <c r="BA385" s="174"/>
      <c r="BB385" s="174"/>
      <c r="BC385" s="174"/>
      <c r="BD385" s="174"/>
      <c r="BE385" s="174"/>
      <c r="BF385" s="510"/>
      <c r="BG385" s="174"/>
      <c r="BH385" s="174"/>
      <c r="BI385" s="174"/>
      <c r="BJ385" s="200"/>
      <c r="BK385" s="174"/>
      <c r="BL385" s="510"/>
      <c r="BM385" s="174"/>
      <c r="BN385" s="174"/>
      <c r="BO385" s="510"/>
      <c r="BP385" s="200"/>
      <c r="BQ385" s="447"/>
      <c r="BR385" s="510"/>
      <c r="BS385" s="174"/>
      <c r="BT385" s="174"/>
      <c r="BU385" s="510"/>
      <c r="BV385" s="200"/>
      <c r="BW385" s="174"/>
      <c r="BX385" s="510"/>
      <c r="BY385" s="174"/>
      <c r="BZ385" s="174"/>
      <c r="CA385" s="510"/>
      <c r="CB385" s="200"/>
      <c r="CC385" s="174"/>
      <c r="CD385" s="510"/>
      <c r="CE385" s="174"/>
      <c r="CF385" s="174"/>
      <c r="CG385" s="510"/>
      <c r="CH385" s="174"/>
      <c r="CI385" s="174"/>
      <c r="CJ385" s="174"/>
      <c r="CK385" s="174"/>
      <c r="CL385" s="174"/>
      <c r="CM385" s="510"/>
      <c r="CN385" s="174"/>
      <c r="CO385" s="549"/>
      <c r="CP385" s="510"/>
      <c r="CQ385" s="200"/>
      <c r="CR385" s="550"/>
      <c r="CS385" s="510"/>
      <c r="CT385" s="390"/>
      <c r="CU385" s="331"/>
      <c r="CV385" s="428"/>
      <c r="CW385" s="155"/>
      <c r="CX385" s="155"/>
      <c r="CY385" s="267"/>
      <c r="CZ385" s="323"/>
      <c r="DA385" s="323"/>
      <c r="DB385" s="423"/>
      <c r="DC385" s="155"/>
      <c r="DD385" s="155"/>
      <c r="DE385" s="267"/>
      <c r="DF385" s="323"/>
      <c r="DG385" s="323"/>
      <c r="DH385" s="428"/>
      <c r="DI385" s="155"/>
      <c r="DJ385" s="155"/>
      <c r="DK385" s="222"/>
      <c r="DL385" s="267"/>
      <c r="DM385" s="155"/>
      <c r="DN385" s="155"/>
      <c r="DO385" s="155"/>
      <c r="DP385" s="423"/>
      <c r="DQ385" s="155"/>
      <c r="DR385" s="155"/>
      <c r="DS385" s="222"/>
      <c r="DT385" s="267"/>
      <c r="DU385" s="174"/>
      <c r="DV385" s="174"/>
      <c r="DW385" s="200"/>
      <c r="DX385" s="428"/>
      <c r="DY385" s="155"/>
      <c r="DZ385" s="155"/>
      <c r="EA385" s="155"/>
      <c r="EB385" s="173"/>
      <c r="EC385" s="155"/>
      <c r="ED385" s="155"/>
      <c r="EE385" s="155"/>
      <c r="EF385" s="423"/>
      <c r="EG385" s="155"/>
      <c r="EH385" s="155"/>
      <c r="EI385" s="155"/>
      <c r="EJ385" s="267"/>
      <c r="EK385" s="155"/>
      <c r="EL385" s="155"/>
      <c r="EM385" s="155"/>
      <c r="EN385" s="428"/>
    </row>
    <row r="386" spans="1:144">
      <c r="A386" s="360"/>
      <c r="B386" s="172"/>
      <c r="C386" s="360"/>
      <c r="D386" s="172"/>
      <c r="E386" s="408"/>
      <c r="F386" s="408"/>
      <c r="G386" s="509"/>
      <c r="H386" s="546"/>
      <c r="I386" s="546"/>
      <c r="J386" s="251"/>
      <c r="K386" s="251"/>
      <c r="L386" s="509"/>
      <c r="M386" s="509"/>
      <c r="N386" s="509"/>
      <c r="O386" s="547"/>
      <c r="P386" s="200"/>
      <c r="Q386" s="174"/>
      <c r="R386" s="390"/>
      <c r="S386" s="510"/>
      <c r="T386" s="200"/>
      <c r="U386" s="174"/>
      <c r="V386" s="174"/>
      <c r="W386" s="510"/>
      <c r="X386" s="174"/>
      <c r="Y386" s="174"/>
      <c r="Z386" s="174"/>
      <c r="AA386" s="510"/>
      <c r="AB386" s="200"/>
      <c r="AC386" s="174"/>
      <c r="AD386" s="390"/>
      <c r="AE386" s="510"/>
      <c r="AF386" s="200"/>
      <c r="AG386" s="174"/>
      <c r="AH386" s="174"/>
      <c r="AI386" s="200"/>
      <c r="AJ386" s="548"/>
      <c r="AK386" s="200"/>
      <c r="AL386" s="174"/>
      <c r="AM386" s="390"/>
      <c r="AN386" s="510"/>
      <c r="AO386" s="200"/>
      <c r="AP386" s="174"/>
      <c r="AQ386" s="510"/>
      <c r="AR386" s="200"/>
      <c r="AS386" s="174"/>
      <c r="AT386" s="510"/>
      <c r="AU386" s="200"/>
      <c r="AV386" s="174"/>
      <c r="AW386" s="510"/>
      <c r="AX386" s="200"/>
      <c r="AY386" s="174"/>
      <c r="AZ386" s="510"/>
      <c r="BA386" s="174"/>
      <c r="BB386" s="174"/>
      <c r="BC386" s="174"/>
      <c r="BD386" s="174"/>
      <c r="BE386" s="174"/>
      <c r="BF386" s="510"/>
      <c r="BG386" s="174"/>
      <c r="BH386" s="174"/>
      <c r="BI386" s="174"/>
      <c r="BJ386" s="200"/>
      <c r="BK386" s="174"/>
      <c r="BL386" s="510"/>
      <c r="BM386" s="174"/>
      <c r="BN386" s="174"/>
      <c r="BO386" s="510"/>
      <c r="BP386" s="200"/>
      <c r="BQ386" s="447"/>
      <c r="BR386" s="510"/>
      <c r="BS386" s="174"/>
      <c r="BT386" s="174"/>
      <c r="BU386" s="510"/>
      <c r="BV386" s="200"/>
      <c r="BW386" s="174"/>
      <c r="BX386" s="510"/>
      <c r="BY386" s="174"/>
      <c r="BZ386" s="174"/>
      <c r="CA386" s="510"/>
      <c r="CB386" s="200"/>
      <c r="CC386" s="174"/>
      <c r="CD386" s="510"/>
      <c r="CE386" s="174"/>
      <c r="CF386" s="174"/>
      <c r="CG386" s="510"/>
      <c r="CH386" s="174"/>
      <c r="CI386" s="174"/>
      <c r="CJ386" s="174"/>
      <c r="CK386" s="174"/>
      <c r="CL386" s="174"/>
      <c r="CM386" s="510"/>
      <c r="CN386" s="174"/>
      <c r="CO386" s="549"/>
      <c r="CP386" s="510"/>
      <c r="CQ386" s="200"/>
      <c r="CR386" s="550"/>
      <c r="CS386" s="510"/>
      <c r="CT386" s="390"/>
      <c r="CU386" s="331"/>
      <c r="CV386" s="428"/>
      <c r="CW386" s="155"/>
      <c r="CX386" s="155"/>
      <c r="CY386" s="267"/>
      <c r="CZ386" s="323"/>
      <c r="DA386" s="323"/>
      <c r="DB386" s="423"/>
      <c r="DC386" s="155"/>
      <c r="DD386" s="155"/>
      <c r="DE386" s="267"/>
      <c r="DF386" s="323"/>
      <c r="DG386" s="323"/>
      <c r="DH386" s="428"/>
      <c r="DI386" s="155"/>
      <c r="DJ386" s="155"/>
      <c r="DK386" s="222"/>
      <c r="DL386" s="267"/>
      <c r="DM386" s="155"/>
      <c r="DN386" s="155"/>
      <c r="DO386" s="155"/>
      <c r="DP386" s="423"/>
      <c r="DQ386" s="155"/>
      <c r="DR386" s="155"/>
      <c r="DS386" s="222"/>
      <c r="DT386" s="267"/>
      <c r="DU386" s="174"/>
      <c r="DV386" s="174"/>
      <c r="DW386" s="200"/>
      <c r="DX386" s="428"/>
      <c r="DY386" s="155"/>
      <c r="DZ386" s="155"/>
      <c r="EA386" s="155"/>
      <c r="EB386" s="173"/>
      <c r="EC386" s="155"/>
      <c r="ED386" s="155"/>
      <c r="EE386" s="155"/>
      <c r="EF386" s="423"/>
      <c r="EG386" s="155"/>
      <c r="EH386" s="155"/>
      <c r="EI386" s="155"/>
      <c r="EJ386" s="267"/>
      <c r="EK386" s="155"/>
      <c r="EL386" s="155"/>
      <c r="EM386" s="155"/>
      <c r="EN386" s="428"/>
    </row>
    <row r="387" spans="1:144">
      <c r="A387" s="360"/>
      <c r="B387" s="172"/>
      <c r="C387" s="360"/>
      <c r="D387" s="172"/>
      <c r="E387" s="408"/>
      <c r="F387" s="408"/>
      <c r="G387" s="509"/>
      <c r="H387" s="546"/>
      <c r="I387" s="546"/>
      <c r="J387" s="251"/>
      <c r="K387" s="251"/>
      <c r="L387" s="509"/>
      <c r="M387" s="509"/>
      <c r="N387" s="509"/>
      <c r="O387" s="547"/>
      <c r="P387" s="200"/>
      <c r="Q387" s="174"/>
      <c r="R387" s="390"/>
      <c r="S387" s="510"/>
      <c r="T387" s="200"/>
      <c r="U387" s="174"/>
      <c r="V387" s="174"/>
      <c r="W387" s="510"/>
      <c r="X387" s="174"/>
      <c r="Y387" s="174"/>
      <c r="Z387" s="174"/>
      <c r="AA387" s="510"/>
      <c r="AB387" s="200"/>
      <c r="AC387" s="174"/>
      <c r="AD387" s="390"/>
      <c r="AE387" s="510"/>
      <c r="AF387" s="200"/>
      <c r="AG387" s="174"/>
      <c r="AH387" s="174"/>
      <c r="AI387" s="200"/>
      <c r="AJ387" s="548"/>
      <c r="AK387" s="200"/>
      <c r="AL387" s="174"/>
      <c r="AM387" s="390"/>
      <c r="AN387" s="510"/>
      <c r="AO387" s="200"/>
      <c r="AP387" s="174"/>
      <c r="AQ387" s="510"/>
      <c r="AR387" s="200"/>
      <c r="AS387" s="174"/>
      <c r="AT387" s="510"/>
      <c r="AU387" s="200"/>
      <c r="AV387" s="174"/>
      <c r="AW387" s="510"/>
      <c r="AX387" s="200"/>
      <c r="AY387" s="174"/>
      <c r="AZ387" s="510"/>
      <c r="BA387" s="174"/>
      <c r="BB387" s="174"/>
      <c r="BC387" s="174"/>
      <c r="BD387" s="174"/>
      <c r="BE387" s="174"/>
      <c r="BF387" s="510"/>
      <c r="BG387" s="174"/>
      <c r="BH387" s="174"/>
      <c r="BI387" s="174"/>
      <c r="BJ387" s="200"/>
      <c r="BK387" s="174"/>
      <c r="BL387" s="510"/>
      <c r="BM387" s="174"/>
      <c r="BN387" s="174"/>
      <c r="BO387" s="510"/>
      <c r="BP387" s="200"/>
      <c r="BQ387" s="447"/>
      <c r="BR387" s="510"/>
      <c r="BS387" s="174"/>
      <c r="BT387" s="174"/>
      <c r="BU387" s="510"/>
      <c r="BV387" s="200"/>
      <c r="BW387" s="174"/>
      <c r="BX387" s="510"/>
      <c r="BY387" s="174"/>
      <c r="BZ387" s="174"/>
      <c r="CA387" s="510"/>
      <c r="CB387" s="200"/>
      <c r="CC387" s="174"/>
      <c r="CD387" s="510"/>
      <c r="CE387" s="174"/>
      <c r="CF387" s="174"/>
      <c r="CG387" s="510"/>
      <c r="CH387" s="174"/>
      <c r="CI387" s="174"/>
      <c r="CJ387" s="174"/>
      <c r="CK387" s="174"/>
      <c r="CL387" s="174"/>
      <c r="CM387" s="510"/>
      <c r="CN387" s="174"/>
      <c r="CO387" s="549"/>
      <c r="CP387" s="510"/>
      <c r="CQ387" s="200"/>
      <c r="CR387" s="550"/>
      <c r="CS387" s="510"/>
      <c r="CT387" s="390"/>
      <c r="CU387" s="331"/>
      <c r="CV387" s="428"/>
      <c r="CW387" s="155"/>
      <c r="CX387" s="155"/>
      <c r="CY387" s="267"/>
      <c r="CZ387" s="323"/>
      <c r="DA387" s="323"/>
      <c r="DB387" s="423"/>
      <c r="DC387" s="155"/>
      <c r="DD387" s="155"/>
      <c r="DE387" s="267"/>
      <c r="DF387" s="323"/>
      <c r="DG387" s="323"/>
      <c r="DH387" s="428"/>
      <c r="DI387" s="155"/>
      <c r="DJ387" s="155"/>
      <c r="DK387" s="222"/>
      <c r="DL387" s="267"/>
      <c r="DM387" s="155"/>
      <c r="DN387" s="155"/>
      <c r="DO387" s="155"/>
      <c r="DP387" s="423"/>
      <c r="DQ387" s="155"/>
      <c r="DR387" s="155"/>
      <c r="DS387" s="222"/>
      <c r="DT387" s="267"/>
      <c r="DU387" s="174"/>
      <c r="DV387" s="174"/>
      <c r="DW387" s="200"/>
      <c r="DX387" s="428"/>
      <c r="DY387" s="155"/>
      <c r="DZ387" s="155"/>
      <c r="EA387" s="155"/>
      <c r="EB387" s="173"/>
      <c r="EC387" s="155"/>
      <c r="ED387" s="155"/>
      <c r="EE387" s="155"/>
      <c r="EF387" s="423"/>
      <c r="EG387" s="155"/>
      <c r="EH387" s="155"/>
      <c r="EI387" s="155"/>
      <c r="EJ387" s="267"/>
      <c r="EK387" s="155"/>
      <c r="EL387" s="155"/>
      <c r="EM387" s="155"/>
      <c r="EN387" s="428"/>
    </row>
    <row r="388" spans="1:144">
      <c r="A388" s="360"/>
      <c r="B388" s="172"/>
      <c r="C388" s="360"/>
      <c r="D388" s="172"/>
      <c r="E388" s="408"/>
      <c r="F388" s="408"/>
      <c r="G388" s="509"/>
      <c r="H388" s="546"/>
      <c r="I388" s="546"/>
      <c r="J388" s="251"/>
      <c r="K388" s="251"/>
      <c r="L388" s="509"/>
      <c r="M388" s="509"/>
      <c r="N388" s="509"/>
      <c r="O388" s="547"/>
      <c r="P388" s="200"/>
      <c r="Q388" s="174"/>
      <c r="R388" s="390"/>
      <c r="S388" s="510"/>
      <c r="T388" s="200"/>
      <c r="U388" s="174"/>
      <c r="V388" s="174"/>
      <c r="W388" s="510"/>
      <c r="X388" s="174"/>
      <c r="Y388" s="174"/>
      <c r="Z388" s="174"/>
      <c r="AA388" s="510"/>
      <c r="AB388" s="200"/>
      <c r="AC388" s="174"/>
      <c r="AD388" s="390"/>
      <c r="AE388" s="510"/>
      <c r="AF388" s="200"/>
      <c r="AG388" s="174"/>
      <c r="AH388" s="174"/>
      <c r="AI388" s="200"/>
      <c r="AJ388" s="548"/>
      <c r="AK388" s="200"/>
      <c r="AL388" s="174"/>
      <c r="AM388" s="390"/>
      <c r="AN388" s="510"/>
      <c r="AO388" s="200"/>
      <c r="AP388" s="174"/>
      <c r="AQ388" s="510"/>
      <c r="AR388" s="200"/>
      <c r="AS388" s="174"/>
      <c r="AT388" s="510"/>
      <c r="AU388" s="200"/>
      <c r="AV388" s="174"/>
      <c r="AW388" s="510"/>
      <c r="AX388" s="200"/>
      <c r="AY388" s="174"/>
      <c r="AZ388" s="510"/>
      <c r="BA388" s="174"/>
      <c r="BB388" s="174"/>
      <c r="BC388" s="174"/>
      <c r="BD388" s="174"/>
      <c r="BE388" s="174"/>
      <c r="BF388" s="510"/>
      <c r="BG388" s="174"/>
      <c r="BH388" s="174"/>
      <c r="BI388" s="174"/>
      <c r="BJ388" s="200"/>
      <c r="BK388" s="174"/>
      <c r="BL388" s="510"/>
      <c r="BM388" s="174"/>
      <c r="BN388" s="174"/>
      <c r="BO388" s="510"/>
      <c r="BP388" s="200"/>
      <c r="BQ388" s="447"/>
      <c r="BR388" s="510"/>
      <c r="BS388" s="174"/>
      <c r="BT388" s="174"/>
      <c r="BU388" s="510"/>
      <c r="BV388" s="200"/>
      <c r="BW388" s="174"/>
      <c r="BX388" s="510"/>
      <c r="BY388" s="174"/>
      <c r="BZ388" s="174"/>
      <c r="CA388" s="510"/>
      <c r="CB388" s="200"/>
      <c r="CC388" s="174"/>
      <c r="CD388" s="510"/>
      <c r="CE388" s="174"/>
      <c r="CF388" s="174"/>
      <c r="CG388" s="510"/>
      <c r="CH388" s="174"/>
      <c r="CI388" s="174"/>
      <c r="CJ388" s="174"/>
      <c r="CK388" s="174"/>
      <c r="CL388" s="174"/>
      <c r="CM388" s="510"/>
      <c r="CN388" s="174"/>
      <c r="CO388" s="549"/>
      <c r="CP388" s="510"/>
      <c r="CQ388" s="200"/>
      <c r="CR388" s="550"/>
      <c r="CS388" s="510"/>
      <c r="CT388" s="390"/>
      <c r="CU388" s="331"/>
      <c r="CV388" s="428"/>
      <c r="CW388" s="155"/>
      <c r="CX388" s="155"/>
      <c r="CY388" s="267"/>
      <c r="CZ388" s="323"/>
      <c r="DA388" s="323"/>
      <c r="DB388" s="423"/>
      <c r="DC388" s="155"/>
      <c r="DD388" s="155"/>
      <c r="DE388" s="267"/>
      <c r="DF388" s="323"/>
      <c r="DG388" s="323"/>
      <c r="DH388" s="428"/>
      <c r="DI388" s="155"/>
      <c r="DJ388" s="155"/>
      <c r="DK388" s="222"/>
      <c r="DL388" s="267"/>
      <c r="DM388" s="155"/>
      <c r="DN388" s="155"/>
      <c r="DO388" s="155"/>
      <c r="DP388" s="423"/>
      <c r="DQ388" s="155"/>
      <c r="DR388" s="155"/>
      <c r="DS388" s="222"/>
      <c r="DT388" s="267"/>
      <c r="DU388" s="174"/>
      <c r="DV388" s="174"/>
      <c r="DW388" s="200"/>
      <c r="DX388" s="428"/>
      <c r="DY388" s="155"/>
      <c r="DZ388" s="155"/>
      <c r="EA388" s="155"/>
      <c r="EB388" s="173"/>
      <c r="EC388" s="155"/>
      <c r="ED388" s="155"/>
      <c r="EE388" s="155"/>
      <c r="EF388" s="423"/>
      <c r="EG388" s="155"/>
      <c r="EH388" s="155"/>
      <c r="EI388" s="155"/>
      <c r="EJ388" s="267"/>
      <c r="EK388" s="155"/>
      <c r="EL388" s="155"/>
      <c r="EM388" s="155"/>
      <c r="EN388" s="428"/>
    </row>
    <row r="389" spans="1:144">
      <c r="A389" s="360"/>
      <c r="B389" s="172"/>
      <c r="C389" s="360"/>
      <c r="D389" s="172"/>
      <c r="E389" s="408"/>
      <c r="F389" s="408"/>
      <c r="G389" s="509"/>
      <c r="H389" s="546"/>
      <c r="I389" s="546"/>
      <c r="J389" s="251"/>
      <c r="K389" s="251"/>
      <c r="L389" s="509"/>
      <c r="M389" s="509"/>
      <c r="N389" s="509"/>
      <c r="O389" s="547"/>
      <c r="P389" s="200"/>
      <c r="Q389" s="174"/>
      <c r="R389" s="390"/>
      <c r="S389" s="510"/>
      <c r="T389" s="200"/>
      <c r="U389" s="174"/>
      <c r="V389" s="174"/>
      <c r="W389" s="510"/>
      <c r="X389" s="174"/>
      <c r="Y389" s="174"/>
      <c r="Z389" s="174"/>
      <c r="AA389" s="510"/>
      <c r="AB389" s="200"/>
      <c r="AC389" s="174"/>
      <c r="AD389" s="390"/>
      <c r="AE389" s="510"/>
      <c r="AF389" s="200"/>
      <c r="AG389" s="174"/>
      <c r="AH389" s="174"/>
      <c r="AI389" s="200"/>
      <c r="AJ389" s="548"/>
      <c r="AK389" s="200"/>
      <c r="AL389" s="174"/>
      <c r="AM389" s="390"/>
      <c r="AN389" s="510"/>
      <c r="AO389" s="200"/>
      <c r="AP389" s="174"/>
      <c r="AQ389" s="510"/>
      <c r="AR389" s="200"/>
      <c r="AS389" s="174"/>
      <c r="AT389" s="510"/>
      <c r="AU389" s="200"/>
      <c r="AV389" s="174"/>
      <c r="AW389" s="510"/>
      <c r="AX389" s="200"/>
      <c r="AY389" s="174"/>
      <c r="AZ389" s="510"/>
      <c r="BA389" s="174"/>
      <c r="BB389" s="174"/>
      <c r="BC389" s="174"/>
      <c r="BD389" s="174"/>
      <c r="BE389" s="174"/>
      <c r="BF389" s="510"/>
      <c r="BG389" s="174"/>
      <c r="BH389" s="174"/>
      <c r="BI389" s="174"/>
      <c r="BJ389" s="200"/>
      <c r="BK389" s="174"/>
      <c r="BL389" s="510"/>
      <c r="BM389" s="174"/>
      <c r="BN389" s="174"/>
      <c r="BO389" s="510"/>
      <c r="BP389" s="200"/>
      <c r="BQ389" s="447"/>
      <c r="BR389" s="510"/>
      <c r="BS389" s="174"/>
      <c r="BT389" s="174"/>
      <c r="BU389" s="510"/>
      <c r="BV389" s="200"/>
      <c r="BW389" s="174"/>
      <c r="BX389" s="510"/>
      <c r="BY389" s="174"/>
      <c r="BZ389" s="174"/>
      <c r="CA389" s="510"/>
      <c r="CB389" s="200"/>
      <c r="CC389" s="174"/>
      <c r="CD389" s="510"/>
      <c r="CE389" s="174"/>
      <c r="CF389" s="174"/>
      <c r="CG389" s="510"/>
      <c r="CH389" s="174"/>
      <c r="CI389" s="174"/>
      <c r="CJ389" s="174"/>
      <c r="CK389" s="174"/>
      <c r="CL389" s="174"/>
      <c r="CM389" s="510"/>
      <c r="CN389" s="174"/>
      <c r="CO389" s="549"/>
      <c r="CP389" s="510"/>
      <c r="CQ389" s="200"/>
      <c r="CR389" s="550"/>
      <c r="CS389" s="510"/>
      <c r="CT389" s="390"/>
      <c r="CU389" s="331"/>
      <c r="CV389" s="428"/>
      <c r="CW389" s="155"/>
      <c r="CX389" s="155"/>
      <c r="CY389" s="267"/>
      <c r="CZ389" s="323"/>
      <c r="DA389" s="323"/>
      <c r="DB389" s="423"/>
      <c r="DC389" s="155"/>
      <c r="DD389" s="155"/>
      <c r="DE389" s="267"/>
      <c r="DF389" s="323"/>
      <c r="DG389" s="323"/>
      <c r="DH389" s="428"/>
      <c r="DI389" s="155"/>
      <c r="DJ389" s="155"/>
      <c r="DK389" s="222"/>
      <c r="DL389" s="267"/>
      <c r="DM389" s="155"/>
      <c r="DN389" s="155"/>
      <c r="DO389" s="155"/>
      <c r="DP389" s="423"/>
      <c r="DQ389" s="155"/>
      <c r="DR389" s="155"/>
      <c r="DS389" s="222"/>
      <c r="DT389" s="267"/>
      <c r="DU389" s="174"/>
      <c r="DV389" s="174"/>
      <c r="DW389" s="200"/>
      <c r="DX389" s="428"/>
      <c r="DY389" s="155"/>
      <c r="DZ389" s="155"/>
      <c r="EA389" s="155"/>
      <c r="EB389" s="173"/>
      <c r="EC389" s="155"/>
      <c r="ED389" s="155"/>
      <c r="EE389" s="155"/>
      <c r="EF389" s="423"/>
      <c r="EG389" s="155"/>
      <c r="EH389" s="155"/>
      <c r="EI389" s="155"/>
      <c r="EJ389" s="267"/>
      <c r="EK389" s="155"/>
      <c r="EL389" s="155"/>
      <c r="EM389" s="155"/>
      <c r="EN389" s="428"/>
    </row>
    <row r="390" spans="1:144">
      <c r="A390" s="360"/>
      <c r="B390" s="172"/>
      <c r="C390" s="360"/>
      <c r="D390" s="172"/>
      <c r="E390" s="408"/>
      <c r="F390" s="408"/>
      <c r="G390" s="509"/>
      <c r="H390" s="546"/>
      <c r="I390" s="546"/>
      <c r="J390" s="251"/>
      <c r="K390" s="251"/>
      <c r="L390" s="509"/>
      <c r="M390" s="509"/>
      <c r="N390" s="509"/>
      <c r="O390" s="547"/>
      <c r="P390" s="200"/>
      <c r="Q390" s="174"/>
      <c r="R390" s="390"/>
      <c r="S390" s="510"/>
      <c r="T390" s="200"/>
      <c r="U390" s="174"/>
      <c r="V390" s="174"/>
      <c r="W390" s="510"/>
      <c r="X390" s="174"/>
      <c r="Y390" s="174"/>
      <c r="Z390" s="174"/>
      <c r="AA390" s="510"/>
      <c r="AB390" s="200"/>
      <c r="AC390" s="174"/>
      <c r="AD390" s="390"/>
      <c r="AE390" s="510"/>
      <c r="AF390" s="200"/>
      <c r="AG390" s="174"/>
      <c r="AH390" s="174"/>
      <c r="AI390" s="200"/>
      <c r="AJ390" s="548"/>
      <c r="AK390" s="200"/>
      <c r="AL390" s="174"/>
      <c r="AM390" s="390"/>
      <c r="AN390" s="510"/>
      <c r="AO390" s="200"/>
      <c r="AP390" s="174"/>
      <c r="AQ390" s="510"/>
      <c r="AR390" s="200"/>
      <c r="AS390" s="174"/>
      <c r="AT390" s="510"/>
      <c r="AU390" s="200"/>
      <c r="AV390" s="174"/>
      <c r="AW390" s="510"/>
      <c r="AX390" s="200"/>
      <c r="AY390" s="174"/>
      <c r="AZ390" s="510"/>
      <c r="BA390" s="174"/>
      <c r="BB390" s="174"/>
      <c r="BC390" s="174"/>
      <c r="BD390" s="174"/>
      <c r="BE390" s="174"/>
      <c r="BF390" s="510"/>
      <c r="BG390" s="174"/>
      <c r="BH390" s="174"/>
      <c r="BI390" s="174"/>
      <c r="BJ390" s="200"/>
      <c r="BK390" s="174"/>
      <c r="BL390" s="510"/>
      <c r="BM390" s="174"/>
      <c r="BN390" s="174"/>
      <c r="BO390" s="510"/>
      <c r="BP390" s="200"/>
      <c r="BQ390" s="447"/>
      <c r="BR390" s="510"/>
      <c r="BS390" s="174"/>
      <c r="BT390" s="174"/>
      <c r="BU390" s="510"/>
      <c r="BV390" s="200"/>
      <c r="BW390" s="174"/>
      <c r="BX390" s="510"/>
      <c r="BY390" s="174"/>
      <c r="BZ390" s="174"/>
      <c r="CA390" s="510"/>
      <c r="CB390" s="200"/>
      <c r="CC390" s="174"/>
      <c r="CD390" s="510"/>
      <c r="CE390" s="174"/>
      <c r="CF390" s="174"/>
      <c r="CG390" s="510"/>
      <c r="CH390" s="174"/>
      <c r="CI390" s="174"/>
      <c r="CJ390" s="174"/>
      <c r="CK390" s="174"/>
      <c r="CL390" s="174"/>
      <c r="CM390" s="510"/>
      <c r="CN390" s="174"/>
      <c r="CO390" s="549"/>
      <c r="CP390" s="510"/>
      <c r="CQ390" s="200"/>
      <c r="CR390" s="550"/>
      <c r="CS390" s="510"/>
      <c r="CT390" s="390"/>
      <c r="CU390" s="331"/>
      <c r="CV390" s="428"/>
      <c r="CW390" s="155"/>
      <c r="CX390" s="155"/>
      <c r="CY390" s="267"/>
      <c r="CZ390" s="323"/>
      <c r="DA390" s="323"/>
      <c r="DB390" s="423"/>
      <c r="DC390" s="155"/>
      <c r="DD390" s="155"/>
      <c r="DE390" s="267"/>
      <c r="DF390" s="323"/>
      <c r="DG390" s="323"/>
      <c r="DH390" s="428"/>
      <c r="DI390" s="155"/>
      <c r="DJ390" s="155"/>
      <c r="DK390" s="222"/>
      <c r="DL390" s="267"/>
      <c r="DM390" s="155"/>
      <c r="DN390" s="155"/>
      <c r="DO390" s="155"/>
      <c r="DP390" s="423"/>
      <c r="DQ390" s="155"/>
      <c r="DR390" s="155"/>
      <c r="DS390" s="222"/>
      <c r="DT390" s="267"/>
      <c r="DU390" s="174"/>
      <c r="DV390" s="174"/>
      <c r="DW390" s="200"/>
      <c r="DX390" s="428"/>
      <c r="DY390" s="155"/>
      <c r="DZ390" s="155"/>
      <c r="EA390" s="155"/>
      <c r="EB390" s="173"/>
      <c r="EC390" s="155"/>
      <c r="ED390" s="155"/>
      <c r="EE390" s="155"/>
      <c r="EF390" s="423"/>
      <c r="EG390" s="155"/>
      <c r="EH390" s="155"/>
      <c r="EI390" s="155"/>
      <c r="EJ390" s="267"/>
      <c r="EK390" s="155"/>
      <c r="EL390" s="155"/>
      <c r="EM390" s="155"/>
      <c r="EN390" s="428"/>
    </row>
    <row r="391" spans="1:144">
      <c r="A391" s="360"/>
      <c r="B391" s="172"/>
      <c r="C391" s="360"/>
      <c r="D391" s="172"/>
      <c r="E391" s="408"/>
      <c r="F391" s="408"/>
      <c r="G391" s="509"/>
      <c r="H391" s="546"/>
      <c r="I391" s="546"/>
      <c r="J391" s="251"/>
      <c r="K391" s="251"/>
      <c r="L391" s="509"/>
      <c r="M391" s="509"/>
      <c r="N391" s="509"/>
      <c r="O391" s="547"/>
      <c r="P391" s="200"/>
      <c r="Q391" s="174"/>
      <c r="R391" s="390"/>
      <c r="S391" s="510"/>
      <c r="T391" s="200"/>
      <c r="U391" s="174"/>
      <c r="V391" s="174"/>
      <c r="W391" s="510"/>
      <c r="X391" s="174"/>
      <c r="Y391" s="174"/>
      <c r="Z391" s="174"/>
      <c r="AA391" s="510"/>
      <c r="AB391" s="200"/>
      <c r="AC391" s="174"/>
      <c r="AD391" s="390"/>
      <c r="AE391" s="510"/>
      <c r="AF391" s="200"/>
      <c r="AG391" s="174"/>
      <c r="AH391" s="174"/>
      <c r="AI391" s="200"/>
      <c r="AJ391" s="548"/>
      <c r="AK391" s="200"/>
      <c r="AL391" s="174"/>
      <c r="AM391" s="390"/>
      <c r="AN391" s="510"/>
      <c r="AO391" s="200"/>
      <c r="AP391" s="174"/>
      <c r="AQ391" s="510"/>
      <c r="AR391" s="200"/>
      <c r="AS391" s="174"/>
      <c r="AT391" s="510"/>
      <c r="AU391" s="200"/>
      <c r="AV391" s="174"/>
      <c r="AW391" s="510"/>
      <c r="AX391" s="200"/>
      <c r="AY391" s="174"/>
      <c r="AZ391" s="510"/>
      <c r="BA391" s="174"/>
      <c r="BB391" s="174"/>
      <c r="BC391" s="174"/>
      <c r="BD391" s="174"/>
      <c r="BE391" s="174"/>
      <c r="BF391" s="510"/>
      <c r="BG391" s="174"/>
      <c r="BH391" s="174"/>
      <c r="BI391" s="174"/>
      <c r="BJ391" s="200"/>
      <c r="BK391" s="174"/>
      <c r="BL391" s="510"/>
      <c r="BM391" s="174"/>
      <c r="BN391" s="174"/>
      <c r="BO391" s="510"/>
      <c r="BP391" s="200"/>
      <c r="BQ391" s="447"/>
      <c r="BR391" s="510"/>
      <c r="BS391" s="174"/>
      <c r="BT391" s="174"/>
      <c r="BU391" s="510"/>
      <c r="BV391" s="200"/>
      <c r="BW391" s="174"/>
      <c r="BX391" s="510"/>
      <c r="BY391" s="174"/>
      <c r="BZ391" s="174"/>
      <c r="CA391" s="510"/>
      <c r="CB391" s="200"/>
      <c r="CC391" s="174"/>
      <c r="CD391" s="510"/>
      <c r="CE391" s="174"/>
      <c r="CF391" s="174"/>
      <c r="CG391" s="510"/>
      <c r="CH391" s="174"/>
      <c r="CI391" s="174"/>
      <c r="CJ391" s="174"/>
      <c r="CK391" s="174"/>
      <c r="CL391" s="174"/>
      <c r="CM391" s="510"/>
      <c r="CN391" s="174"/>
      <c r="CO391" s="549"/>
      <c r="CP391" s="510"/>
      <c r="CQ391" s="200"/>
      <c r="CR391" s="550"/>
      <c r="CS391" s="510"/>
      <c r="CT391" s="390"/>
      <c r="CU391" s="331"/>
      <c r="CV391" s="428"/>
      <c r="CW391" s="155"/>
      <c r="CX391" s="155"/>
      <c r="CY391" s="267"/>
      <c r="CZ391" s="323"/>
      <c r="DA391" s="323"/>
      <c r="DB391" s="423"/>
      <c r="DC391" s="155"/>
      <c r="DD391" s="155"/>
      <c r="DE391" s="267"/>
      <c r="DF391" s="323"/>
      <c r="DG391" s="323"/>
      <c r="DH391" s="428"/>
      <c r="DI391" s="155"/>
      <c r="DJ391" s="155"/>
      <c r="DK391" s="222"/>
      <c r="DL391" s="267"/>
      <c r="DM391" s="155"/>
      <c r="DN391" s="155"/>
      <c r="DO391" s="155"/>
      <c r="DP391" s="423"/>
      <c r="DQ391" s="155"/>
      <c r="DR391" s="155"/>
      <c r="DS391" s="222"/>
      <c r="DT391" s="267"/>
      <c r="DU391" s="174"/>
      <c r="DV391" s="174"/>
      <c r="DW391" s="200"/>
      <c r="DX391" s="428"/>
      <c r="DY391" s="155"/>
      <c r="DZ391" s="155"/>
      <c r="EA391" s="155"/>
      <c r="EB391" s="173"/>
      <c r="EC391" s="155"/>
      <c r="ED391" s="155"/>
      <c r="EE391" s="155"/>
      <c r="EF391" s="423"/>
      <c r="EG391" s="155"/>
      <c r="EH391" s="155"/>
      <c r="EI391" s="155"/>
      <c r="EJ391" s="267"/>
      <c r="EK391" s="155"/>
      <c r="EL391" s="155"/>
      <c r="EM391" s="155"/>
      <c r="EN391" s="428"/>
    </row>
    <row r="392" spans="1:144">
      <c r="A392" s="360"/>
      <c r="B392" s="172"/>
      <c r="C392" s="360"/>
      <c r="D392" s="172"/>
      <c r="E392" s="408"/>
      <c r="F392" s="408"/>
      <c r="G392" s="509"/>
      <c r="H392" s="546"/>
      <c r="I392" s="546"/>
      <c r="J392" s="251"/>
      <c r="K392" s="251"/>
      <c r="L392" s="509"/>
      <c r="M392" s="509"/>
      <c r="N392" s="509"/>
      <c r="O392" s="547"/>
      <c r="P392" s="200"/>
      <c r="Q392" s="174"/>
      <c r="R392" s="390"/>
      <c r="S392" s="510"/>
      <c r="T392" s="200"/>
      <c r="U392" s="174"/>
      <c r="V392" s="174"/>
      <c r="W392" s="510"/>
      <c r="X392" s="174"/>
      <c r="Y392" s="174"/>
      <c r="Z392" s="174"/>
      <c r="AA392" s="510"/>
      <c r="AB392" s="200"/>
      <c r="AC392" s="174"/>
      <c r="AD392" s="390"/>
      <c r="AE392" s="510"/>
      <c r="AF392" s="200"/>
      <c r="AG392" s="174"/>
      <c r="AH392" s="174"/>
      <c r="AI392" s="200"/>
      <c r="AJ392" s="548"/>
      <c r="AK392" s="200"/>
      <c r="AL392" s="174"/>
      <c r="AM392" s="390"/>
      <c r="AN392" s="510"/>
      <c r="AO392" s="200"/>
      <c r="AP392" s="174"/>
      <c r="AQ392" s="510"/>
      <c r="AR392" s="200"/>
      <c r="AS392" s="174"/>
      <c r="AT392" s="510"/>
      <c r="AU392" s="200"/>
      <c r="AV392" s="174"/>
      <c r="AW392" s="510"/>
      <c r="AX392" s="200"/>
      <c r="AY392" s="174"/>
      <c r="AZ392" s="510"/>
      <c r="BA392" s="174"/>
      <c r="BB392" s="174"/>
      <c r="BC392" s="174"/>
      <c r="BD392" s="174"/>
      <c r="BE392" s="174"/>
      <c r="BF392" s="510"/>
      <c r="BG392" s="174"/>
      <c r="BH392" s="174"/>
      <c r="BI392" s="174"/>
      <c r="BJ392" s="200"/>
      <c r="BK392" s="174"/>
      <c r="BL392" s="510"/>
      <c r="BM392" s="174"/>
      <c r="BN392" s="174"/>
      <c r="BO392" s="510"/>
      <c r="BP392" s="200"/>
      <c r="BQ392" s="447"/>
      <c r="BR392" s="510"/>
      <c r="BS392" s="174"/>
      <c r="BT392" s="174"/>
      <c r="BU392" s="510"/>
      <c r="BV392" s="200"/>
      <c r="BW392" s="174"/>
      <c r="BX392" s="510"/>
      <c r="BY392" s="174"/>
      <c r="BZ392" s="174"/>
      <c r="CA392" s="510"/>
      <c r="CB392" s="200"/>
      <c r="CC392" s="174"/>
      <c r="CD392" s="510"/>
      <c r="CE392" s="174"/>
      <c r="CF392" s="174"/>
      <c r="CG392" s="510"/>
      <c r="CH392" s="174"/>
      <c r="CI392" s="174"/>
      <c r="CJ392" s="174"/>
      <c r="CK392" s="174"/>
      <c r="CL392" s="174"/>
      <c r="CM392" s="510"/>
      <c r="CN392" s="174"/>
      <c r="CO392" s="549"/>
      <c r="CP392" s="510"/>
      <c r="CQ392" s="200"/>
      <c r="CR392" s="550"/>
      <c r="CS392" s="510"/>
      <c r="CT392" s="390"/>
      <c r="CU392" s="331"/>
      <c r="CV392" s="428"/>
      <c r="CW392" s="155"/>
      <c r="CX392" s="155"/>
      <c r="CY392" s="267"/>
      <c r="CZ392" s="323"/>
      <c r="DA392" s="323"/>
      <c r="DB392" s="423"/>
      <c r="DC392" s="155"/>
      <c r="DD392" s="155"/>
      <c r="DE392" s="267"/>
      <c r="DF392" s="323"/>
      <c r="DG392" s="323"/>
      <c r="DH392" s="428"/>
      <c r="DI392" s="155"/>
      <c r="DJ392" s="155"/>
      <c r="DK392" s="222"/>
      <c r="DL392" s="267"/>
      <c r="DM392" s="155"/>
      <c r="DN392" s="155"/>
      <c r="DO392" s="155"/>
      <c r="DP392" s="423"/>
      <c r="DQ392" s="155"/>
      <c r="DR392" s="155"/>
      <c r="DS392" s="222"/>
      <c r="DT392" s="267"/>
      <c r="DU392" s="174"/>
      <c r="DV392" s="174"/>
      <c r="DW392" s="200"/>
      <c r="DX392" s="428"/>
      <c r="DY392" s="155"/>
      <c r="DZ392" s="155"/>
      <c r="EA392" s="155"/>
      <c r="EB392" s="173"/>
      <c r="EC392" s="155"/>
      <c r="ED392" s="155"/>
      <c r="EE392" s="155"/>
      <c r="EF392" s="423"/>
      <c r="EG392" s="155"/>
      <c r="EH392" s="155"/>
      <c r="EI392" s="155"/>
      <c r="EJ392" s="267"/>
      <c r="EK392" s="155"/>
      <c r="EL392" s="155"/>
      <c r="EM392" s="155"/>
      <c r="EN392" s="428"/>
    </row>
    <row r="393" spans="1:144">
      <c r="A393" s="360"/>
      <c r="B393" s="172"/>
      <c r="C393" s="360"/>
      <c r="D393" s="172"/>
      <c r="E393" s="408"/>
      <c r="F393" s="408"/>
      <c r="G393" s="509"/>
      <c r="H393" s="546"/>
      <c r="I393" s="546"/>
      <c r="J393" s="251"/>
      <c r="K393" s="251"/>
      <c r="L393" s="509"/>
      <c r="M393" s="509"/>
      <c r="N393" s="509"/>
      <c r="O393" s="547"/>
      <c r="P393" s="200"/>
      <c r="Q393" s="174"/>
      <c r="R393" s="390"/>
      <c r="S393" s="510"/>
      <c r="T393" s="200"/>
      <c r="U393" s="174"/>
      <c r="V393" s="174"/>
      <c r="W393" s="510"/>
      <c r="X393" s="174"/>
      <c r="Y393" s="174"/>
      <c r="Z393" s="174"/>
      <c r="AA393" s="510"/>
      <c r="AB393" s="200"/>
      <c r="AC393" s="174"/>
      <c r="AD393" s="390"/>
      <c r="AE393" s="510"/>
      <c r="AF393" s="200"/>
      <c r="AG393" s="174"/>
      <c r="AH393" s="174"/>
      <c r="AI393" s="200"/>
      <c r="AJ393" s="548"/>
      <c r="AK393" s="200"/>
      <c r="AL393" s="174"/>
      <c r="AM393" s="390"/>
      <c r="AN393" s="510"/>
      <c r="AO393" s="200"/>
      <c r="AP393" s="174"/>
      <c r="AQ393" s="510"/>
      <c r="AR393" s="200"/>
      <c r="AS393" s="174"/>
      <c r="AT393" s="510"/>
      <c r="AU393" s="200"/>
      <c r="AV393" s="174"/>
      <c r="AW393" s="510"/>
      <c r="AX393" s="200"/>
      <c r="AY393" s="174"/>
      <c r="AZ393" s="510"/>
      <c r="BA393" s="174"/>
      <c r="BB393" s="174"/>
      <c r="BC393" s="174"/>
      <c r="BD393" s="174"/>
      <c r="BE393" s="174"/>
      <c r="BF393" s="510"/>
      <c r="BG393" s="174"/>
      <c r="BH393" s="174"/>
      <c r="BI393" s="174"/>
      <c r="BJ393" s="200"/>
      <c r="BK393" s="174"/>
      <c r="BL393" s="510"/>
      <c r="BM393" s="174"/>
      <c r="BN393" s="174"/>
      <c r="BO393" s="510"/>
      <c r="BP393" s="200"/>
      <c r="BQ393" s="447"/>
      <c r="BR393" s="510"/>
      <c r="BS393" s="174"/>
      <c r="BT393" s="174"/>
      <c r="BU393" s="510"/>
      <c r="BV393" s="200"/>
      <c r="BW393" s="174"/>
      <c r="BX393" s="510"/>
      <c r="BY393" s="174"/>
      <c r="BZ393" s="174"/>
      <c r="CA393" s="510"/>
      <c r="CB393" s="200"/>
      <c r="CC393" s="174"/>
      <c r="CD393" s="510"/>
      <c r="CE393" s="174"/>
      <c r="CF393" s="174"/>
      <c r="CG393" s="510"/>
      <c r="CH393" s="174"/>
      <c r="CI393" s="174"/>
      <c r="CJ393" s="174"/>
      <c r="CK393" s="174"/>
      <c r="CL393" s="174"/>
      <c r="CM393" s="510"/>
      <c r="CN393" s="174"/>
      <c r="CO393" s="549"/>
      <c r="CP393" s="510"/>
      <c r="CQ393" s="200"/>
      <c r="CR393" s="550"/>
      <c r="CS393" s="510"/>
      <c r="CT393" s="390"/>
      <c r="CU393" s="331"/>
      <c r="CV393" s="428"/>
      <c r="CW393" s="155"/>
      <c r="CX393" s="155"/>
      <c r="CY393" s="267"/>
      <c r="CZ393" s="323"/>
      <c r="DA393" s="323"/>
      <c r="DB393" s="423"/>
      <c r="DC393" s="155"/>
      <c r="DD393" s="155"/>
      <c r="DE393" s="267"/>
      <c r="DF393" s="323"/>
      <c r="DG393" s="323"/>
      <c r="DH393" s="428"/>
      <c r="DI393" s="155"/>
      <c r="DJ393" s="155"/>
      <c r="DK393" s="222"/>
      <c r="DL393" s="267"/>
      <c r="DM393" s="155"/>
      <c r="DN393" s="155"/>
      <c r="DO393" s="155"/>
      <c r="DP393" s="423"/>
      <c r="DQ393" s="155"/>
      <c r="DR393" s="155"/>
      <c r="DS393" s="222"/>
      <c r="DT393" s="267"/>
      <c r="DU393" s="174"/>
      <c r="DV393" s="174"/>
      <c r="DW393" s="200"/>
      <c r="DX393" s="428"/>
      <c r="DY393" s="155"/>
      <c r="DZ393" s="155"/>
      <c r="EA393" s="155"/>
      <c r="EB393" s="173"/>
      <c r="EC393" s="155"/>
      <c r="ED393" s="155"/>
      <c r="EE393" s="155"/>
      <c r="EF393" s="423"/>
      <c r="EG393" s="155"/>
      <c r="EH393" s="155"/>
      <c r="EI393" s="155"/>
      <c r="EJ393" s="267"/>
      <c r="EK393" s="155"/>
      <c r="EL393" s="155"/>
      <c r="EM393" s="155"/>
      <c r="EN393" s="428"/>
    </row>
    <row r="394" spans="1:144">
      <c r="A394" s="360"/>
      <c r="B394" s="172"/>
      <c r="C394" s="360"/>
      <c r="D394" s="172"/>
      <c r="E394" s="408"/>
      <c r="F394" s="408"/>
      <c r="G394" s="509"/>
      <c r="H394" s="546"/>
      <c r="I394" s="546"/>
      <c r="J394" s="251"/>
      <c r="K394" s="251"/>
      <c r="L394" s="509"/>
      <c r="M394" s="509"/>
      <c r="N394" s="509"/>
      <c r="O394" s="547"/>
      <c r="P394" s="200"/>
      <c r="Q394" s="174"/>
      <c r="R394" s="390"/>
      <c r="S394" s="510"/>
      <c r="T394" s="200"/>
      <c r="U394" s="174"/>
      <c r="V394" s="174"/>
      <c r="W394" s="510"/>
      <c r="X394" s="174"/>
      <c r="Y394" s="174"/>
      <c r="Z394" s="174"/>
      <c r="AA394" s="510"/>
      <c r="AB394" s="200"/>
      <c r="AC394" s="174"/>
      <c r="AD394" s="390"/>
      <c r="AE394" s="510"/>
      <c r="AF394" s="200"/>
      <c r="AG394" s="174"/>
      <c r="AH394" s="174"/>
      <c r="AI394" s="200"/>
      <c r="AJ394" s="548"/>
      <c r="AK394" s="200"/>
      <c r="AL394" s="174"/>
      <c r="AM394" s="390"/>
      <c r="AN394" s="510"/>
      <c r="AO394" s="200"/>
      <c r="AP394" s="174"/>
      <c r="AQ394" s="510"/>
      <c r="AR394" s="200"/>
      <c r="AS394" s="174"/>
      <c r="AT394" s="510"/>
      <c r="AU394" s="200"/>
      <c r="AV394" s="174"/>
      <c r="AW394" s="510"/>
      <c r="AX394" s="200"/>
      <c r="AY394" s="174"/>
      <c r="AZ394" s="510"/>
      <c r="BA394" s="174"/>
      <c r="BB394" s="174"/>
      <c r="BC394" s="174"/>
      <c r="BD394" s="174"/>
      <c r="BE394" s="174"/>
      <c r="BF394" s="510"/>
      <c r="BG394" s="174"/>
      <c r="BH394" s="174"/>
      <c r="BI394" s="174"/>
      <c r="BJ394" s="200"/>
      <c r="BK394" s="174"/>
      <c r="BL394" s="510"/>
      <c r="BM394" s="174"/>
      <c r="BN394" s="174"/>
      <c r="BO394" s="510"/>
      <c r="BP394" s="200"/>
      <c r="BQ394" s="447"/>
      <c r="BR394" s="510"/>
      <c r="BS394" s="174"/>
      <c r="BT394" s="174"/>
      <c r="BU394" s="510"/>
      <c r="BV394" s="200"/>
      <c r="BW394" s="174"/>
      <c r="BX394" s="510"/>
      <c r="BY394" s="174"/>
      <c r="BZ394" s="174"/>
      <c r="CA394" s="510"/>
      <c r="CB394" s="200"/>
      <c r="CC394" s="174"/>
      <c r="CD394" s="510"/>
      <c r="CE394" s="174"/>
      <c r="CF394" s="174"/>
      <c r="CG394" s="510"/>
      <c r="CH394" s="174"/>
      <c r="CI394" s="174"/>
      <c r="CJ394" s="174"/>
      <c r="CK394" s="174"/>
      <c r="CL394" s="174"/>
      <c r="CM394" s="510"/>
      <c r="CN394" s="174"/>
      <c r="CO394" s="549"/>
      <c r="CP394" s="510"/>
      <c r="CQ394" s="200"/>
      <c r="CR394" s="550"/>
      <c r="CS394" s="510"/>
      <c r="CT394" s="390"/>
      <c r="CU394" s="331"/>
      <c r="CV394" s="428"/>
      <c r="CW394" s="155"/>
      <c r="CX394" s="155"/>
      <c r="CY394" s="267"/>
      <c r="CZ394" s="323"/>
      <c r="DA394" s="323"/>
      <c r="DB394" s="423"/>
      <c r="DC394" s="155"/>
      <c r="DD394" s="155"/>
      <c r="DE394" s="267"/>
      <c r="DF394" s="323"/>
      <c r="DG394" s="323"/>
      <c r="DH394" s="428"/>
      <c r="DI394" s="155"/>
      <c r="DJ394" s="155"/>
      <c r="DK394" s="222"/>
      <c r="DL394" s="267"/>
      <c r="DM394" s="155"/>
      <c r="DN394" s="155"/>
      <c r="DO394" s="155"/>
      <c r="DP394" s="423"/>
      <c r="DQ394" s="155"/>
      <c r="DR394" s="155"/>
      <c r="DS394" s="222"/>
      <c r="DT394" s="267"/>
      <c r="DU394" s="174"/>
      <c r="DV394" s="174"/>
      <c r="DW394" s="200"/>
      <c r="DX394" s="428"/>
      <c r="DY394" s="155"/>
      <c r="DZ394" s="155"/>
      <c r="EA394" s="155"/>
      <c r="EB394" s="173"/>
      <c r="EC394" s="155"/>
      <c r="ED394" s="155"/>
      <c r="EE394" s="155"/>
      <c r="EF394" s="423"/>
      <c r="EG394" s="155"/>
      <c r="EH394" s="155"/>
      <c r="EI394" s="155"/>
      <c r="EJ394" s="267"/>
      <c r="EK394" s="155"/>
      <c r="EL394" s="155"/>
      <c r="EM394" s="155"/>
      <c r="EN394" s="428"/>
    </row>
    <row r="395" spans="1:144">
      <c r="A395" s="360"/>
      <c r="B395" s="172"/>
      <c r="C395" s="360"/>
      <c r="D395" s="172"/>
      <c r="E395" s="408"/>
      <c r="F395" s="408"/>
      <c r="G395" s="509"/>
      <c r="H395" s="546"/>
      <c r="I395" s="546"/>
      <c r="J395" s="251"/>
      <c r="K395" s="251"/>
      <c r="L395" s="509"/>
      <c r="M395" s="509"/>
      <c r="N395" s="509"/>
      <c r="O395" s="547"/>
      <c r="P395" s="200"/>
      <c r="Q395" s="174"/>
      <c r="R395" s="390"/>
      <c r="S395" s="510"/>
      <c r="T395" s="200"/>
      <c r="U395" s="174"/>
      <c r="V395" s="174"/>
      <c r="W395" s="510"/>
      <c r="X395" s="174"/>
      <c r="Y395" s="174"/>
      <c r="Z395" s="174"/>
      <c r="AA395" s="510"/>
      <c r="AB395" s="200"/>
      <c r="AC395" s="174"/>
      <c r="AD395" s="390"/>
      <c r="AE395" s="510"/>
      <c r="AF395" s="200"/>
      <c r="AG395" s="174"/>
      <c r="AH395" s="174"/>
      <c r="AI395" s="200"/>
      <c r="AJ395" s="548"/>
      <c r="AK395" s="200"/>
      <c r="AL395" s="174"/>
      <c r="AM395" s="390"/>
      <c r="AN395" s="510"/>
      <c r="AO395" s="200"/>
      <c r="AP395" s="174"/>
      <c r="AQ395" s="510"/>
      <c r="AR395" s="200"/>
      <c r="AS395" s="174"/>
      <c r="AT395" s="510"/>
      <c r="AU395" s="200"/>
      <c r="AV395" s="174"/>
      <c r="AW395" s="510"/>
      <c r="AX395" s="200"/>
      <c r="AY395" s="174"/>
      <c r="AZ395" s="510"/>
      <c r="BA395" s="174"/>
      <c r="BB395" s="174"/>
      <c r="BC395" s="174"/>
      <c r="BD395" s="174"/>
      <c r="BE395" s="174"/>
      <c r="BF395" s="510"/>
      <c r="BG395" s="174"/>
      <c r="BH395" s="174"/>
      <c r="BI395" s="174"/>
      <c r="BJ395" s="200"/>
      <c r="BK395" s="174"/>
      <c r="BL395" s="510"/>
      <c r="BM395" s="174"/>
      <c r="BN395" s="174"/>
      <c r="BO395" s="510"/>
      <c r="BP395" s="200"/>
      <c r="BQ395" s="447"/>
      <c r="BR395" s="510"/>
      <c r="BS395" s="174"/>
      <c r="BT395" s="174"/>
      <c r="BU395" s="510"/>
      <c r="BV395" s="200"/>
      <c r="BW395" s="174"/>
      <c r="BX395" s="510"/>
      <c r="BY395" s="174"/>
      <c r="BZ395" s="174"/>
      <c r="CA395" s="510"/>
      <c r="CB395" s="200"/>
      <c r="CC395" s="174"/>
      <c r="CD395" s="510"/>
      <c r="CE395" s="174"/>
      <c r="CF395" s="174"/>
      <c r="CG395" s="510"/>
      <c r="CH395" s="174"/>
      <c r="CI395" s="174"/>
      <c r="CJ395" s="174"/>
      <c r="CK395" s="174"/>
      <c r="CL395" s="174"/>
      <c r="CM395" s="510"/>
      <c r="CN395" s="174"/>
      <c r="CO395" s="549"/>
      <c r="CP395" s="510"/>
      <c r="CQ395" s="200"/>
      <c r="CR395" s="550"/>
      <c r="CS395" s="510"/>
      <c r="CT395" s="390"/>
      <c r="CU395" s="331"/>
      <c r="CV395" s="428"/>
      <c r="CW395" s="155"/>
      <c r="CX395" s="155"/>
      <c r="CY395" s="267"/>
      <c r="CZ395" s="323"/>
      <c r="DA395" s="323"/>
      <c r="DB395" s="423"/>
      <c r="DC395" s="155"/>
      <c r="DD395" s="155"/>
      <c r="DE395" s="267"/>
      <c r="DF395" s="323"/>
      <c r="DG395" s="323"/>
      <c r="DH395" s="428"/>
      <c r="DI395" s="155"/>
      <c r="DJ395" s="155"/>
      <c r="DK395" s="222"/>
      <c r="DL395" s="267"/>
      <c r="DM395" s="155"/>
      <c r="DN395" s="155"/>
      <c r="DO395" s="155"/>
      <c r="DP395" s="423"/>
      <c r="DQ395" s="155"/>
      <c r="DR395" s="155"/>
      <c r="DS395" s="222"/>
      <c r="DT395" s="267"/>
      <c r="DU395" s="174"/>
      <c r="DV395" s="174"/>
      <c r="DW395" s="200"/>
      <c r="DX395" s="428"/>
      <c r="DY395" s="155"/>
      <c r="DZ395" s="155"/>
      <c r="EA395" s="155"/>
      <c r="EB395" s="173"/>
      <c r="EC395" s="155"/>
      <c r="ED395" s="155"/>
      <c r="EE395" s="155"/>
      <c r="EF395" s="423"/>
      <c r="EG395" s="155"/>
      <c r="EH395" s="155"/>
      <c r="EI395" s="155"/>
      <c r="EJ395" s="267"/>
      <c r="EK395" s="155"/>
      <c r="EL395" s="155"/>
      <c r="EM395" s="155"/>
      <c r="EN395" s="428"/>
    </row>
    <row r="396" spans="1:144">
      <c r="A396" s="360"/>
      <c r="B396" s="172"/>
      <c r="C396" s="360"/>
      <c r="D396" s="172"/>
      <c r="E396" s="408"/>
      <c r="F396" s="408"/>
      <c r="G396" s="509"/>
      <c r="H396" s="546"/>
      <c r="I396" s="546"/>
      <c r="J396" s="251"/>
      <c r="K396" s="251"/>
      <c r="L396" s="509"/>
      <c r="M396" s="509"/>
      <c r="N396" s="509"/>
      <c r="O396" s="547"/>
      <c r="P396" s="200"/>
      <c r="Q396" s="174"/>
      <c r="R396" s="390"/>
      <c r="S396" s="510"/>
      <c r="T396" s="200"/>
      <c r="U396" s="174"/>
      <c r="V396" s="174"/>
      <c r="W396" s="510"/>
      <c r="X396" s="174"/>
      <c r="Y396" s="174"/>
      <c r="Z396" s="174"/>
      <c r="AA396" s="510"/>
      <c r="AB396" s="200"/>
      <c r="AC396" s="174"/>
      <c r="AD396" s="390"/>
      <c r="AE396" s="510"/>
      <c r="AF396" s="200"/>
      <c r="AG396" s="174"/>
      <c r="AH396" s="174"/>
      <c r="AI396" s="200"/>
      <c r="AJ396" s="548"/>
      <c r="AK396" s="200"/>
      <c r="AL396" s="174"/>
      <c r="AM396" s="390"/>
      <c r="AN396" s="510"/>
      <c r="AO396" s="200"/>
      <c r="AP396" s="174"/>
      <c r="AQ396" s="510"/>
      <c r="AR396" s="200"/>
      <c r="AS396" s="174"/>
      <c r="AT396" s="510"/>
      <c r="AU396" s="200"/>
      <c r="AV396" s="174"/>
      <c r="AW396" s="510"/>
      <c r="AX396" s="200"/>
      <c r="AY396" s="174"/>
      <c r="AZ396" s="510"/>
      <c r="BA396" s="174"/>
      <c r="BB396" s="174"/>
      <c r="BC396" s="174"/>
      <c r="BD396" s="174"/>
      <c r="BE396" s="174"/>
      <c r="BF396" s="510"/>
      <c r="BG396" s="174"/>
      <c r="BH396" s="174"/>
      <c r="BI396" s="174"/>
      <c r="BJ396" s="200"/>
      <c r="BK396" s="174"/>
      <c r="BL396" s="510"/>
      <c r="BM396" s="174"/>
      <c r="BN396" s="174"/>
      <c r="BO396" s="510"/>
      <c r="BP396" s="200"/>
      <c r="BQ396" s="447"/>
      <c r="BR396" s="510"/>
      <c r="BS396" s="174"/>
      <c r="BT396" s="174"/>
      <c r="BU396" s="510"/>
      <c r="BV396" s="200"/>
      <c r="BW396" s="174"/>
      <c r="BX396" s="510"/>
      <c r="BY396" s="174"/>
      <c r="BZ396" s="174"/>
      <c r="CA396" s="510"/>
      <c r="CB396" s="200"/>
      <c r="CC396" s="174"/>
      <c r="CD396" s="510"/>
      <c r="CE396" s="174"/>
      <c r="CF396" s="174"/>
      <c r="CG396" s="510"/>
      <c r="CH396" s="174"/>
      <c r="CI396" s="174"/>
      <c r="CJ396" s="174"/>
      <c r="CK396" s="174"/>
      <c r="CL396" s="174"/>
      <c r="CM396" s="510"/>
      <c r="CN396" s="174"/>
      <c r="CO396" s="549"/>
      <c r="CP396" s="510"/>
      <c r="CQ396" s="200"/>
      <c r="CR396" s="550"/>
      <c r="CS396" s="510"/>
      <c r="CT396" s="390"/>
      <c r="CU396" s="331"/>
      <c r="CV396" s="428"/>
      <c r="CW396" s="155"/>
      <c r="CX396" s="155"/>
      <c r="CY396" s="267"/>
      <c r="CZ396" s="323"/>
      <c r="DA396" s="323"/>
      <c r="DB396" s="423"/>
      <c r="DC396" s="155"/>
      <c r="DD396" s="155"/>
      <c r="DE396" s="267"/>
      <c r="DF396" s="323"/>
      <c r="DG396" s="323"/>
      <c r="DH396" s="428"/>
      <c r="DI396" s="155"/>
      <c r="DJ396" s="155"/>
      <c r="DK396" s="222"/>
      <c r="DL396" s="267"/>
      <c r="DM396" s="155"/>
      <c r="DN396" s="155"/>
      <c r="DO396" s="155"/>
      <c r="DP396" s="423"/>
      <c r="DQ396" s="155"/>
      <c r="DR396" s="155"/>
      <c r="DS396" s="222"/>
      <c r="DT396" s="267"/>
      <c r="DU396" s="174"/>
      <c r="DV396" s="174"/>
      <c r="DW396" s="200"/>
      <c r="DX396" s="428"/>
      <c r="DY396" s="155"/>
      <c r="DZ396" s="155"/>
      <c r="EA396" s="155"/>
      <c r="EB396" s="173"/>
      <c r="EC396" s="155"/>
      <c r="ED396" s="155"/>
      <c r="EE396" s="155"/>
      <c r="EF396" s="423"/>
      <c r="EG396" s="155"/>
      <c r="EH396" s="155"/>
      <c r="EI396" s="155"/>
      <c r="EJ396" s="267"/>
      <c r="EK396" s="155"/>
      <c r="EL396" s="155"/>
      <c r="EM396" s="155"/>
      <c r="EN396" s="428"/>
    </row>
    <row r="397" spans="1:144">
      <c r="A397" s="360"/>
      <c r="B397" s="172"/>
      <c r="C397" s="360"/>
      <c r="D397" s="172"/>
      <c r="E397" s="408"/>
      <c r="F397" s="408"/>
      <c r="G397" s="509"/>
      <c r="H397" s="546"/>
      <c r="I397" s="546"/>
      <c r="J397" s="251"/>
      <c r="K397" s="251"/>
      <c r="L397" s="509"/>
      <c r="M397" s="509"/>
      <c r="N397" s="509"/>
      <c r="O397" s="547"/>
      <c r="P397" s="200"/>
      <c r="Q397" s="174"/>
      <c r="R397" s="390"/>
      <c r="S397" s="510"/>
      <c r="T397" s="200"/>
      <c r="U397" s="174"/>
      <c r="V397" s="174"/>
      <c r="W397" s="510"/>
      <c r="X397" s="174"/>
      <c r="Y397" s="174"/>
      <c r="Z397" s="174"/>
      <c r="AA397" s="510"/>
      <c r="AB397" s="200"/>
      <c r="AC397" s="174"/>
      <c r="AD397" s="390"/>
      <c r="AE397" s="510"/>
      <c r="AF397" s="200"/>
      <c r="AG397" s="174"/>
      <c r="AH397" s="174"/>
      <c r="AI397" s="200"/>
      <c r="AJ397" s="548"/>
      <c r="AK397" s="200"/>
      <c r="AL397" s="174"/>
      <c r="AM397" s="390"/>
      <c r="AN397" s="510"/>
      <c r="AO397" s="200"/>
      <c r="AP397" s="174"/>
      <c r="AQ397" s="510"/>
      <c r="AR397" s="200"/>
      <c r="AS397" s="174"/>
      <c r="AT397" s="510"/>
      <c r="AU397" s="200"/>
      <c r="AV397" s="174"/>
      <c r="AW397" s="510"/>
      <c r="AX397" s="200"/>
      <c r="AY397" s="174"/>
      <c r="AZ397" s="510"/>
      <c r="BA397" s="174"/>
      <c r="BB397" s="174"/>
      <c r="BC397" s="174"/>
      <c r="BD397" s="174"/>
      <c r="BE397" s="174"/>
      <c r="BF397" s="510"/>
      <c r="BG397" s="174"/>
      <c r="BH397" s="174"/>
      <c r="BI397" s="174"/>
      <c r="BJ397" s="200"/>
      <c r="BK397" s="174"/>
      <c r="BL397" s="510"/>
      <c r="BM397" s="174"/>
      <c r="BN397" s="174"/>
      <c r="BO397" s="510"/>
      <c r="BP397" s="200"/>
      <c r="BQ397" s="447"/>
      <c r="BR397" s="510"/>
      <c r="BS397" s="174"/>
      <c r="BT397" s="174"/>
      <c r="BU397" s="510"/>
      <c r="BV397" s="200"/>
      <c r="BW397" s="174"/>
      <c r="BX397" s="510"/>
      <c r="BY397" s="174"/>
      <c r="BZ397" s="174"/>
      <c r="CA397" s="510"/>
      <c r="CB397" s="200"/>
      <c r="CC397" s="174"/>
      <c r="CD397" s="510"/>
      <c r="CE397" s="174"/>
      <c r="CF397" s="174"/>
      <c r="CG397" s="510"/>
      <c r="CH397" s="174"/>
      <c r="CI397" s="174"/>
      <c r="CJ397" s="174"/>
      <c r="CK397" s="174"/>
      <c r="CL397" s="174"/>
      <c r="CM397" s="510"/>
      <c r="CN397" s="174"/>
      <c r="CO397" s="549"/>
      <c r="CP397" s="510"/>
      <c r="CQ397" s="200"/>
      <c r="CR397" s="550"/>
      <c r="CS397" s="510"/>
      <c r="CT397" s="390"/>
      <c r="CU397" s="331"/>
      <c r="CV397" s="428"/>
      <c r="CW397" s="155"/>
      <c r="CX397" s="155"/>
      <c r="CY397" s="267"/>
      <c r="CZ397" s="323"/>
      <c r="DA397" s="323"/>
      <c r="DB397" s="423"/>
      <c r="DC397" s="155"/>
      <c r="DD397" s="155"/>
      <c r="DE397" s="267"/>
      <c r="DF397" s="323"/>
      <c r="DG397" s="323"/>
      <c r="DH397" s="428"/>
      <c r="DI397" s="155"/>
      <c r="DJ397" s="155"/>
      <c r="DK397" s="222"/>
      <c r="DL397" s="267"/>
      <c r="DM397" s="155"/>
      <c r="DN397" s="155"/>
      <c r="DO397" s="155"/>
      <c r="DP397" s="423"/>
      <c r="DQ397" s="155"/>
      <c r="DR397" s="155"/>
      <c r="DS397" s="222"/>
      <c r="DT397" s="267"/>
      <c r="DU397" s="174"/>
      <c r="DV397" s="174"/>
      <c r="DW397" s="200"/>
      <c r="DX397" s="428"/>
      <c r="DY397" s="155"/>
      <c r="DZ397" s="155"/>
      <c r="EA397" s="155"/>
      <c r="EB397" s="173"/>
      <c r="EC397" s="155"/>
      <c r="ED397" s="155"/>
      <c r="EE397" s="155"/>
      <c r="EF397" s="423"/>
      <c r="EG397" s="155"/>
      <c r="EH397" s="155"/>
      <c r="EI397" s="155"/>
      <c r="EJ397" s="267"/>
      <c r="EK397" s="155"/>
      <c r="EL397" s="155"/>
      <c r="EM397" s="155"/>
      <c r="EN397" s="428"/>
    </row>
    <row r="398" spans="1:144">
      <c r="A398" s="360"/>
      <c r="B398" s="172"/>
      <c r="C398" s="360"/>
      <c r="D398" s="172"/>
      <c r="E398" s="408"/>
      <c r="F398" s="408"/>
      <c r="G398" s="509"/>
      <c r="H398" s="546"/>
      <c r="I398" s="546"/>
      <c r="J398" s="251"/>
      <c r="K398" s="251"/>
      <c r="L398" s="509"/>
      <c r="M398" s="509"/>
      <c r="N398" s="509"/>
      <c r="O398" s="547"/>
      <c r="P398" s="200"/>
      <c r="Q398" s="174"/>
      <c r="R398" s="390"/>
      <c r="S398" s="510"/>
      <c r="T398" s="200"/>
      <c r="U398" s="174"/>
      <c r="V398" s="174"/>
      <c r="W398" s="510"/>
      <c r="X398" s="174"/>
      <c r="Y398" s="174"/>
      <c r="Z398" s="174"/>
      <c r="AA398" s="510"/>
      <c r="AB398" s="200"/>
      <c r="AC398" s="174"/>
      <c r="AD398" s="390"/>
      <c r="AE398" s="510"/>
      <c r="AF398" s="200"/>
      <c r="AG398" s="174"/>
      <c r="AH398" s="174"/>
      <c r="AI398" s="200"/>
      <c r="AJ398" s="548"/>
      <c r="AK398" s="200"/>
      <c r="AL398" s="174"/>
      <c r="AM398" s="390"/>
      <c r="AN398" s="510"/>
      <c r="AO398" s="200"/>
      <c r="AP398" s="174"/>
      <c r="AQ398" s="510"/>
      <c r="AR398" s="200"/>
      <c r="AS398" s="174"/>
      <c r="AT398" s="510"/>
      <c r="AU398" s="200"/>
      <c r="AV398" s="174"/>
      <c r="AW398" s="510"/>
      <c r="AX398" s="200"/>
      <c r="AY398" s="174"/>
      <c r="AZ398" s="510"/>
      <c r="BA398" s="174"/>
      <c r="BB398" s="174"/>
      <c r="BC398" s="174"/>
      <c r="BD398" s="174"/>
      <c r="BE398" s="174"/>
      <c r="BF398" s="510"/>
      <c r="BG398" s="174"/>
      <c r="BH398" s="174"/>
      <c r="BI398" s="174"/>
      <c r="BJ398" s="200"/>
      <c r="BK398" s="174"/>
      <c r="BL398" s="510"/>
      <c r="BM398" s="174"/>
      <c r="BN398" s="174"/>
      <c r="BO398" s="510"/>
      <c r="BP398" s="200"/>
      <c r="BQ398" s="447"/>
      <c r="BR398" s="510"/>
      <c r="BS398" s="174"/>
      <c r="BT398" s="174"/>
      <c r="BU398" s="510"/>
      <c r="BV398" s="200"/>
      <c r="BW398" s="174"/>
      <c r="BX398" s="510"/>
      <c r="BY398" s="174"/>
      <c r="BZ398" s="174"/>
      <c r="CA398" s="510"/>
      <c r="CB398" s="200"/>
      <c r="CC398" s="174"/>
      <c r="CD398" s="510"/>
      <c r="CE398" s="174"/>
      <c r="CF398" s="174"/>
      <c r="CG398" s="510"/>
      <c r="CH398" s="174"/>
      <c r="CI398" s="174"/>
      <c r="CJ398" s="174"/>
      <c r="CK398" s="174"/>
      <c r="CL398" s="174"/>
      <c r="CM398" s="510"/>
      <c r="CN398" s="174"/>
      <c r="CO398" s="549"/>
      <c r="CP398" s="510"/>
      <c r="CQ398" s="200"/>
      <c r="CR398" s="550"/>
      <c r="CS398" s="510"/>
      <c r="CT398" s="390"/>
      <c r="CU398" s="331"/>
      <c r="CV398" s="428"/>
      <c r="CW398" s="155"/>
      <c r="CX398" s="155"/>
      <c r="CY398" s="267"/>
      <c r="CZ398" s="323"/>
      <c r="DA398" s="323"/>
      <c r="DB398" s="423"/>
      <c r="DC398" s="155"/>
      <c r="DD398" s="155"/>
      <c r="DE398" s="267"/>
      <c r="DF398" s="323"/>
      <c r="DG398" s="323"/>
      <c r="DH398" s="428"/>
      <c r="DI398" s="155"/>
      <c r="DJ398" s="155"/>
      <c r="DK398" s="222"/>
      <c r="DL398" s="267"/>
      <c r="DM398" s="155"/>
      <c r="DN398" s="155"/>
      <c r="DO398" s="155"/>
      <c r="DP398" s="423"/>
      <c r="DQ398" s="155"/>
      <c r="DR398" s="155"/>
      <c r="DS398" s="222"/>
      <c r="DT398" s="267"/>
      <c r="DU398" s="174"/>
      <c r="DV398" s="174"/>
      <c r="DW398" s="200"/>
      <c r="DX398" s="428"/>
      <c r="DY398" s="155"/>
      <c r="DZ398" s="155"/>
      <c r="EA398" s="155"/>
      <c r="EB398" s="173"/>
      <c r="EC398" s="155"/>
      <c r="ED398" s="155"/>
      <c r="EE398" s="155"/>
      <c r="EF398" s="423"/>
      <c r="EG398" s="155"/>
      <c r="EH398" s="155"/>
      <c r="EI398" s="155"/>
      <c r="EJ398" s="267"/>
      <c r="EK398" s="155"/>
      <c r="EL398" s="155"/>
      <c r="EM398" s="155"/>
      <c r="EN398" s="428"/>
    </row>
    <row r="399" spans="1:144">
      <c r="A399" s="360"/>
      <c r="B399" s="172"/>
      <c r="C399" s="360"/>
      <c r="D399" s="172"/>
      <c r="E399" s="408"/>
      <c r="F399" s="408"/>
      <c r="G399" s="509"/>
      <c r="H399" s="546"/>
      <c r="I399" s="546"/>
      <c r="J399" s="251"/>
      <c r="K399" s="251"/>
      <c r="L399" s="509"/>
      <c r="M399" s="509"/>
      <c r="N399" s="509"/>
      <c r="O399" s="547"/>
      <c r="P399" s="200"/>
      <c r="Q399" s="174"/>
      <c r="R399" s="390"/>
      <c r="S399" s="510"/>
      <c r="T399" s="200"/>
      <c r="U399" s="174"/>
      <c r="V399" s="174"/>
      <c r="W399" s="510"/>
      <c r="X399" s="174"/>
      <c r="Y399" s="174"/>
      <c r="Z399" s="174"/>
      <c r="AA399" s="510"/>
      <c r="AB399" s="200"/>
      <c r="AC399" s="174"/>
      <c r="AD399" s="390"/>
      <c r="AE399" s="510"/>
      <c r="AF399" s="200"/>
      <c r="AG399" s="174"/>
      <c r="AH399" s="174"/>
      <c r="AI399" s="200"/>
      <c r="AJ399" s="548"/>
      <c r="AK399" s="200"/>
      <c r="AL399" s="174"/>
      <c r="AM399" s="390"/>
      <c r="AN399" s="510"/>
      <c r="AO399" s="200"/>
      <c r="AP399" s="174"/>
      <c r="AQ399" s="510"/>
      <c r="AR399" s="200"/>
      <c r="AS399" s="174"/>
      <c r="AT399" s="510"/>
      <c r="AU399" s="200"/>
      <c r="AV399" s="174"/>
      <c r="AW399" s="510"/>
      <c r="AX399" s="200"/>
      <c r="AY399" s="174"/>
      <c r="AZ399" s="510"/>
      <c r="BA399" s="174"/>
      <c r="BB399" s="174"/>
      <c r="BC399" s="174"/>
      <c r="BD399" s="174"/>
      <c r="BE399" s="174"/>
      <c r="BF399" s="510"/>
      <c r="BG399" s="174"/>
      <c r="BH399" s="174"/>
      <c r="BI399" s="174"/>
      <c r="BJ399" s="200"/>
      <c r="BK399" s="174"/>
      <c r="BL399" s="510"/>
      <c r="BM399" s="174"/>
      <c r="BN399" s="174"/>
      <c r="BO399" s="510"/>
      <c r="BP399" s="200"/>
      <c r="BQ399" s="447"/>
      <c r="BR399" s="510"/>
      <c r="BS399" s="174"/>
      <c r="BT399" s="174"/>
      <c r="BU399" s="510"/>
      <c r="BV399" s="200"/>
      <c r="BW399" s="174"/>
      <c r="BX399" s="510"/>
      <c r="BY399" s="174"/>
      <c r="BZ399" s="174"/>
      <c r="CA399" s="510"/>
      <c r="CB399" s="200"/>
      <c r="CC399" s="174"/>
      <c r="CD399" s="510"/>
      <c r="CE399" s="174"/>
      <c r="CF399" s="174"/>
      <c r="CG399" s="510"/>
      <c r="CH399" s="174"/>
      <c r="CI399" s="174"/>
      <c r="CJ399" s="174"/>
      <c r="CK399" s="174"/>
      <c r="CL399" s="174"/>
      <c r="CM399" s="510"/>
      <c r="CN399" s="174"/>
      <c r="CO399" s="549"/>
      <c r="CP399" s="510"/>
      <c r="CQ399" s="200"/>
      <c r="CR399" s="550"/>
      <c r="CS399" s="510"/>
      <c r="CT399" s="390"/>
      <c r="CU399" s="331"/>
      <c r="CV399" s="428"/>
      <c r="CW399" s="155"/>
      <c r="CX399" s="155"/>
      <c r="CY399" s="267"/>
      <c r="CZ399" s="323"/>
      <c r="DA399" s="323"/>
      <c r="DB399" s="423"/>
      <c r="DC399" s="155"/>
      <c r="DD399" s="155"/>
      <c r="DE399" s="267"/>
      <c r="DF399" s="323"/>
      <c r="DG399" s="323"/>
      <c r="DH399" s="428"/>
      <c r="DI399" s="155"/>
      <c r="DJ399" s="155"/>
      <c r="DK399" s="222"/>
      <c r="DL399" s="267"/>
      <c r="DM399" s="155"/>
      <c r="DN399" s="155"/>
      <c r="DO399" s="155"/>
      <c r="DP399" s="423"/>
      <c r="DQ399" s="155"/>
      <c r="DR399" s="155"/>
      <c r="DS399" s="222"/>
      <c r="DT399" s="267"/>
      <c r="DU399" s="174"/>
      <c r="DV399" s="174"/>
      <c r="DW399" s="200"/>
      <c r="DX399" s="428"/>
      <c r="DY399" s="155"/>
      <c r="DZ399" s="155"/>
      <c r="EA399" s="155"/>
      <c r="EB399" s="173"/>
      <c r="EC399" s="155"/>
      <c r="ED399" s="155"/>
      <c r="EE399" s="155"/>
      <c r="EF399" s="423"/>
      <c r="EG399" s="155"/>
      <c r="EH399" s="155"/>
      <c r="EI399" s="155"/>
      <c r="EJ399" s="267"/>
      <c r="EK399" s="155"/>
      <c r="EL399" s="155"/>
      <c r="EM399" s="155"/>
      <c r="EN399" s="428"/>
    </row>
    <row r="400" spans="1:144">
      <c r="A400" s="360"/>
      <c r="B400" s="172"/>
      <c r="C400" s="360"/>
      <c r="D400" s="172"/>
      <c r="E400" s="408"/>
      <c r="F400" s="408"/>
      <c r="G400" s="509"/>
      <c r="H400" s="546"/>
      <c r="I400" s="546"/>
      <c r="J400" s="251"/>
      <c r="K400" s="251"/>
      <c r="L400" s="509"/>
      <c r="M400" s="509"/>
      <c r="N400" s="509"/>
      <c r="O400" s="547"/>
      <c r="P400" s="200"/>
      <c r="Q400" s="174"/>
      <c r="R400" s="390"/>
      <c r="S400" s="510"/>
      <c r="T400" s="200"/>
      <c r="U400" s="174"/>
      <c r="V400" s="174"/>
      <c r="W400" s="510"/>
      <c r="X400" s="174"/>
      <c r="Y400" s="174"/>
      <c r="Z400" s="174"/>
      <c r="AA400" s="510"/>
      <c r="AB400" s="200"/>
      <c r="AC400" s="174"/>
      <c r="AD400" s="390"/>
      <c r="AE400" s="510"/>
      <c r="AF400" s="200"/>
      <c r="AG400" s="174"/>
      <c r="AH400" s="174"/>
      <c r="AI400" s="200"/>
      <c r="AJ400" s="548"/>
      <c r="AK400" s="200"/>
      <c r="AL400" s="174"/>
      <c r="AM400" s="390"/>
      <c r="AN400" s="510"/>
      <c r="AO400" s="200"/>
      <c r="AP400" s="174"/>
      <c r="AQ400" s="510"/>
      <c r="AR400" s="200"/>
      <c r="AS400" s="174"/>
      <c r="AT400" s="510"/>
      <c r="AU400" s="200"/>
      <c r="AV400" s="174"/>
      <c r="AW400" s="510"/>
      <c r="AX400" s="200"/>
      <c r="AY400" s="174"/>
      <c r="AZ400" s="510"/>
      <c r="BA400" s="174"/>
      <c r="BB400" s="174"/>
      <c r="BC400" s="174"/>
      <c r="BD400" s="174"/>
      <c r="BE400" s="174"/>
      <c r="BF400" s="510"/>
      <c r="BG400" s="174"/>
      <c r="BH400" s="174"/>
      <c r="BI400" s="174"/>
      <c r="BJ400" s="200"/>
      <c r="BK400" s="174"/>
      <c r="BL400" s="510"/>
      <c r="BM400" s="174"/>
      <c r="BN400" s="174"/>
      <c r="BO400" s="510"/>
      <c r="BP400" s="200"/>
      <c r="BQ400" s="447"/>
      <c r="BR400" s="510"/>
      <c r="BS400" s="174"/>
      <c r="BT400" s="174"/>
      <c r="BU400" s="510"/>
      <c r="BV400" s="200"/>
      <c r="BW400" s="174"/>
      <c r="BX400" s="510"/>
      <c r="BY400" s="174"/>
      <c r="BZ400" s="174"/>
      <c r="CA400" s="510"/>
      <c r="CB400" s="200"/>
      <c r="CC400" s="174"/>
      <c r="CD400" s="510"/>
      <c r="CE400" s="174"/>
      <c r="CF400" s="174"/>
      <c r="CG400" s="510"/>
      <c r="CH400" s="174"/>
      <c r="CI400" s="174"/>
      <c r="CJ400" s="174"/>
      <c r="CK400" s="174"/>
      <c r="CL400" s="174"/>
      <c r="CM400" s="510"/>
      <c r="CN400" s="174"/>
      <c r="CO400" s="549"/>
      <c r="CP400" s="510"/>
      <c r="CQ400" s="200"/>
      <c r="CR400" s="550"/>
      <c r="CS400" s="510"/>
      <c r="CT400" s="390"/>
      <c r="CU400" s="331"/>
      <c r="CV400" s="428"/>
      <c r="CW400" s="155"/>
      <c r="CX400" s="155"/>
      <c r="CY400" s="267"/>
      <c r="CZ400" s="323"/>
      <c r="DA400" s="323"/>
      <c r="DB400" s="423"/>
      <c r="DC400" s="155"/>
      <c r="DD400" s="155"/>
      <c r="DE400" s="267"/>
      <c r="DF400" s="323"/>
      <c r="DG400" s="323"/>
      <c r="DH400" s="428"/>
      <c r="DI400" s="155"/>
      <c r="DJ400" s="155"/>
      <c r="DK400" s="222"/>
      <c r="DL400" s="267"/>
      <c r="DM400" s="155"/>
      <c r="DN400" s="155"/>
      <c r="DO400" s="155"/>
      <c r="DP400" s="423"/>
      <c r="DQ400" s="155"/>
      <c r="DR400" s="155"/>
      <c r="DS400" s="222"/>
      <c r="DT400" s="267"/>
      <c r="DU400" s="174"/>
      <c r="DV400" s="174"/>
      <c r="DW400" s="200"/>
      <c r="DX400" s="428"/>
      <c r="DY400" s="155"/>
      <c r="DZ400" s="155"/>
      <c r="EA400" s="155"/>
      <c r="EB400" s="173"/>
      <c r="EC400" s="155"/>
      <c r="ED400" s="155"/>
      <c r="EE400" s="155"/>
      <c r="EF400" s="423"/>
      <c r="EG400" s="155"/>
      <c r="EH400" s="155"/>
      <c r="EI400" s="155"/>
      <c r="EJ400" s="267"/>
      <c r="EK400" s="155"/>
      <c r="EL400" s="155"/>
      <c r="EM400" s="155"/>
      <c r="EN400" s="428"/>
    </row>
    <row r="401" spans="1:144">
      <c r="A401" s="360"/>
      <c r="B401" s="172"/>
      <c r="C401" s="360"/>
      <c r="D401" s="172"/>
      <c r="E401" s="408"/>
      <c r="F401" s="408"/>
      <c r="G401" s="509"/>
      <c r="H401" s="546"/>
      <c r="I401" s="546"/>
      <c r="J401" s="251"/>
      <c r="K401" s="251"/>
      <c r="L401" s="509"/>
      <c r="M401" s="509"/>
      <c r="N401" s="509"/>
      <c r="O401" s="547"/>
      <c r="P401" s="200"/>
      <c r="Q401" s="174"/>
      <c r="R401" s="390"/>
      <c r="S401" s="510"/>
      <c r="T401" s="200"/>
      <c r="U401" s="174"/>
      <c r="V401" s="174"/>
      <c r="W401" s="510"/>
      <c r="X401" s="174"/>
      <c r="Y401" s="174"/>
      <c r="Z401" s="174"/>
      <c r="AA401" s="510"/>
      <c r="AB401" s="200"/>
      <c r="AC401" s="174"/>
      <c r="AD401" s="390"/>
      <c r="AE401" s="510"/>
      <c r="AF401" s="200"/>
      <c r="AG401" s="174"/>
      <c r="AH401" s="174"/>
      <c r="AI401" s="200"/>
      <c r="AJ401" s="548"/>
      <c r="AK401" s="200"/>
      <c r="AL401" s="174"/>
      <c r="AM401" s="390"/>
      <c r="AN401" s="510"/>
      <c r="AO401" s="200"/>
      <c r="AP401" s="174"/>
      <c r="AQ401" s="510"/>
      <c r="AR401" s="200"/>
      <c r="AS401" s="174"/>
      <c r="AT401" s="510"/>
      <c r="AU401" s="200"/>
      <c r="AV401" s="174"/>
      <c r="AW401" s="510"/>
      <c r="AX401" s="200"/>
      <c r="AY401" s="174"/>
      <c r="AZ401" s="510"/>
      <c r="BA401" s="174"/>
      <c r="BB401" s="174"/>
      <c r="BC401" s="174"/>
      <c r="BD401" s="174"/>
      <c r="BE401" s="174"/>
      <c r="BF401" s="510"/>
      <c r="BG401" s="174"/>
      <c r="BH401" s="174"/>
      <c r="BI401" s="174"/>
      <c r="BJ401" s="200"/>
      <c r="BK401" s="174"/>
      <c r="BL401" s="510"/>
      <c r="BM401" s="174"/>
      <c r="BN401" s="174"/>
      <c r="BO401" s="510"/>
      <c r="BP401" s="200"/>
      <c r="BQ401" s="447"/>
      <c r="BR401" s="510"/>
      <c r="BS401" s="174"/>
      <c r="BT401" s="174"/>
      <c r="BU401" s="510"/>
      <c r="BV401" s="200"/>
      <c r="BW401" s="174"/>
      <c r="BX401" s="510"/>
      <c r="BY401" s="174"/>
      <c r="BZ401" s="174"/>
      <c r="CA401" s="510"/>
      <c r="CB401" s="200"/>
      <c r="CC401" s="174"/>
      <c r="CD401" s="510"/>
      <c r="CE401" s="174"/>
      <c r="CF401" s="174"/>
      <c r="CG401" s="510"/>
      <c r="CH401" s="174"/>
      <c r="CI401" s="174"/>
      <c r="CJ401" s="174"/>
      <c r="CK401" s="174"/>
      <c r="CL401" s="174"/>
      <c r="CM401" s="510"/>
      <c r="CN401" s="174"/>
      <c r="CO401" s="549"/>
      <c r="CP401" s="510"/>
      <c r="CQ401" s="200"/>
      <c r="CR401" s="550"/>
      <c r="CS401" s="510"/>
      <c r="CT401" s="390"/>
      <c r="CU401" s="331"/>
      <c r="CV401" s="428"/>
      <c r="CW401" s="155"/>
      <c r="CX401" s="155"/>
      <c r="CY401" s="267"/>
      <c r="CZ401" s="323"/>
      <c r="DA401" s="323"/>
      <c r="DB401" s="423"/>
      <c r="DC401" s="155"/>
      <c r="DD401" s="155"/>
      <c r="DE401" s="267"/>
      <c r="DF401" s="323"/>
      <c r="DG401" s="323"/>
      <c r="DH401" s="428"/>
      <c r="DI401" s="155"/>
      <c r="DJ401" s="155"/>
      <c r="DK401" s="222"/>
      <c r="DL401" s="267"/>
      <c r="DM401" s="155"/>
      <c r="DN401" s="155"/>
      <c r="DO401" s="155"/>
      <c r="DP401" s="423"/>
      <c r="DQ401" s="155"/>
      <c r="DR401" s="155"/>
      <c r="DS401" s="222"/>
      <c r="DT401" s="267"/>
      <c r="DU401" s="174"/>
      <c r="DV401" s="174"/>
      <c r="DW401" s="200"/>
      <c r="DX401" s="428"/>
      <c r="DY401" s="155"/>
      <c r="DZ401" s="155"/>
      <c r="EA401" s="155"/>
      <c r="EB401" s="173"/>
      <c r="EC401" s="155"/>
      <c r="ED401" s="155"/>
      <c r="EE401" s="155"/>
      <c r="EF401" s="423"/>
      <c r="EG401" s="155"/>
      <c r="EH401" s="155"/>
      <c r="EI401" s="155"/>
      <c r="EJ401" s="267"/>
      <c r="EK401" s="155"/>
      <c r="EL401" s="155"/>
      <c r="EM401" s="155"/>
      <c r="EN401" s="428"/>
    </row>
    <row r="402" spans="1:144">
      <c r="A402" s="360"/>
      <c r="B402" s="172"/>
      <c r="C402" s="360"/>
      <c r="D402" s="172"/>
      <c r="E402" s="408"/>
      <c r="F402" s="408"/>
      <c r="G402" s="509"/>
      <c r="H402" s="546"/>
      <c r="I402" s="546"/>
      <c r="J402" s="251"/>
      <c r="K402" s="251"/>
      <c r="L402" s="509"/>
      <c r="M402" s="509"/>
      <c r="N402" s="509"/>
      <c r="O402" s="547"/>
      <c r="P402" s="200"/>
      <c r="Q402" s="174"/>
      <c r="R402" s="390"/>
      <c r="S402" s="510"/>
      <c r="T402" s="200"/>
      <c r="U402" s="174"/>
      <c r="V402" s="174"/>
      <c r="W402" s="510"/>
      <c r="X402" s="174"/>
      <c r="Y402" s="174"/>
      <c r="Z402" s="174"/>
      <c r="AA402" s="510"/>
      <c r="AB402" s="200"/>
      <c r="AC402" s="174"/>
      <c r="AD402" s="390"/>
      <c r="AE402" s="510"/>
      <c r="AF402" s="200"/>
      <c r="AG402" s="174"/>
      <c r="AH402" s="174"/>
      <c r="AI402" s="200"/>
      <c r="AJ402" s="548"/>
      <c r="AK402" s="200"/>
      <c r="AL402" s="174"/>
      <c r="AM402" s="390"/>
      <c r="AN402" s="510"/>
      <c r="AO402" s="200"/>
      <c r="AP402" s="174"/>
      <c r="AQ402" s="510"/>
      <c r="AR402" s="200"/>
      <c r="AS402" s="174"/>
      <c r="AT402" s="510"/>
      <c r="AU402" s="200"/>
      <c r="AV402" s="174"/>
      <c r="AW402" s="510"/>
      <c r="AX402" s="200"/>
      <c r="AY402" s="174"/>
      <c r="AZ402" s="510"/>
      <c r="BA402" s="174"/>
      <c r="BB402" s="174"/>
      <c r="BC402" s="174"/>
      <c r="BD402" s="174"/>
      <c r="BE402" s="174"/>
      <c r="BF402" s="510"/>
      <c r="BG402" s="174"/>
      <c r="BH402" s="174"/>
      <c r="BI402" s="174"/>
      <c r="BJ402" s="200"/>
      <c r="BK402" s="174"/>
      <c r="BL402" s="510"/>
      <c r="BM402" s="174"/>
      <c r="BN402" s="174"/>
      <c r="BO402" s="510"/>
      <c r="BP402" s="200"/>
      <c r="BQ402" s="447"/>
      <c r="BR402" s="510"/>
      <c r="BS402" s="174"/>
      <c r="BT402" s="174"/>
      <c r="BU402" s="510"/>
      <c r="BV402" s="200"/>
      <c r="BW402" s="174"/>
      <c r="BX402" s="510"/>
      <c r="BY402" s="174"/>
      <c r="BZ402" s="174"/>
      <c r="CA402" s="510"/>
      <c r="CB402" s="200"/>
      <c r="CC402" s="174"/>
      <c r="CD402" s="510"/>
      <c r="CE402" s="174"/>
      <c r="CF402" s="174"/>
      <c r="CG402" s="510"/>
      <c r="CH402" s="174"/>
      <c r="CI402" s="174"/>
      <c r="CJ402" s="174"/>
      <c r="CK402" s="174"/>
      <c r="CL402" s="174"/>
      <c r="CM402" s="510"/>
      <c r="CN402" s="174"/>
      <c r="CO402" s="549"/>
      <c r="CP402" s="510"/>
      <c r="CQ402" s="200"/>
      <c r="CR402" s="550"/>
      <c r="CS402" s="510"/>
      <c r="CT402" s="390"/>
      <c r="CU402" s="331"/>
      <c r="CV402" s="428"/>
      <c r="CW402" s="155"/>
      <c r="CX402" s="155"/>
      <c r="CY402" s="267"/>
      <c r="CZ402" s="323"/>
      <c r="DA402" s="323"/>
      <c r="DB402" s="423"/>
      <c r="DC402" s="155"/>
      <c r="DD402" s="155"/>
      <c r="DE402" s="267"/>
      <c r="DF402" s="323"/>
      <c r="DG402" s="323"/>
      <c r="DH402" s="428"/>
      <c r="DI402" s="155"/>
      <c r="DJ402" s="155"/>
      <c r="DK402" s="222"/>
      <c r="DL402" s="267"/>
      <c r="DM402" s="155"/>
      <c r="DN402" s="155"/>
      <c r="DO402" s="155"/>
      <c r="DP402" s="423"/>
      <c r="DQ402" s="155"/>
      <c r="DR402" s="155"/>
      <c r="DS402" s="222"/>
      <c r="DT402" s="267"/>
      <c r="DU402" s="174"/>
      <c r="DV402" s="174"/>
      <c r="DW402" s="200"/>
      <c r="DX402" s="428"/>
      <c r="DY402" s="155"/>
      <c r="DZ402" s="155"/>
      <c r="EA402" s="155"/>
      <c r="EB402" s="173"/>
      <c r="EC402" s="155"/>
      <c r="ED402" s="155"/>
      <c r="EE402" s="155"/>
      <c r="EF402" s="423"/>
      <c r="EG402" s="155"/>
      <c r="EH402" s="155"/>
      <c r="EI402" s="155"/>
      <c r="EJ402" s="267"/>
      <c r="EK402" s="155"/>
      <c r="EL402" s="155"/>
      <c r="EM402" s="155"/>
      <c r="EN402" s="428"/>
    </row>
    <row r="403" spans="1:144">
      <c r="A403" s="360"/>
      <c r="B403" s="172"/>
      <c r="C403" s="360"/>
      <c r="D403" s="172"/>
      <c r="E403" s="408"/>
      <c r="F403" s="408"/>
      <c r="G403" s="509"/>
      <c r="H403" s="546"/>
      <c r="I403" s="546"/>
      <c r="J403" s="251"/>
      <c r="K403" s="251"/>
      <c r="L403" s="509"/>
      <c r="M403" s="509"/>
      <c r="N403" s="509"/>
      <c r="O403" s="547"/>
      <c r="P403" s="200"/>
      <c r="Q403" s="174"/>
      <c r="R403" s="390"/>
      <c r="S403" s="510"/>
      <c r="T403" s="200"/>
      <c r="U403" s="174"/>
      <c r="V403" s="174"/>
      <c r="W403" s="510"/>
      <c r="X403" s="174"/>
      <c r="Y403" s="174"/>
      <c r="Z403" s="174"/>
      <c r="AA403" s="510"/>
      <c r="AB403" s="200"/>
      <c r="AC403" s="174"/>
      <c r="AD403" s="390"/>
      <c r="AE403" s="510"/>
      <c r="AF403" s="200"/>
      <c r="AG403" s="174"/>
      <c r="AH403" s="174"/>
      <c r="AI403" s="200"/>
      <c r="AJ403" s="548"/>
      <c r="AK403" s="200"/>
      <c r="AL403" s="174"/>
      <c r="AM403" s="390"/>
      <c r="AN403" s="510"/>
      <c r="AO403" s="200"/>
      <c r="AP403" s="174"/>
      <c r="AQ403" s="510"/>
      <c r="AR403" s="200"/>
      <c r="AS403" s="174"/>
      <c r="AT403" s="510"/>
      <c r="AU403" s="200"/>
      <c r="AV403" s="174"/>
      <c r="AW403" s="510"/>
      <c r="AX403" s="200"/>
      <c r="AY403" s="174"/>
      <c r="AZ403" s="510"/>
      <c r="BA403" s="174"/>
      <c r="BB403" s="174"/>
      <c r="BC403" s="174"/>
      <c r="BD403" s="174"/>
      <c r="BE403" s="174"/>
      <c r="BF403" s="510"/>
      <c r="BG403" s="174"/>
      <c r="BH403" s="174"/>
      <c r="BI403" s="174"/>
      <c r="BJ403" s="200"/>
      <c r="BK403" s="174"/>
      <c r="BL403" s="510"/>
      <c r="BM403" s="174"/>
      <c r="BN403" s="174"/>
      <c r="BO403" s="510"/>
      <c r="BP403" s="200"/>
      <c r="BQ403" s="447"/>
      <c r="BR403" s="510"/>
      <c r="BS403" s="174"/>
      <c r="BT403" s="174"/>
      <c r="BU403" s="510"/>
      <c r="BV403" s="200"/>
      <c r="BW403" s="174"/>
      <c r="BX403" s="510"/>
      <c r="BY403" s="174"/>
      <c r="BZ403" s="174"/>
      <c r="CA403" s="510"/>
      <c r="CB403" s="200"/>
      <c r="CC403" s="174"/>
      <c r="CD403" s="510"/>
      <c r="CE403" s="174"/>
      <c r="CF403" s="174"/>
      <c r="CG403" s="510"/>
      <c r="CH403" s="174"/>
      <c r="CI403" s="174"/>
      <c r="CJ403" s="174"/>
      <c r="CK403" s="174"/>
      <c r="CL403" s="174"/>
      <c r="CM403" s="510"/>
      <c r="CN403" s="174"/>
      <c r="CO403" s="549"/>
      <c r="CP403" s="510"/>
      <c r="CQ403" s="200"/>
      <c r="CR403" s="550"/>
      <c r="CS403" s="510"/>
      <c r="CT403" s="390"/>
      <c r="CU403" s="331"/>
      <c r="CV403" s="428"/>
      <c r="CW403" s="155"/>
      <c r="CX403" s="155"/>
      <c r="CY403" s="267"/>
      <c r="CZ403" s="323"/>
      <c r="DA403" s="323"/>
      <c r="DB403" s="423"/>
      <c r="DC403" s="155"/>
      <c r="DD403" s="155"/>
      <c r="DE403" s="267"/>
      <c r="DF403" s="323"/>
      <c r="DG403" s="323"/>
      <c r="DH403" s="428"/>
      <c r="DI403" s="155"/>
      <c r="DJ403" s="155"/>
      <c r="DK403" s="222"/>
      <c r="DL403" s="267"/>
      <c r="DM403" s="155"/>
      <c r="DN403" s="155"/>
      <c r="DO403" s="155"/>
      <c r="DP403" s="423"/>
      <c r="DQ403" s="155"/>
      <c r="DR403" s="155"/>
      <c r="DS403" s="222"/>
      <c r="DT403" s="267"/>
      <c r="DU403" s="174"/>
      <c r="DV403" s="174"/>
      <c r="DW403" s="200"/>
      <c r="DX403" s="428"/>
      <c r="DY403" s="155"/>
      <c r="DZ403" s="155"/>
      <c r="EA403" s="155"/>
      <c r="EB403" s="173"/>
      <c r="EC403" s="155"/>
      <c r="ED403" s="155"/>
      <c r="EE403" s="155"/>
      <c r="EF403" s="423"/>
      <c r="EG403" s="155"/>
      <c r="EH403" s="155"/>
      <c r="EI403" s="155"/>
      <c r="EJ403" s="267"/>
      <c r="EK403" s="155"/>
      <c r="EL403" s="155"/>
      <c r="EM403" s="155"/>
      <c r="EN403" s="428"/>
    </row>
    <row r="404" spans="1:144">
      <c r="A404" s="360"/>
      <c r="B404" s="172"/>
      <c r="C404" s="360"/>
      <c r="D404" s="172"/>
      <c r="E404" s="408"/>
      <c r="F404" s="408"/>
      <c r="G404" s="509"/>
      <c r="H404" s="546"/>
      <c r="I404" s="546"/>
      <c r="J404" s="251"/>
      <c r="K404" s="251"/>
      <c r="L404" s="509"/>
      <c r="M404" s="509"/>
      <c r="N404" s="509"/>
      <c r="O404" s="547"/>
      <c r="P404" s="200"/>
      <c r="Q404" s="174"/>
      <c r="R404" s="390"/>
      <c r="S404" s="510"/>
      <c r="T404" s="200"/>
      <c r="U404" s="174"/>
      <c r="V404" s="174"/>
      <c r="W404" s="510"/>
      <c r="X404" s="174"/>
      <c r="Y404" s="174"/>
      <c r="Z404" s="174"/>
      <c r="AA404" s="510"/>
      <c r="AB404" s="200"/>
      <c r="AC404" s="174"/>
      <c r="AD404" s="390"/>
      <c r="AE404" s="510"/>
      <c r="AF404" s="200"/>
      <c r="AG404" s="174"/>
      <c r="AH404" s="174"/>
      <c r="AI404" s="200"/>
      <c r="AJ404" s="548"/>
      <c r="AK404" s="200"/>
      <c r="AL404" s="174"/>
      <c r="AM404" s="390"/>
      <c r="AN404" s="510"/>
      <c r="AO404" s="200"/>
      <c r="AP404" s="174"/>
      <c r="AQ404" s="510"/>
      <c r="AR404" s="200"/>
      <c r="AS404" s="174"/>
      <c r="AT404" s="510"/>
      <c r="AU404" s="200"/>
      <c r="AV404" s="174"/>
      <c r="AW404" s="510"/>
      <c r="AX404" s="200"/>
      <c r="AY404" s="174"/>
      <c r="AZ404" s="510"/>
      <c r="BA404" s="174"/>
      <c r="BB404" s="174"/>
      <c r="BC404" s="174"/>
      <c r="BD404" s="174"/>
      <c r="BE404" s="174"/>
      <c r="BF404" s="510"/>
      <c r="BG404" s="174"/>
      <c r="BH404" s="174"/>
      <c r="BI404" s="174"/>
      <c r="BJ404" s="200"/>
      <c r="BK404" s="174"/>
      <c r="BL404" s="510"/>
      <c r="BM404" s="174"/>
      <c r="BN404" s="174"/>
      <c r="BO404" s="510"/>
      <c r="BP404" s="200"/>
      <c r="BQ404" s="447"/>
      <c r="BR404" s="510"/>
      <c r="BS404" s="174"/>
      <c r="BT404" s="174"/>
      <c r="BU404" s="510"/>
      <c r="BV404" s="200"/>
      <c r="BW404" s="174"/>
      <c r="BX404" s="510"/>
      <c r="BY404" s="174"/>
      <c r="BZ404" s="174"/>
      <c r="CA404" s="510"/>
      <c r="CB404" s="200"/>
      <c r="CC404" s="174"/>
      <c r="CD404" s="510"/>
      <c r="CE404" s="174"/>
      <c r="CF404" s="174"/>
      <c r="CG404" s="510"/>
      <c r="CH404" s="174"/>
      <c r="CI404" s="174"/>
      <c r="CJ404" s="174"/>
      <c r="CK404" s="174"/>
      <c r="CL404" s="174"/>
      <c r="CM404" s="510"/>
      <c r="CN404" s="174"/>
      <c r="CO404" s="549"/>
      <c r="CP404" s="510"/>
      <c r="CQ404" s="200"/>
      <c r="CR404" s="550"/>
      <c r="CS404" s="510"/>
      <c r="CT404" s="390"/>
      <c r="CU404" s="331"/>
      <c r="CV404" s="428"/>
      <c r="CW404" s="155"/>
      <c r="CX404" s="155"/>
      <c r="CY404" s="267"/>
      <c r="CZ404" s="323"/>
      <c r="DA404" s="323"/>
      <c r="DB404" s="423"/>
      <c r="DC404" s="155"/>
      <c r="DD404" s="155"/>
      <c r="DE404" s="267"/>
      <c r="DF404" s="323"/>
      <c r="DG404" s="323"/>
      <c r="DH404" s="428"/>
      <c r="DI404" s="155"/>
      <c r="DJ404" s="155"/>
      <c r="DK404" s="222"/>
      <c r="DL404" s="267"/>
      <c r="DM404" s="155"/>
      <c r="DN404" s="155"/>
      <c r="DO404" s="155"/>
      <c r="DP404" s="423"/>
      <c r="DQ404" s="155"/>
      <c r="DR404" s="155"/>
      <c r="DS404" s="222"/>
      <c r="DT404" s="267"/>
      <c r="DU404" s="174"/>
      <c r="DV404" s="174"/>
      <c r="DW404" s="200"/>
      <c r="DX404" s="428"/>
      <c r="DY404" s="155"/>
      <c r="DZ404" s="155"/>
      <c r="EA404" s="155"/>
      <c r="EB404" s="173"/>
      <c r="EC404" s="155"/>
      <c r="ED404" s="155"/>
      <c r="EE404" s="155"/>
      <c r="EF404" s="423"/>
      <c r="EG404" s="155"/>
      <c r="EH404" s="155"/>
      <c r="EI404" s="155"/>
      <c r="EJ404" s="267"/>
      <c r="EK404" s="155"/>
      <c r="EL404" s="155"/>
      <c r="EM404" s="155"/>
      <c r="EN404" s="428"/>
    </row>
    <row r="405" spans="1:144">
      <c r="A405" s="360"/>
      <c r="B405" s="172"/>
      <c r="C405" s="360"/>
      <c r="D405" s="172"/>
      <c r="E405" s="408"/>
      <c r="F405" s="408"/>
      <c r="G405" s="509"/>
      <c r="H405" s="546"/>
      <c r="I405" s="546"/>
      <c r="J405" s="251"/>
      <c r="K405" s="251"/>
      <c r="L405" s="509"/>
      <c r="M405" s="509"/>
      <c r="N405" s="509"/>
      <c r="O405" s="547"/>
      <c r="P405" s="200"/>
      <c r="Q405" s="174"/>
      <c r="R405" s="390"/>
      <c r="S405" s="510"/>
      <c r="T405" s="200"/>
      <c r="U405" s="174"/>
      <c r="V405" s="174"/>
      <c r="W405" s="510"/>
      <c r="X405" s="174"/>
      <c r="Y405" s="174"/>
      <c r="Z405" s="174"/>
      <c r="AA405" s="510"/>
      <c r="AB405" s="200"/>
      <c r="AC405" s="174"/>
      <c r="AD405" s="390"/>
      <c r="AE405" s="510"/>
      <c r="AF405" s="200"/>
      <c r="AG405" s="174"/>
      <c r="AH405" s="174"/>
      <c r="AI405" s="200"/>
      <c r="AJ405" s="548"/>
      <c r="AK405" s="200"/>
      <c r="AL405" s="174"/>
      <c r="AM405" s="390"/>
      <c r="AN405" s="510"/>
      <c r="AO405" s="200"/>
      <c r="AP405" s="174"/>
      <c r="AQ405" s="510"/>
      <c r="AR405" s="200"/>
      <c r="AS405" s="174"/>
      <c r="AT405" s="510"/>
      <c r="AU405" s="200"/>
      <c r="AV405" s="174"/>
      <c r="AW405" s="510"/>
      <c r="AX405" s="200"/>
      <c r="AY405" s="174"/>
      <c r="AZ405" s="510"/>
      <c r="BA405" s="174"/>
      <c r="BB405" s="174"/>
      <c r="BC405" s="174"/>
      <c r="BD405" s="174"/>
      <c r="BE405" s="174"/>
      <c r="BF405" s="510"/>
      <c r="BG405" s="174"/>
      <c r="BH405" s="174"/>
      <c r="BI405" s="174"/>
      <c r="BJ405" s="200"/>
      <c r="BK405" s="174"/>
      <c r="BL405" s="510"/>
      <c r="BM405" s="174"/>
      <c r="BN405" s="174"/>
      <c r="BO405" s="510"/>
      <c r="BP405" s="200"/>
      <c r="BQ405" s="447"/>
      <c r="BR405" s="510"/>
      <c r="BS405" s="174"/>
      <c r="BT405" s="174"/>
      <c r="BU405" s="510"/>
      <c r="BV405" s="200"/>
      <c r="BW405" s="174"/>
      <c r="BX405" s="510"/>
      <c r="BY405" s="174"/>
      <c r="BZ405" s="174"/>
      <c r="CA405" s="510"/>
      <c r="CB405" s="200"/>
      <c r="CC405" s="174"/>
      <c r="CD405" s="510"/>
      <c r="CE405" s="174"/>
      <c r="CF405" s="174"/>
      <c r="CG405" s="510"/>
      <c r="CH405" s="174"/>
      <c r="CI405" s="174"/>
      <c r="CJ405" s="174"/>
      <c r="CK405" s="174"/>
      <c r="CL405" s="174"/>
      <c r="CM405" s="510"/>
      <c r="CN405" s="174"/>
      <c r="CO405" s="549"/>
      <c r="CP405" s="510"/>
      <c r="CQ405" s="200"/>
      <c r="CR405" s="550"/>
      <c r="CS405" s="510"/>
      <c r="CT405" s="390"/>
      <c r="CU405" s="331"/>
      <c r="CV405" s="428"/>
      <c r="CW405" s="155"/>
      <c r="CX405" s="155"/>
      <c r="CY405" s="267"/>
      <c r="CZ405" s="323"/>
      <c r="DA405" s="323"/>
      <c r="DB405" s="423"/>
      <c r="DC405" s="155"/>
      <c r="DD405" s="155"/>
      <c r="DE405" s="267"/>
      <c r="DF405" s="323"/>
      <c r="DG405" s="323"/>
      <c r="DH405" s="428"/>
      <c r="DI405" s="155"/>
      <c r="DJ405" s="155"/>
      <c r="DK405" s="222"/>
      <c r="DL405" s="267"/>
      <c r="DM405" s="155"/>
      <c r="DN405" s="155"/>
      <c r="DO405" s="155"/>
      <c r="DP405" s="423"/>
      <c r="DQ405" s="155"/>
      <c r="DR405" s="155"/>
      <c r="DS405" s="222"/>
      <c r="DT405" s="267"/>
      <c r="DU405" s="174"/>
      <c r="DV405" s="174"/>
      <c r="DW405" s="200"/>
      <c r="DX405" s="428"/>
      <c r="DY405" s="155"/>
      <c r="DZ405" s="155"/>
      <c r="EA405" s="155"/>
      <c r="EB405" s="173"/>
      <c r="EC405" s="155"/>
      <c r="ED405" s="155"/>
      <c r="EE405" s="155"/>
      <c r="EF405" s="423"/>
      <c r="EG405" s="155"/>
      <c r="EH405" s="155"/>
      <c r="EI405" s="155"/>
      <c r="EJ405" s="267"/>
      <c r="EK405" s="155"/>
      <c r="EL405" s="155"/>
      <c r="EM405" s="155"/>
      <c r="EN405" s="428"/>
    </row>
    <row r="406" spans="1:144">
      <c r="A406" s="360"/>
      <c r="B406" s="172"/>
      <c r="C406" s="360"/>
      <c r="D406" s="172"/>
      <c r="E406" s="408"/>
      <c r="F406" s="408"/>
      <c r="G406" s="509"/>
      <c r="H406" s="546"/>
      <c r="I406" s="546"/>
      <c r="J406" s="251"/>
      <c r="K406" s="251"/>
      <c r="L406" s="509"/>
      <c r="M406" s="509"/>
      <c r="N406" s="509"/>
      <c r="O406" s="547"/>
      <c r="P406" s="200"/>
      <c r="Q406" s="174"/>
      <c r="R406" s="390"/>
      <c r="S406" s="510"/>
      <c r="T406" s="200"/>
      <c r="U406" s="174"/>
      <c r="V406" s="174"/>
      <c r="W406" s="510"/>
      <c r="X406" s="174"/>
      <c r="Y406" s="174"/>
      <c r="Z406" s="174"/>
      <c r="AA406" s="510"/>
      <c r="AB406" s="200"/>
      <c r="AC406" s="174"/>
      <c r="AD406" s="390"/>
      <c r="AE406" s="510"/>
      <c r="AF406" s="200"/>
      <c r="AG406" s="174"/>
      <c r="AH406" s="174"/>
      <c r="AI406" s="200"/>
      <c r="AJ406" s="548"/>
      <c r="AK406" s="200"/>
      <c r="AL406" s="174"/>
      <c r="AM406" s="390"/>
      <c r="AN406" s="510"/>
      <c r="AO406" s="200"/>
      <c r="AP406" s="174"/>
      <c r="AQ406" s="510"/>
      <c r="AR406" s="200"/>
      <c r="AS406" s="174"/>
      <c r="AT406" s="510"/>
      <c r="AU406" s="200"/>
      <c r="AV406" s="174"/>
      <c r="AW406" s="510"/>
      <c r="AX406" s="200"/>
      <c r="AY406" s="174"/>
      <c r="AZ406" s="510"/>
      <c r="BA406" s="174"/>
      <c r="BB406" s="174"/>
      <c r="BC406" s="174"/>
      <c r="BD406" s="174"/>
      <c r="BE406" s="174"/>
      <c r="BF406" s="510"/>
      <c r="BG406" s="174"/>
      <c r="BH406" s="174"/>
      <c r="BI406" s="174"/>
      <c r="BJ406" s="200"/>
      <c r="BK406" s="174"/>
      <c r="BL406" s="510"/>
      <c r="BM406" s="174"/>
      <c r="BN406" s="174"/>
      <c r="BO406" s="510"/>
      <c r="BP406" s="200"/>
      <c r="BQ406" s="447"/>
      <c r="BR406" s="510"/>
      <c r="BS406" s="174"/>
      <c r="BT406" s="174"/>
      <c r="BU406" s="510"/>
      <c r="BV406" s="200"/>
      <c r="BW406" s="174"/>
      <c r="BX406" s="510"/>
      <c r="BY406" s="174"/>
      <c r="BZ406" s="174"/>
      <c r="CA406" s="510"/>
      <c r="CB406" s="200"/>
      <c r="CC406" s="174"/>
      <c r="CD406" s="510"/>
      <c r="CE406" s="174"/>
      <c r="CF406" s="174"/>
      <c r="CG406" s="510"/>
      <c r="CH406" s="174"/>
      <c r="CI406" s="174"/>
      <c r="CJ406" s="174"/>
      <c r="CK406" s="174"/>
      <c r="CL406" s="174"/>
      <c r="CM406" s="510"/>
      <c r="CN406" s="174"/>
      <c r="CO406" s="549"/>
      <c r="CP406" s="510"/>
      <c r="CQ406" s="200"/>
      <c r="CR406" s="550"/>
      <c r="CS406" s="510"/>
      <c r="CT406" s="390"/>
      <c r="CU406" s="331"/>
      <c r="CV406" s="428"/>
      <c r="CW406" s="155"/>
      <c r="CX406" s="155"/>
      <c r="CY406" s="267"/>
      <c r="CZ406" s="323"/>
      <c r="DA406" s="323"/>
      <c r="DB406" s="423"/>
      <c r="DC406" s="155"/>
      <c r="DD406" s="155"/>
      <c r="DE406" s="267"/>
      <c r="DF406" s="323"/>
      <c r="DG406" s="323"/>
      <c r="DH406" s="428"/>
      <c r="DI406" s="155"/>
      <c r="DJ406" s="155"/>
      <c r="DK406" s="222"/>
      <c r="DL406" s="267"/>
      <c r="DM406" s="155"/>
      <c r="DN406" s="155"/>
      <c r="DO406" s="155"/>
      <c r="DP406" s="423"/>
      <c r="DQ406" s="155"/>
      <c r="DR406" s="155"/>
      <c r="DS406" s="222"/>
      <c r="DT406" s="267"/>
      <c r="DU406" s="174"/>
      <c r="DV406" s="174"/>
      <c r="DW406" s="200"/>
      <c r="DX406" s="428"/>
      <c r="DY406" s="155"/>
      <c r="DZ406" s="155"/>
      <c r="EA406" s="155"/>
      <c r="EB406" s="173"/>
      <c r="EC406" s="155"/>
      <c r="ED406" s="155"/>
      <c r="EE406" s="155"/>
      <c r="EF406" s="423"/>
      <c r="EG406" s="155"/>
      <c r="EH406" s="155"/>
      <c r="EI406" s="155"/>
      <c r="EJ406" s="267"/>
      <c r="EK406" s="155"/>
      <c r="EL406" s="155"/>
      <c r="EM406" s="155"/>
      <c r="EN406" s="428"/>
    </row>
    <row r="407" spans="1:144">
      <c r="A407" s="360"/>
      <c r="B407" s="172"/>
      <c r="C407" s="360"/>
      <c r="D407" s="172"/>
      <c r="E407" s="408"/>
      <c r="F407" s="408"/>
      <c r="G407" s="509"/>
      <c r="H407" s="546"/>
      <c r="I407" s="546"/>
      <c r="J407" s="251"/>
      <c r="K407" s="251"/>
      <c r="L407" s="509"/>
      <c r="M407" s="509"/>
      <c r="N407" s="509"/>
      <c r="O407" s="547"/>
      <c r="P407" s="200"/>
      <c r="Q407" s="174"/>
      <c r="R407" s="390"/>
      <c r="S407" s="510"/>
      <c r="T407" s="200"/>
      <c r="U407" s="174"/>
      <c r="V407" s="174"/>
      <c r="W407" s="510"/>
      <c r="X407" s="174"/>
      <c r="Y407" s="174"/>
      <c r="Z407" s="174"/>
      <c r="AA407" s="510"/>
      <c r="AB407" s="200"/>
      <c r="AC407" s="174"/>
      <c r="AD407" s="390"/>
      <c r="AE407" s="510"/>
      <c r="AF407" s="200"/>
      <c r="AG407" s="174"/>
      <c r="AH407" s="174"/>
      <c r="AI407" s="200"/>
      <c r="AJ407" s="548"/>
      <c r="AK407" s="200"/>
      <c r="AL407" s="174"/>
      <c r="AM407" s="390"/>
      <c r="AN407" s="510"/>
      <c r="AO407" s="200"/>
      <c r="AP407" s="174"/>
      <c r="AQ407" s="510"/>
      <c r="AR407" s="200"/>
      <c r="AS407" s="174"/>
      <c r="AT407" s="510"/>
      <c r="AU407" s="200"/>
      <c r="AV407" s="174"/>
      <c r="AW407" s="510"/>
      <c r="AX407" s="200"/>
      <c r="AY407" s="174"/>
      <c r="AZ407" s="510"/>
      <c r="BA407" s="174"/>
      <c r="BB407" s="174"/>
      <c r="BC407" s="174"/>
      <c r="BD407" s="174"/>
      <c r="BE407" s="174"/>
      <c r="BF407" s="510"/>
      <c r="BG407" s="174"/>
      <c r="BH407" s="174"/>
      <c r="BI407" s="174"/>
      <c r="BJ407" s="200"/>
      <c r="BK407" s="174"/>
      <c r="BL407" s="510"/>
      <c r="BM407" s="174"/>
      <c r="BN407" s="174"/>
      <c r="BO407" s="510"/>
      <c r="BP407" s="200"/>
      <c r="BQ407" s="447"/>
      <c r="BR407" s="510"/>
      <c r="BS407" s="174"/>
      <c r="BT407" s="174"/>
      <c r="BU407" s="510"/>
      <c r="BV407" s="200"/>
      <c r="BW407" s="174"/>
      <c r="BX407" s="510"/>
      <c r="BY407" s="174"/>
      <c r="BZ407" s="174"/>
      <c r="CA407" s="510"/>
      <c r="CB407" s="200"/>
      <c r="CC407" s="174"/>
      <c r="CD407" s="510"/>
      <c r="CE407" s="174"/>
      <c r="CF407" s="174"/>
      <c r="CG407" s="510"/>
      <c r="CH407" s="174"/>
      <c r="CI407" s="174"/>
      <c r="CJ407" s="174"/>
      <c r="CK407" s="174"/>
      <c r="CL407" s="174"/>
      <c r="CM407" s="510"/>
      <c r="CN407" s="174"/>
      <c r="CO407" s="549"/>
      <c r="CP407" s="510"/>
      <c r="CQ407" s="200"/>
      <c r="CR407" s="550"/>
      <c r="CS407" s="510"/>
      <c r="CT407" s="390"/>
      <c r="CU407" s="331"/>
      <c r="CV407" s="428"/>
      <c r="CW407" s="155"/>
      <c r="CX407" s="155"/>
      <c r="CY407" s="267"/>
      <c r="CZ407" s="323"/>
      <c r="DA407" s="323"/>
      <c r="DB407" s="423"/>
      <c r="DC407" s="155"/>
      <c r="DD407" s="155"/>
      <c r="DE407" s="267"/>
      <c r="DF407" s="323"/>
      <c r="DG407" s="323"/>
      <c r="DH407" s="428"/>
      <c r="DI407" s="155"/>
      <c r="DJ407" s="155"/>
      <c r="DK407" s="222"/>
      <c r="DL407" s="267"/>
      <c r="DM407" s="155"/>
      <c r="DN407" s="155"/>
      <c r="DO407" s="155"/>
      <c r="DP407" s="423"/>
      <c r="DQ407" s="155"/>
      <c r="DR407" s="155"/>
      <c r="DS407" s="222"/>
      <c r="DT407" s="267"/>
      <c r="DU407" s="174"/>
      <c r="DV407" s="174"/>
      <c r="DW407" s="200"/>
      <c r="DX407" s="428"/>
      <c r="DY407" s="155"/>
      <c r="DZ407" s="155"/>
      <c r="EA407" s="155"/>
      <c r="EB407" s="173"/>
      <c r="EC407" s="155"/>
      <c r="ED407" s="155"/>
      <c r="EE407" s="155"/>
      <c r="EF407" s="423"/>
      <c r="EG407" s="155"/>
      <c r="EH407" s="155"/>
      <c r="EI407" s="155"/>
      <c r="EJ407" s="267"/>
      <c r="EK407" s="155"/>
      <c r="EL407" s="155"/>
      <c r="EM407" s="155"/>
      <c r="EN407" s="428"/>
    </row>
    <row r="408" spans="1:144">
      <c r="A408" s="360"/>
      <c r="B408" s="172"/>
      <c r="C408" s="360"/>
      <c r="D408" s="172"/>
      <c r="E408" s="408"/>
      <c r="F408" s="408"/>
      <c r="G408" s="509"/>
      <c r="H408" s="546"/>
      <c r="I408" s="546"/>
      <c r="J408" s="251"/>
      <c r="K408" s="251"/>
      <c r="L408" s="509"/>
      <c r="M408" s="509"/>
      <c r="N408" s="509"/>
      <c r="O408" s="547"/>
      <c r="P408" s="200"/>
      <c r="Q408" s="174"/>
      <c r="R408" s="390"/>
      <c r="S408" s="510"/>
      <c r="T408" s="200"/>
      <c r="U408" s="174"/>
      <c r="V408" s="174"/>
      <c r="W408" s="510"/>
      <c r="X408" s="174"/>
      <c r="Y408" s="174"/>
      <c r="Z408" s="174"/>
      <c r="AA408" s="510"/>
      <c r="AB408" s="200"/>
      <c r="AC408" s="174"/>
      <c r="AD408" s="390"/>
      <c r="AE408" s="510"/>
      <c r="AF408" s="200"/>
      <c r="AG408" s="174"/>
      <c r="AH408" s="174"/>
      <c r="AI408" s="200"/>
      <c r="AJ408" s="548"/>
      <c r="AK408" s="200"/>
      <c r="AL408" s="174"/>
      <c r="AM408" s="390"/>
      <c r="AN408" s="510"/>
      <c r="AO408" s="200"/>
      <c r="AP408" s="174"/>
      <c r="AQ408" s="510"/>
      <c r="AR408" s="200"/>
      <c r="AS408" s="174"/>
      <c r="AT408" s="510"/>
      <c r="AU408" s="200"/>
      <c r="AV408" s="174"/>
      <c r="AW408" s="510"/>
      <c r="AX408" s="200"/>
      <c r="AY408" s="174"/>
      <c r="AZ408" s="510"/>
      <c r="BA408" s="174"/>
      <c r="BB408" s="174"/>
      <c r="BC408" s="174"/>
      <c r="BD408" s="174"/>
      <c r="BE408" s="174"/>
      <c r="BF408" s="510"/>
      <c r="BG408" s="174"/>
      <c r="BH408" s="174"/>
      <c r="BI408" s="174"/>
      <c r="BJ408" s="200"/>
      <c r="BK408" s="174"/>
      <c r="BL408" s="510"/>
      <c r="BM408" s="174"/>
      <c r="BN408" s="174"/>
      <c r="BO408" s="510"/>
      <c r="BP408" s="200"/>
      <c r="BQ408" s="447"/>
      <c r="BR408" s="510"/>
      <c r="BS408" s="174"/>
      <c r="BT408" s="174"/>
      <c r="BU408" s="510"/>
      <c r="BV408" s="200"/>
      <c r="BW408" s="174"/>
      <c r="BX408" s="510"/>
      <c r="BY408" s="174"/>
      <c r="BZ408" s="174"/>
      <c r="CA408" s="510"/>
      <c r="CB408" s="200"/>
      <c r="CC408" s="174"/>
      <c r="CD408" s="510"/>
      <c r="CE408" s="174"/>
      <c r="CF408" s="174"/>
      <c r="CG408" s="510"/>
      <c r="CH408" s="174"/>
      <c r="CI408" s="174"/>
      <c r="CJ408" s="174"/>
      <c r="CK408" s="174"/>
      <c r="CL408" s="174"/>
      <c r="CM408" s="510"/>
      <c r="CN408" s="174"/>
      <c r="CO408" s="549"/>
      <c r="CP408" s="510"/>
      <c r="CQ408" s="200"/>
      <c r="CR408" s="550"/>
      <c r="CS408" s="510"/>
      <c r="CT408" s="390"/>
      <c r="CU408" s="331"/>
      <c r="CV408" s="428"/>
      <c r="CW408" s="155"/>
      <c r="CX408" s="155"/>
      <c r="CY408" s="267"/>
      <c r="CZ408" s="323"/>
      <c r="DA408" s="323"/>
      <c r="DB408" s="423"/>
      <c r="DC408" s="155"/>
      <c r="DD408" s="155"/>
      <c r="DE408" s="267"/>
      <c r="DF408" s="323"/>
      <c r="DG408" s="323"/>
      <c r="DH408" s="428"/>
      <c r="DI408" s="155"/>
      <c r="DJ408" s="155"/>
      <c r="DK408" s="222"/>
      <c r="DL408" s="267"/>
      <c r="DM408" s="155"/>
      <c r="DN408" s="155"/>
      <c r="DO408" s="155"/>
      <c r="DP408" s="423"/>
      <c r="DQ408" s="155"/>
      <c r="DR408" s="155"/>
      <c r="DS408" s="222"/>
      <c r="DT408" s="267"/>
      <c r="DU408" s="174"/>
      <c r="DV408" s="174"/>
      <c r="DW408" s="200"/>
      <c r="DX408" s="428"/>
      <c r="DY408" s="155"/>
      <c r="DZ408" s="155"/>
      <c r="EA408" s="155"/>
      <c r="EB408" s="173"/>
      <c r="EC408" s="155"/>
      <c r="ED408" s="155"/>
      <c r="EE408" s="155"/>
      <c r="EF408" s="423"/>
      <c r="EG408" s="155"/>
      <c r="EH408" s="155"/>
      <c r="EI408" s="155"/>
      <c r="EJ408" s="267"/>
      <c r="EK408" s="155"/>
      <c r="EL408" s="155"/>
      <c r="EM408" s="155"/>
      <c r="EN408" s="428"/>
    </row>
    <row r="409" spans="1:144">
      <c r="A409" s="360"/>
      <c r="B409" s="172"/>
      <c r="C409" s="360"/>
      <c r="D409" s="172"/>
      <c r="E409" s="408"/>
      <c r="F409" s="408"/>
      <c r="G409" s="509"/>
      <c r="H409" s="546"/>
      <c r="I409" s="546"/>
      <c r="J409" s="251"/>
      <c r="K409" s="251"/>
      <c r="L409" s="509"/>
      <c r="M409" s="509"/>
      <c r="N409" s="509"/>
      <c r="O409" s="547"/>
      <c r="P409" s="200"/>
      <c r="Q409" s="174"/>
      <c r="R409" s="390"/>
      <c r="S409" s="510"/>
      <c r="T409" s="200"/>
      <c r="U409" s="174"/>
      <c r="V409" s="174"/>
      <c r="W409" s="510"/>
      <c r="X409" s="174"/>
      <c r="Y409" s="174"/>
      <c r="Z409" s="174"/>
      <c r="AA409" s="510"/>
      <c r="AB409" s="200"/>
      <c r="AC409" s="174"/>
      <c r="AD409" s="390"/>
      <c r="AE409" s="510"/>
      <c r="AF409" s="200"/>
      <c r="AG409" s="174"/>
      <c r="AH409" s="174"/>
      <c r="AI409" s="200"/>
      <c r="AJ409" s="548"/>
      <c r="AK409" s="200"/>
      <c r="AL409" s="174"/>
      <c r="AM409" s="390"/>
      <c r="AN409" s="510"/>
      <c r="AO409" s="200"/>
      <c r="AP409" s="174"/>
      <c r="AQ409" s="510"/>
      <c r="AR409" s="200"/>
      <c r="AS409" s="174"/>
      <c r="AT409" s="510"/>
      <c r="AU409" s="200"/>
      <c r="AV409" s="174"/>
      <c r="AW409" s="510"/>
      <c r="AX409" s="200"/>
      <c r="AY409" s="174"/>
      <c r="AZ409" s="510"/>
      <c r="BA409" s="174"/>
      <c r="BB409" s="174"/>
      <c r="BC409" s="174"/>
      <c r="BD409" s="174"/>
      <c r="BE409" s="174"/>
      <c r="BF409" s="510"/>
      <c r="BG409" s="174"/>
      <c r="BH409" s="174"/>
      <c r="BI409" s="174"/>
      <c r="BJ409" s="200"/>
      <c r="BK409" s="174"/>
      <c r="BL409" s="510"/>
      <c r="BM409" s="174"/>
      <c r="BN409" s="174"/>
      <c r="BO409" s="510"/>
      <c r="BP409" s="200"/>
      <c r="BQ409" s="447"/>
      <c r="BR409" s="510"/>
      <c r="BS409" s="174"/>
      <c r="BT409" s="174"/>
      <c r="BU409" s="510"/>
      <c r="BV409" s="200"/>
      <c r="BW409" s="174"/>
      <c r="BX409" s="510"/>
      <c r="BY409" s="174"/>
      <c r="BZ409" s="174"/>
      <c r="CA409" s="510"/>
      <c r="CB409" s="200"/>
      <c r="CC409" s="174"/>
      <c r="CD409" s="510"/>
      <c r="CE409" s="174"/>
      <c r="CF409" s="174"/>
      <c r="CG409" s="510"/>
      <c r="CH409" s="174"/>
      <c r="CI409" s="174"/>
      <c r="CJ409" s="174"/>
      <c r="CK409" s="174"/>
      <c r="CL409" s="174"/>
      <c r="CM409" s="510"/>
      <c r="CN409" s="174"/>
      <c r="CO409" s="549"/>
      <c r="CP409" s="510"/>
      <c r="CQ409" s="200"/>
      <c r="CR409" s="550"/>
      <c r="CS409" s="510"/>
      <c r="CT409" s="390"/>
      <c r="CU409" s="331"/>
      <c r="CV409" s="428"/>
      <c r="CW409" s="155"/>
      <c r="CX409" s="155"/>
      <c r="CY409" s="267"/>
      <c r="CZ409" s="323"/>
      <c r="DA409" s="323"/>
      <c r="DB409" s="423"/>
      <c r="DC409" s="155"/>
      <c r="DD409" s="155"/>
      <c r="DE409" s="267"/>
      <c r="DF409" s="323"/>
      <c r="DG409" s="323"/>
      <c r="DH409" s="428"/>
      <c r="DI409" s="155"/>
      <c r="DJ409" s="155"/>
      <c r="DK409" s="222"/>
      <c r="DL409" s="267"/>
      <c r="DM409" s="155"/>
      <c r="DN409" s="155"/>
      <c r="DO409" s="155"/>
      <c r="DP409" s="423"/>
      <c r="DQ409" s="155"/>
      <c r="DR409" s="155"/>
      <c r="DS409" s="222"/>
      <c r="DT409" s="267"/>
      <c r="DU409" s="174"/>
      <c r="DV409" s="174"/>
      <c r="DW409" s="200"/>
      <c r="DX409" s="428"/>
      <c r="DY409" s="155"/>
      <c r="DZ409" s="155"/>
      <c r="EA409" s="155"/>
      <c r="EB409" s="173"/>
      <c r="EC409" s="155"/>
      <c r="ED409" s="155"/>
      <c r="EE409" s="155"/>
      <c r="EF409" s="423"/>
      <c r="EG409" s="155"/>
      <c r="EH409" s="155"/>
      <c r="EI409" s="155"/>
      <c r="EJ409" s="267"/>
      <c r="EK409" s="155"/>
      <c r="EL409" s="155"/>
      <c r="EM409" s="155"/>
      <c r="EN409" s="428"/>
    </row>
    <row r="410" spans="1:144">
      <c r="A410" s="360"/>
      <c r="B410" s="172"/>
      <c r="C410" s="360"/>
      <c r="D410" s="172"/>
      <c r="E410" s="408"/>
      <c r="F410" s="408"/>
      <c r="G410" s="509"/>
      <c r="H410" s="546"/>
      <c r="I410" s="546"/>
      <c r="J410" s="251"/>
      <c r="K410" s="251"/>
      <c r="L410" s="509"/>
      <c r="M410" s="509"/>
      <c r="N410" s="509"/>
      <c r="O410" s="547"/>
      <c r="P410" s="200"/>
      <c r="Q410" s="174"/>
      <c r="R410" s="390"/>
      <c r="S410" s="510"/>
      <c r="T410" s="200"/>
      <c r="U410" s="174"/>
      <c r="V410" s="174"/>
      <c r="W410" s="510"/>
      <c r="X410" s="174"/>
      <c r="Y410" s="174"/>
      <c r="Z410" s="174"/>
      <c r="AA410" s="510"/>
      <c r="AB410" s="200"/>
      <c r="AC410" s="174"/>
      <c r="AD410" s="390"/>
      <c r="AE410" s="510"/>
      <c r="AF410" s="200"/>
      <c r="AG410" s="174"/>
      <c r="AH410" s="174"/>
      <c r="AI410" s="200"/>
      <c r="AJ410" s="548"/>
      <c r="AK410" s="200"/>
      <c r="AL410" s="174"/>
      <c r="AM410" s="390"/>
      <c r="AN410" s="510"/>
      <c r="AO410" s="200"/>
      <c r="AP410" s="174"/>
      <c r="AQ410" s="510"/>
      <c r="AR410" s="200"/>
      <c r="AS410" s="174"/>
      <c r="AT410" s="510"/>
      <c r="AU410" s="200"/>
      <c r="AV410" s="174"/>
      <c r="AW410" s="510"/>
      <c r="AX410" s="200"/>
      <c r="AY410" s="174"/>
      <c r="AZ410" s="510"/>
      <c r="BA410" s="174"/>
      <c r="BB410" s="174"/>
      <c r="BC410" s="174"/>
      <c r="BD410" s="174"/>
      <c r="BE410" s="174"/>
      <c r="BF410" s="510"/>
      <c r="BG410" s="174"/>
      <c r="BH410" s="174"/>
      <c r="BI410" s="174"/>
      <c r="BJ410" s="200"/>
      <c r="BK410" s="174"/>
      <c r="BL410" s="510"/>
      <c r="BM410" s="174"/>
      <c r="BN410" s="174"/>
      <c r="BO410" s="510"/>
      <c r="BP410" s="200"/>
      <c r="BQ410" s="447"/>
      <c r="BR410" s="510"/>
      <c r="BS410" s="174"/>
      <c r="BT410" s="174"/>
      <c r="BU410" s="510"/>
      <c r="BV410" s="200"/>
      <c r="BW410" s="174"/>
      <c r="BX410" s="510"/>
      <c r="BY410" s="174"/>
      <c r="BZ410" s="174"/>
      <c r="CA410" s="510"/>
      <c r="CB410" s="200"/>
      <c r="CC410" s="174"/>
      <c r="CD410" s="510"/>
      <c r="CE410" s="174"/>
      <c r="CF410" s="174"/>
      <c r="CG410" s="510"/>
      <c r="CH410" s="174"/>
      <c r="CI410" s="174"/>
      <c r="CJ410" s="174"/>
      <c r="CK410" s="174"/>
      <c r="CL410" s="174"/>
      <c r="CM410" s="510"/>
      <c r="CN410" s="174"/>
      <c r="CO410" s="549"/>
      <c r="CP410" s="510"/>
      <c r="CQ410" s="200"/>
      <c r="CR410" s="550"/>
      <c r="CS410" s="510"/>
      <c r="CT410" s="390"/>
      <c r="CU410" s="331"/>
      <c r="CV410" s="428"/>
      <c r="CW410" s="155"/>
      <c r="CX410" s="155"/>
      <c r="CY410" s="267"/>
      <c r="CZ410" s="323"/>
      <c r="DA410" s="323"/>
      <c r="DB410" s="423"/>
      <c r="DC410" s="155"/>
      <c r="DD410" s="155"/>
      <c r="DE410" s="267"/>
      <c r="DF410" s="323"/>
      <c r="DG410" s="323"/>
      <c r="DH410" s="428"/>
      <c r="DI410" s="155"/>
      <c r="DJ410" s="155"/>
      <c r="DK410" s="222"/>
      <c r="DL410" s="267"/>
      <c r="DM410" s="155"/>
      <c r="DN410" s="155"/>
      <c r="DO410" s="155"/>
      <c r="DP410" s="423"/>
      <c r="DQ410" s="155"/>
      <c r="DR410" s="155"/>
      <c r="DS410" s="222"/>
      <c r="DT410" s="267"/>
      <c r="DU410" s="174"/>
      <c r="DV410" s="174"/>
      <c r="DW410" s="200"/>
      <c r="DX410" s="428"/>
      <c r="DY410" s="155"/>
      <c r="DZ410" s="155"/>
      <c r="EA410" s="155"/>
      <c r="EB410" s="173"/>
      <c r="EC410" s="155"/>
      <c r="ED410" s="155"/>
      <c r="EE410" s="155"/>
      <c r="EF410" s="423"/>
      <c r="EG410" s="155"/>
      <c r="EH410" s="155"/>
      <c r="EI410" s="155"/>
      <c r="EJ410" s="267"/>
      <c r="EK410" s="155"/>
      <c r="EL410" s="155"/>
      <c r="EM410" s="155"/>
      <c r="EN410" s="428"/>
    </row>
    <row r="411" spans="1:144">
      <c r="A411" s="360"/>
      <c r="B411" s="172"/>
      <c r="C411" s="360"/>
      <c r="D411" s="172"/>
      <c r="E411" s="408"/>
      <c r="F411" s="408"/>
      <c r="G411" s="509"/>
      <c r="H411" s="546"/>
      <c r="I411" s="546"/>
      <c r="J411" s="251"/>
      <c r="K411" s="251"/>
      <c r="L411" s="509"/>
      <c r="M411" s="509"/>
      <c r="N411" s="509"/>
      <c r="O411" s="547"/>
      <c r="P411" s="200"/>
      <c r="Q411" s="174"/>
      <c r="R411" s="390"/>
      <c r="S411" s="510"/>
      <c r="T411" s="200"/>
      <c r="U411" s="174"/>
      <c r="V411" s="174"/>
      <c r="W411" s="510"/>
      <c r="X411" s="174"/>
      <c r="Y411" s="174"/>
      <c r="Z411" s="174"/>
      <c r="AA411" s="510"/>
      <c r="AB411" s="200"/>
      <c r="AC411" s="174"/>
      <c r="AD411" s="390"/>
      <c r="AE411" s="510"/>
      <c r="AF411" s="200"/>
      <c r="AG411" s="174"/>
      <c r="AH411" s="174"/>
      <c r="AI411" s="200"/>
      <c r="AJ411" s="548"/>
      <c r="AK411" s="200"/>
      <c r="AL411" s="174"/>
      <c r="AM411" s="390"/>
      <c r="AN411" s="510"/>
      <c r="AO411" s="200"/>
      <c r="AP411" s="174"/>
      <c r="AQ411" s="510"/>
      <c r="AR411" s="200"/>
      <c r="AS411" s="174"/>
      <c r="AT411" s="510"/>
      <c r="AU411" s="200"/>
      <c r="AV411" s="174"/>
      <c r="AW411" s="510"/>
      <c r="AX411" s="200"/>
      <c r="AY411" s="174"/>
      <c r="AZ411" s="510"/>
      <c r="BA411" s="174"/>
      <c r="BB411" s="174"/>
      <c r="BC411" s="174"/>
      <c r="BD411" s="174"/>
      <c r="BE411" s="174"/>
      <c r="BF411" s="510"/>
      <c r="BG411" s="174"/>
      <c r="BH411" s="174"/>
      <c r="BI411" s="174"/>
      <c r="BJ411" s="200"/>
      <c r="BK411" s="174"/>
      <c r="BL411" s="510"/>
      <c r="BM411" s="174"/>
      <c r="BN411" s="174"/>
      <c r="BO411" s="510"/>
      <c r="BP411" s="200"/>
      <c r="BQ411" s="447"/>
      <c r="BR411" s="510"/>
      <c r="BS411" s="174"/>
      <c r="BT411" s="174"/>
      <c r="BU411" s="510"/>
      <c r="BV411" s="200"/>
      <c r="BW411" s="174"/>
      <c r="BX411" s="510"/>
      <c r="BY411" s="174"/>
      <c r="BZ411" s="174"/>
      <c r="CA411" s="510"/>
      <c r="CB411" s="200"/>
      <c r="CC411" s="174"/>
      <c r="CD411" s="510"/>
      <c r="CE411" s="174"/>
      <c r="CF411" s="174"/>
      <c r="CG411" s="510"/>
      <c r="CH411" s="174"/>
      <c r="CI411" s="174"/>
      <c r="CJ411" s="174"/>
      <c r="CK411" s="174"/>
      <c r="CL411" s="174"/>
      <c r="CM411" s="510"/>
      <c r="CN411" s="174"/>
      <c r="CO411" s="549"/>
      <c r="CP411" s="510"/>
      <c r="CQ411" s="200"/>
      <c r="CR411" s="550"/>
      <c r="CS411" s="510"/>
      <c r="CT411" s="390"/>
      <c r="CU411" s="331"/>
      <c r="CV411" s="428"/>
      <c r="CW411" s="155"/>
      <c r="CX411" s="155"/>
      <c r="CY411" s="267"/>
      <c r="CZ411" s="323"/>
      <c r="DA411" s="323"/>
      <c r="DB411" s="423"/>
      <c r="DC411" s="155"/>
      <c r="DD411" s="155"/>
      <c r="DE411" s="267"/>
      <c r="DF411" s="323"/>
      <c r="DG411" s="323"/>
      <c r="DH411" s="428"/>
      <c r="DI411" s="155"/>
      <c r="DJ411" s="155"/>
      <c r="DK411" s="222"/>
      <c r="DL411" s="267"/>
      <c r="DM411" s="155"/>
      <c r="DN411" s="155"/>
      <c r="DO411" s="155"/>
      <c r="DP411" s="423"/>
      <c r="DQ411" s="155"/>
      <c r="DR411" s="155"/>
      <c r="DS411" s="222"/>
      <c r="DT411" s="267"/>
      <c r="DU411" s="174"/>
      <c r="DV411" s="174"/>
      <c r="DW411" s="200"/>
      <c r="DX411" s="428"/>
      <c r="DY411" s="155"/>
      <c r="DZ411" s="155"/>
      <c r="EA411" s="155"/>
      <c r="EB411" s="173"/>
      <c r="EC411" s="155"/>
      <c r="ED411" s="155"/>
      <c r="EE411" s="155"/>
      <c r="EF411" s="423"/>
      <c r="EG411" s="155"/>
      <c r="EH411" s="155"/>
      <c r="EI411" s="155"/>
      <c r="EJ411" s="267"/>
      <c r="EK411" s="155"/>
      <c r="EL411" s="155"/>
      <c r="EM411" s="155"/>
      <c r="EN411" s="428"/>
    </row>
    <row r="412" spans="1:144">
      <c r="A412" s="360"/>
      <c r="B412" s="172"/>
      <c r="C412" s="360"/>
      <c r="D412" s="172"/>
      <c r="E412" s="408"/>
      <c r="F412" s="408"/>
      <c r="G412" s="509"/>
      <c r="H412" s="546"/>
      <c r="I412" s="546"/>
      <c r="J412" s="251"/>
      <c r="K412" s="251"/>
      <c r="L412" s="509"/>
      <c r="M412" s="509"/>
      <c r="N412" s="509"/>
      <c r="O412" s="547"/>
      <c r="P412" s="200"/>
      <c r="Q412" s="174"/>
      <c r="R412" s="390"/>
      <c r="S412" s="510"/>
      <c r="T412" s="200"/>
      <c r="U412" s="174"/>
      <c r="V412" s="174"/>
      <c r="W412" s="510"/>
      <c r="X412" s="174"/>
      <c r="Y412" s="174"/>
      <c r="Z412" s="174"/>
      <c r="AA412" s="510"/>
      <c r="AB412" s="200"/>
      <c r="AC412" s="174"/>
      <c r="AD412" s="390"/>
      <c r="AE412" s="510"/>
      <c r="AF412" s="200"/>
      <c r="AG412" s="174"/>
      <c r="AH412" s="174"/>
      <c r="AI412" s="200"/>
      <c r="AJ412" s="548"/>
      <c r="AK412" s="200"/>
      <c r="AL412" s="174"/>
      <c r="AM412" s="390"/>
      <c r="AN412" s="510"/>
      <c r="AO412" s="200"/>
      <c r="AP412" s="174"/>
      <c r="AQ412" s="510"/>
      <c r="AR412" s="200"/>
      <c r="AS412" s="174"/>
      <c r="AT412" s="510"/>
      <c r="AU412" s="200"/>
      <c r="AV412" s="174"/>
      <c r="AW412" s="510"/>
      <c r="AX412" s="200"/>
      <c r="AY412" s="174"/>
      <c r="AZ412" s="510"/>
      <c r="BA412" s="174"/>
      <c r="BB412" s="174"/>
      <c r="BC412" s="174"/>
      <c r="BD412" s="174"/>
      <c r="BE412" s="174"/>
      <c r="BF412" s="510"/>
      <c r="BG412" s="174"/>
      <c r="BH412" s="174"/>
      <c r="BI412" s="174"/>
      <c r="BJ412" s="200"/>
      <c r="BK412" s="174"/>
      <c r="BL412" s="510"/>
      <c r="BM412" s="174"/>
      <c r="BN412" s="174"/>
      <c r="BO412" s="510"/>
      <c r="BP412" s="200"/>
      <c r="BQ412" s="447"/>
      <c r="BR412" s="510"/>
      <c r="BS412" s="174"/>
      <c r="BT412" s="174"/>
      <c r="BU412" s="510"/>
      <c r="BV412" s="200"/>
      <c r="BW412" s="174"/>
      <c r="BX412" s="510"/>
      <c r="BY412" s="174"/>
      <c r="BZ412" s="174"/>
      <c r="CA412" s="510"/>
      <c r="CB412" s="200"/>
      <c r="CC412" s="174"/>
      <c r="CD412" s="510"/>
      <c r="CE412" s="174"/>
      <c r="CF412" s="174"/>
      <c r="CG412" s="510"/>
      <c r="CH412" s="174"/>
      <c r="CI412" s="174"/>
      <c r="CJ412" s="174"/>
      <c r="CK412" s="174"/>
      <c r="CL412" s="174"/>
      <c r="CM412" s="510"/>
      <c r="CN412" s="174"/>
      <c r="CO412" s="549"/>
      <c r="CP412" s="510"/>
      <c r="CQ412" s="200"/>
      <c r="CR412" s="550"/>
      <c r="CS412" s="510"/>
      <c r="CT412" s="390"/>
      <c r="CU412" s="331"/>
      <c r="CV412" s="428"/>
      <c r="CW412" s="155"/>
      <c r="CX412" s="155"/>
      <c r="CY412" s="267"/>
      <c r="CZ412" s="323"/>
      <c r="DA412" s="323"/>
      <c r="DB412" s="423"/>
      <c r="DC412" s="155"/>
      <c r="DD412" s="155"/>
      <c r="DE412" s="267"/>
      <c r="DF412" s="323"/>
      <c r="DG412" s="323"/>
      <c r="DH412" s="428"/>
      <c r="DI412" s="155"/>
      <c r="DJ412" s="155"/>
      <c r="DK412" s="222"/>
      <c r="DL412" s="267"/>
      <c r="DM412" s="155"/>
      <c r="DN412" s="155"/>
      <c r="DO412" s="155"/>
      <c r="DP412" s="423"/>
      <c r="DQ412" s="155"/>
      <c r="DR412" s="155"/>
      <c r="DS412" s="222"/>
      <c r="DT412" s="267"/>
      <c r="DU412" s="174"/>
      <c r="DV412" s="174"/>
      <c r="DW412" s="200"/>
      <c r="DX412" s="428"/>
      <c r="DY412" s="155"/>
      <c r="DZ412" s="155"/>
      <c r="EA412" s="155"/>
      <c r="EB412" s="173"/>
      <c r="EC412" s="155"/>
      <c r="ED412" s="155"/>
      <c r="EE412" s="155"/>
      <c r="EF412" s="423"/>
      <c r="EG412" s="155"/>
      <c r="EH412" s="155"/>
      <c r="EI412" s="155"/>
      <c r="EJ412" s="267"/>
      <c r="EK412" s="155"/>
      <c r="EL412" s="155"/>
      <c r="EM412" s="155"/>
      <c r="EN412" s="428"/>
    </row>
    <row r="413" spans="1:144">
      <c r="A413" s="360"/>
      <c r="B413" s="172"/>
      <c r="C413" s="360"/>
      <c r="D413" s="172"/>
      <c r="E413" s="408"/>
      <c r="F413" s="408"/>
      <c r="G413" s="509"/>
      <c r="H413" s="546"/>
      <c r="I413" s="546"/>
      <c r="J413" s="251"/>
      <c r="K413" s="251"/>
      <c r="L413" s="509"/>
      <c r="M413" s="509"/>
      <c r="N413" s="509"/>
      <c r="O413" s="547"/>
      <c r="P413" s="200"/>
      <c r="Q413" s="174"/>
      <c r="R413" s="390"/>
      <c r="S413" s="510"/>
      <c r="T413" s="200"/>
      <c r="U413" s="174"/>
      <c r="V413" s="174"/>
      <c r="W413" s="510"/>
      <c r="X413" s="174"/>
      <c r="Y413" s="174"/>
      <c r="Z413" s="174"/>
      <c r="AA413" s="510"/>
      <c r="AB413" s="200"/>
      <c r="AC413" s="174"/>
      <c r="AD413" s="390"/>
      <c r="AE413" s="510"/>
      <c r="AF413" s="200"/>
      <c r="AG413" s="174"/>
      <c r="AH413" s="174"/>
      <c r="AI413" s="200"/>
      <c r="AJ413" s="548"/>
      <c r="AK413" s="200"/>
      <c r="AL413" s="174"/>
      <c r="AM413" s="390"/>
      <c r="AN413" s="510"/>
      <c r="AO413" s="200"/>
      <c r="AP413" s="174"/>
      <c r="AQ413" s="510"/>
      <c r="AR413" s="200"/>
      <c r="AS413" s="174"/>
      <c r="AT413" s="510"/>
      <c r="AU413" s="200"/>
      <c r="AV413" s="174"/>
      <c r="AW413" s="510"/>
      <c r="AX413" s="200"/>
      <c r="AY413" s="174"/>
      <c r="AZ413" s="510"/>
      <c r="BA413" s="174"/>
      <c r="BB413" s="174"/>
      <c r="BC413" s="174"/>
      <c r="BD413" s="174"/>
      <c r="BE413" s="174"/>
      <c r="BF413" s="510"/>
      <c r="BG413" s="174"/>
      <c r="BH413" s="174"/>
      <c r="BI413" s="174"/>
      <c r="BJ413" s="200"/>
      <c r="BK413" s="174"/>
      <c r="BL413" s="510"/>
      <c r="BM413" s="174"/>
      <c r="BN413" s="174"/>
      <c r="BO413" s="510"/>
      <c r="BP413" s="200"/>
      <c r="BQ413" s="447"/>
      <c r="BR413" s="510"/>
      <c r="BS413" s="174"/>
      <c r="BT413" s="174"/>
      <c r="BU413" s="510"/>
      <c r="BV413" s="200"/>
      <c r="BW413" s="174"/>
      <c r="BX413" s="510"/>
      <c r="BY413" s="174"/>
      <c r="BZ413" s="174"/>
      <c r="CA413" s="510"/>
      <c r="CB413" s="200"/>
      <c r="CC413" s="174"/>
      <c r="CD413" s="510"/>
      <c r="CE413" s="174"/>
      <c r="CF413" s="174"/>
      <c r="CG413" s="510"/>
      <c r="CH413" s="174"/>
      <c r="CI413" s="174"/>
      <c r="CJ413" s="174"/>
      <c r="CK413" s="174"/>
      <c r="CL413" s="174"/>
      <c r="CM413" s="510"/>
      <c r="CN413" s="174"/>
      <c r="CO413" s="549"/>
      <c r="CP413" s="510"/>
      <c r="CQ413" s="200"/>
      <c r="CR413" s="550"/>
      <c r="CS413" s="510"/>
      <c r="CT413" s="390"/>
      <c r="CU413" s="331"/>
      <c r="CV413" s="428"/>
      <c r="CW413" s="155"/>
      <c r="CX413" s="155"/>
      <c r="CY413" s="267"/>
      <c r="CZ413" s="323"/>
      <c r="DA413" s="323"/>
      <c r="DB413" s="423"/>
      <c r="DC413" s="155"/>
      <c r="DD413" s="155"/>
      <c r="DE413" s="267"/>
      <c r="DF413" s="323"/>
      <c r="DG413" s="323"/>
      <c r="DH413" s="428"/>
      <c r="DI413" s="155"/>
      <c r="DJ413" s="155"/>
      <c r="DK413" s="222"/>
      <c r="DL413" s="267"/>
      <c r="DM413" s="155"/>
      <c r="DN413" s="155"/>
      <c r="DO413" s="155"/>
      <c r="DP413" s="423"/>
      <c r="DQ413" s="155"/>
      <c r="DR413" s="155"/>
      <c r="DS413" s="222"/>
      <c r="DT413" s="267"/>
      <c r="DU413" s="174"/>
      <c r="DV413" s="174"/>
      <c r="DW413" s="200"/>
      <c r="DX413" s="428"/>
      <c r="DY413" s="155"/>
      <c r="DZ413" s="155"/>
      <c r="EA413" s="155"/>
      <c r="EB413" s="173"/>
      <c r="EC413" s="155"/>
      <c r="ED413" s="155"/>
      <c r="EE413" s="155"/>
      <c r="EF413" s="423"/>
      <c r="EG413" s="155"/>
      <c r="EH413" s="155"/>
      <c r="EI413" s="155"/>
      <c r="EJ413" s="267"/>
      <c r="EK413" s="155"/>
      <c r="EL413" s="155"/>
      <c r="EM413" s="155"/>
      <c r="EN413" s="428"/>
    </row>
    <row r="414" spans="1:144">
      <c r="A414" s="360"/>
      <c r="B414" s="172"/>
      <c r="C414" s="360"/>
      <c r="D414" s="172"/>
      <c r="E414" s="408"/>
      <c r="F414" s="408"/>
      <c r="G414" s="509"/>
      <c r="H414" s="546"/>
      <c r="I414" s="546"/>
      <c r="J414" s="251"/>
      <c r="K414" s="251"/>
      <c r="L414" s="509"/>
      <c r="M414" s="509"/>
      <c r="N414" s="509"/>
      <c r="O414" s="547"/>
      <c r="P414" s="200"/>
      <c r="Q414" s="174"/>
      <c r="R414" s="390"/>
      <c r="S414" s="510"/>
      <c r="T414" s="200"/>
      <c r="U414" s="174"/>
      <c r="V414" s="174"/>
      <c r="W414" s="510"/>
      <c r="X414" s="174"/>
      <c r="Y414" s="174"/>
      <c r="Z414" s="174"/>
      <c r="AA414" s="510"/>
      <c r="AB414" s="200"/>
      <c r="AC414" s="174"/>
      <c r="AD414" s="390"/>
      <c r="AE414" s="510"/>
      <c r="AF414" s="200"/>
      <c r="AG414" s="174"/>
      <c r="AH414" s="174"/>
      <c r="AI414" s="200"/>
      <c r="AJ414" s="548"/>
      <c r="AK414" s="200"/>
      <c r="AL414" s="174"/>
      <c r="AM414" s="390"/>
      <c r="AN414" s="510"/>
      <c r="AO414" s="200"/>
      <c r="AP414" s="174"/>
      <c r="AQ414" s="510"/>
      <c r="AR414" s="200"/>
      <c r="AS414" s="174"/>
      <c r="AT414" s="510"/>
      <c r="AU414" s="200"/>
      <c r="AV414" s="174"/>
      <c r="AW414" s="510"/>
      <c r="AX414" s="200"/>
      <c r="AY414" s="174"/>
      <c r="AZ414" s="510"/>
      <c r="BA414" s="174"/>
      <c r="BB414" s="174"/>
      <c r="BC414" s="174"/>
      <c r="BD414" s="174"/>
      <c r="BE414" s="174"/>
      <c r="BF414" s="510"/>
      <c r="BG414" s="174"/>
      <c r="BH414" s="174"/>
      <c r="BI414" s="174"/>
      <c r="BJ414" s="200"/>
      <c r="BK414" s="174"/>
      <c r="BL414" s="510"/>
      <c r="BM414" s="174"/>
      <c r="BN414" s="174"/>
      <c r="BO414" s="510"/>
      <c r="BP414" s="200"/>
      <c r="BQ414" s="447"/>
      <c r="BR414" s="510"/>
      <c r="BS414" s="174"/>
      <c r="BT414" s="174"/>
      <c r="BU414" s="510"/>
      <c r="BV414" s="200"/>
      <c r="BW414" s="174"/>
      <c r="BX414" s="510"/>
      <c r="BY414" s="174"/>
      <c r="BZ414" s="174"/>
      <c r="CA414" s="510"/>
      <c r="CB414" s="200"/>
      <c r="CC414" s="174"/>
      <c r="CD414" s="510"/>
      <c r="CE414" s="174"/>
      <c r="CF414" s="174"/>
      <c r="CG414" s="510"/>
      <c r="CH414" s="174"/>
      <c r="CI414" s="174"/>
      <c r="CJ414" s="174"/>
      <c r="CK414" s="174"/>
      <c r="CL414" s="174"/>
      <c r="CM414" s="510"/>
      <c r="CN414" s="174"/>
      <c r="CO414" s="549"/>
      <c r="CP414" s="510"/>
      <c r="CQ414" s="200"/>
      <c r="CR414" s="550"/>
      <c r="CS414" s="510"/>
      <c r="CT414" s="390"/>
      <c r="CU414" s="331"/>
      <c r="CV414" s="428"/>
      <c r="CW414" s="155"/>
      <c r="CX414" s="155"/>
      <c r="CY414" s="267"/>
      <c r="CZ414" s="323"/>
      <c r="DA414" s="323"/>
      <c r="DB414" s="423"/>
      <c r="DC414" s="155"/>
      <c r="DD414" s="155"/>
      <c r="DE414" s="267"/>
      <c r="DF414" s="323"/>
      <c r="DG414" s="323"/>
      <c r="DH414" s="428"/>
      <c r="DI414" s="155"/>
      <c r="DJ414" s="155"/>
      <c r="DK414" s="222"/>
      <c r="DL414" s="267"/>
      <c r="DM414" s="155"/>
      <c r="DN414" s="155"/>
      <c r="DO414" s="155"/>
      <c r="DP414" s="423"/>
      <c r="DQ414" s="155"/>
      <c r="DR414" s="155"/>
      <c r="DS414" s="222"/>
      <c r="DT414" s="267"/>
      <c r="DU414" s="174"/>
      <c r="DV414" s="174"/>
      <c r="DW414" s="200"/>
      <c r="DX414" s="428"/>
      <c r="DY414" s="155"/>
      <c r="DZ414" s="155"/>
      <c r="EA414" s="155"/>
      <c r="EB414" s="173"/>
      <c r="EC414" s="155"/>
      <c r="ED414" s="155"/>
      <c r="EE414" s="155"/>
      <c r="EF414" s="423"/>
      <c r="EG414" s="155"/>
      <c r="EH414" s="155"/>
      <c r="EI414" s="155"/>
      <c r="EJ414" s="267"/>
      <c r="EK414" s="155"/>
      <c r="EL414" s="155"/>
      <c r="EM414" s="155"/>
      <c r="EN414" s="428"/>
    </row>
    <row r="415" spans="1:144">
      <c r="A415" s="360"/>
      <c r="B415" s="172"/>
      <c r="C415" s="360"/>
      <c r="D415" s="172"/>
      <c r="E415" s="408"/>
      <c r="F415" s="408"/>
      <c r="G415" s="509"/>
      <c r="H415" s="546"/>
      <c r="I415" s="546"/>
      <c r="J415" s="251"/>
      <c r="K415" s="251"/>
      <c r="L415" s="509"/>
      <c r="M415" s="509"/>
      <c r="N415" s="509"/>
      <c r="O415" s="547"/>
      <c r="P415" s="200"/>
      <c r="Q415" s="174"/>
      <c r="R415" s="390"/>
      <c r="S415" s="510"/>
      <c r="T415" s="200"/>
      <c r="U415" s="174"/>
      <c r="V415" s="174"/>
      <c r="W415" s="510"/>
      <c r="X415" s="174"/>
      <c r="Y415" s="174"/>
      <c r="Z415" s="174"/>
      <c r="AA415" s="510"/>
      <c r="AB415" s="200"/>
      <c r="AC415" s="174"/>
      <c r="AD415" s="390"/>
      <c r="AE415" s="510"/>
      <c r="AF415" s="200"/>
      <c r="AG415" s="174"/>
      <c r="AH415" s="174"/>
      <c r="AI415" s="200"/>
      <c r="AJ415" s="548"/>
      <c r="AK415" s="200"/>
      <c r="AL415" s="174"/>
      <c r="AM415" s="390"/>
      <c r="AN415" s="510"/>
      <c r="AO415" s="200"/>
      <c r="AP415" s="174"/>
      <c r="AQ415" s="510"/>
      <c r="AR415" s="200"/>
      <c r="AS415" s="174"/>
      <c r="AT415" s="510"/>
      <c r="AU415" s="200"/>
      <c r="AV415" s="174"/>
      <c r="AW415" s="510"/>
      <c r="AX415" s="200"/>
      <c r="AY415" s="174"/>
      <c r="AZ415" s="510"/>
      <c r="BA415" s="174"/>
      <c r="BB415" s="174"/>
      <c r="BC415" s="174"/>
      <c r="BD415" s="174"/>
      <c r="BE415" s="174"/>
      <c r="BF415" s="510"/>
      <c r="BG415" s="174"/>
      <c r="BH415" s="174"/>
      <c r="BI415" s="174"/>
      <c r="BJ415" s="200"/>
      <c r="BK415" s="174"/>
      <c r="BL415" s="510"/>
      <c r="BM415" s="174"/>
      <c r="BN415" s="174"/>
      <c r="BO415" s="510"/>
      <c r="BP415" s="200"/>
      <c r="BQ415" s="447"/>
      <c r="BR415" s="510"/>
      <c r="BS415" s="174"/>
      <c r="BT415" s="174"/>
      <c r="BU415" s="510"/>
      <c r="BV415" s="200"/>
      <c r="BW415" s="174"/>
      <c r="BX415" s="510"/>
      <c r="BY415" s="174"/>
      <c r="BZ415" s="174"/>
      <c r="CA415" s="510"/>
      <c r="CB415" s="200"/>
      <c r="CC415" s="174"/>
      <c r="CD415" s="510"/>
      <c r="CE415" s="174"/>
      <c r="CF415" s="174"/>
      <c r="CG415" s="510"/>
      <c r="CH415" s="174"/>
      <c r="CI415" s="174"/>
      <c r="CJ415" s="174"/>
      <c r="CK415" s="174"/>
      <c r="CL415" s="174"/>
      <c r="CM415" s="510"/>
      <c r="CN415" s="174"/>
      <c r="CO415" s="549"/>
      <c r="CP415" s="510"/>
      <c r="CQ415" s="200"/>
      <c r="CR415" s="550"/>
      <c r="CS415" s="510"/>
      <c r="CT415" s="390"/>
      <c r="CU415" s="331"/>
      <c r="CV415" s="428"/>
      <c r="CW415" s="155"/>
      <c r="CX415" s="155"/>
      <c r="CY415" s="267"/>
      <c r="CZ415" s="323"/>
      <c r="DA415" s="323"/>
      <c r="DB415" s="423"/>
      <c r="DC415" s="155"/>
      <c r="DD415" s="155"/>
      <c r="DE415" s="267"/>
      <c r="DF415" s="323"/>
      <c r="DG415" s="323"/>
      <c r="DH415" s="428"/>
      <c r="DI415" s="155"/>
      <c r="DJ415" s="155"/>
      <c r="DK415" s="222"/>
      <c r="DL415" s="267"/>
      <c r="DM415" s="155"/>
      <c r="DN415" s="155"/>
      <c r="DO415" s="155"/>
      <c r="DP415" s="423"/>
      <c r="DQ415" s="155"/>
      <c r="DR415" s="155"/>
      <c r="DS415" s="222"/>
      <c r="DT415" s="267"/>
      <c r="DU415" s="174"/>
      <c r="DV415" s="174"/>
      <c r="DW415" s="200"/>
      <c r="DX415" s="428"/>
      <c r="DY415" s="155"/>
      <c r="DZ415" s="155"/>
      <c r="EA415" s="155"/>
      <c r="EB415" s="173"/>
      <c r="EC415" s="155"/>
      <c r="ED415" s="155"/>
      <c r="EE415" s="155"/>
      <c r="EF415" s="423"/>
      <c r="EG415" s="155"/>
      <c r="EH415" s="155"/>
      <c r="EI415" s="155"/>
      <c r="EJ415" s="267"/>
      <c r="EK415" s="155"/>
      <c r="EL415" s="155"/>
      <c r="EM415" s="155"/>
      <c r="EN415" s="428"/>
    </row>
    <row r="416" spans="1:144">
      <c r="A416" s="360"/>
      <c r="B416" s="172"/>
      <c r="C416" s="360"/>
      <c r="D416" s="172"/>
      <c r="E416" s="408"/>
      <c r="F416" s="408"/>
      <c r="G416" s="509"/>
      <c r="H416" s="546"/>
      <c r="I416" s="546"/>
      <c r="J416" s="251"/>
      <c r="K416" s="251"/>
      <c r="L416" s="509"/>
      <c r="M416" s="509"/>
      <c r="N416" s="509"/>
      <c r="O416" s="547"/>
      <c r="P416" s="200"/>
      <c r="Q416" s="174"/>
      <c r="R416" s="390"/>
      <c r="S416" s="510"/>
      <c r="T416" s="200"/>
      <c r="U416" s="174"/>
      <c r="V416" s="174"/>
      <c r="W416" s="510"/>
      <c r="X416" s="174"/>
      <c r="Y416" s="174"/>
      <c r="Z416" s="174"/>
      <c r="AA416" s="510"/>
      <c r="AB416" s="200"/>
      <c r="AC416" s="174"/>
      <c r="AD416" s="390"/>
      <c r="AE416" s="510"/>
      <c r="AF416" s="200"/>
      <c r="AG416" s="174"/>
      <c r="AH416" s="174"/>
      <c r="AI416" s="200"/>
      <c r="AJ416" s="548"/>
      <c r="AK416" s="200"/>
      <c r="AL416" s="174"/>
      <c r="AM416" s="390"/>
      <c r="AN416" s="510"/>
      <c r="AO416" s="200"/>
      <c r="AP416" s="174"/>
      <c r="AQ416" s="510"/>
      <c r="AR416" s="200"/>
      <c r="AS416" s="174"/>
      <c r="AT416" s="510"/>
      <c r="AU416" s="200"/>
      <c r="AV416" s="174"/>
      <c r="AW416" s="510"/>
      <c r="AX416" s="200"/>
      <c r="AY416" s="174"/>
      <c r="AZ416" s="510"/>
      <c r="BA416" s="174"/>
      <c r="BB416" s="174"/>
      <c r="BC416" s="174"/>
      <c r="BD416" s="174"/>
      <c r="BE416" s="174"/>
      <c r="BF416" s="510"/>
      <c r="BG416" s="174"/>
      <c r="BH416" s="174"/>
      <c r="BI416" s="174"/>
      <c r="BJ416" s="200"/>
      <c r="BK416" s="174"/>
      <c r="BL416" s="510"/>
      <c r="BM416" s="174"/>
      <c r="BN416" s="174"/>
      <c r="BO416" s="510"/>
      <c r="BP416" s="200"/>
      <c r="BQ416" s="447"/>
      <c r="BR416" s="510"/>
      <c r="BS416" s="174"/>
      <c r="BT416" s="174"/>
      <c r="BU416" s="510"/>
      <c r="BV416" s="200"/>
      <c r="BW416" s="174"/>
      <c r="BX416" s="510"/>
      <c r="BY416" s="174"/>
      <c r="BZ416" s="174"/>
      <c r="CA416" s="510"/>
      <c r="CB416" s="200"/>
      <c r="CC416" s="174"/>
      <c r="CD416" s="510"/>
      <c r="CE416" s="174"/>
      <c r="CF416" s="174"/>
      <c r="CG416" s="510"/>
      <c r="CH416" s="174"/>
      <c r="CI416" s="174"/>
      <c r="CJ416" s="174"/>
      <c r="CK416" s="174"/>
      <c r="CL416" s="174"/>
      <c r="CM416" s="510"/>
      <c r="CN416" s="174"/>
      <c r="CO416" s="549"/>
      <c r="CP416" s="510"/>
      <c r="CQ416" s="200"/>
      <c r="CR416" s="550"/>
      <c r="CS416" s="510"/>
      <c r="CT416" s="390"/>
      <c r="CU416" s="331"/>
      <c r="CV416" s="428"/>
      <c r="CW416" s="155"/>
      <c r="CX416" s="155"/>
      <c r="CY416" s="267"/>
      <c r="CZ416" s="323"/>
      <c r="DA416" s="323"/>
      <c r="DB416" s="423"/>
      <c r="DC416" s="155"/>
      <c r="DD416" s="155"/>
      <c r="DE416" s="267"/>
      <c r="DF416" s="323"/>
      <c r="DG416" s="323"/>
      <c r="DH416" s="428"/>
      <c r="DI416" s="155"/>
      <c r="DJ416" s="155"/>
      <c r="DK416" s="222"/>
      <c r="DL416" s="267"/>
      <c r="DM416" s="155"/>
      <c r="DN416" s="155"/>
      <c r="DO416" s="155"/>
      <c r="DP416" s="423"/>
      <c r="DQ416" s="155"/>
      <c r="DR416" s="155"/>
      <c r="DS416" s="222"/>
      <c r="DT416" s="267"/>
      <c r="DU416" s="174"/>
      <c r="DV416" s="174"/>
      <c r="DW416" s="200"/>
      <c r="DX416" s="428"/>
      <c r="DY416" s="155"/>
      <c r="DZ416" s="155"/>
      <c r="EA416" s="155"/>
      <c r="EB416" s="173"/>
      <c r="EC416" s="155"/>
      <c r="ED416" s="155"/>
      <c r="EE416" s="155"/>
      <c r="EF416" s="423"/>
      <c r="EG416" s="155"/>
      <c r="EH416" s="155"/>
      <c r="EI416" s="155"/>
      <c r="EJ416" s="267"/>
      <c r="EK416" s="155"/>
      <c r="EL416" s="155"/>
      <c r="EM416" s="155"/>
      <c r="EN416" s="428"/>
    </row>
    <row r="417" spans="1:144">
      <c r="A417" s="360"/>
      <c r="B417" s="172"/>
      <c r="C417" s="360"/>
      <c r="D417" s="172"/>
      <c r="E417" s="408"/>
      <c r="F417" s="408"/>
      <c r="G417" s="509"/>
      <c r="H417" s="546"/>
      <c r="I417" s="546"/>
      <c r="J417" s="251"/>
      <c r="K417" s="251"/>
      <c r="L417" s="509"/>
      <c r="M417" s="509"/>
      <c r="N417" s="509"/>
      <c r="O417" s="547"/>
      <c r="P417" s="200"/>
      <c r="Q417" s="174"/>
      <c r="R417" s="390"/>
      <c r="S417" s="510"/>
      <c r="T417" s="200"/>
      <c r="U417" s="174"/>
      <c r="V417" s="174"/>
      <c r="W417" s="510"/>
      <c r="X417" s="174"/>
      <c r="Y417" s="174"/>
      <c r="Z417" s="174"/>
      <c r="AA417" s="510"/>
      <c r="AB417" s="200"/>
      <c r="AC417" s="174"/>
      <c r="AD417" s="390"/>
      <c r="AE417" s="510"/>
      <c r="AF417" s="200"/>
      <c r="AG417" s="174"/>
      <c r="AH417" s="174"/>
      <c r="AI417" s="200"/>
      <c r="AJ417" s="548"/>
      <c r="AK417" s="200"/>
      <c r="AL417" s="174"/>
      <c r="AM417" s="390"/>
      <c r="AN417" s="510"/>
      <c r="AO417" s="200"/>
      <c r="AP417" s="174"/>
      <c r="AQ417" s="510"/>
      <c r="AR417" s="200"/>
      <c r="AS417" s="174"/>
      <c r="AT417" s="510"/>
      <c r="AU417" s="200"/>
      <c r="AV417" s="174"/>
      <c r="AW417" s="510"/>
      <c r="AX417" s="200"/>
      <c r="AY417" s="174"/>
      <c r="AZ417" s="510"/>
      <c r="BA417" s="174"/>
      <c r="BB417" s="174"/>
      <c r="BC417" s="174"/>
      <c r="BD417" s="174"/>
      <c r="BE417" s="174"/>
      <c r="BF417" s="510"/>
      <c r="BG417" s="174"/>
      <c r="BH417" s="174"/>
      <c r="BI417" s="174"/>
      <c r="BJ417" s="200"/>
      <c r="BK417" s="174"/>
      <c r="BL417" s="510"/>
      <c r="BM417" s="174"/>
      <c r="BN417" s="174"/>
      <c r="BO417" s="510"/>
      <c r="BP417" s="200"/>
      <c r="BQ417" s="447"/>
      <c r="BR417" s="510"/>
      <c r="BS417" s="174"/>
      <c r="BT417" s="174"/>
      <c r="BU417" s="510"/>
      <c r="BV417" s="200"/>
      <c r="BW417" s="174"/>
      <c r="BX417" s="510"/>
      <c r="BY417" s="174"/>
      <c r="BZ417" s="174"/>
      <c r="CA417" s="510"/>
      <c r="CB417" s="200"/>
      <c r="CC417" s="174"/>
      <c r="CD417" s="510"/>
      <c r="CE417" s="174"/>
      <c r="CF417" s="174"/>
      <c r="CG417" s="510"/>
      <c r="CH417" s="174"/>
      <c r="CI417" s="174"/>
      <c r="CJ417" s="174"/>
      <c r="CK417" s="174"/>
      <c r="CL417" s="174"/>
      <c r="CM417" s="510"/>
      <c r="CN417" s="174"/>
      <c r="CO417" s="549"/>
      <c r="CP417" s="510"/>
      <c r="CQ417" s="200"/>
      <c r="CR417" s="550"/>
      <c r="CS417" s="510"/>
      <c r="CT417" s="390"/>
      <c r="CU417" s="331"/>
      <c r="CV417" s="428"/>
      <c r="CW417" s="155"/>
      <c r="CX417" s="155"/>
      <c r="CY417" s="267"/>
      <c r="CZ417" s="323"/>
      <c r="DA417" s="323"/>
      <c r="DB417" s="423"/>
      <c r="DC417" s="155"/>
      <c r="DD417" s="155"/>
      <c r="DE417" s="267"/>
      <c r="DF417" s="323"/>
      <c r="DG417" s="323"/>
      <c r="DH417" s="428"/>
      <c r="DI417" s="155"/>
      <c r="DJ417" s="155"/>
      <c r="DK417" s="222"/>
      <c r="DL417" s="267"/>
      <c r="DM417" s="155"/>
      <c r="DN417" s="155"/>
      <c r="DO417" s="155"/>
      <c r="DP417" s="423"/>
      <c r="DQ417" s="155"/>
      <c r="DR417" s="155"/>
      <c r="DS417" s="222"/>
      <c r="DT417" s="267"/>
      <c r="DU417" s="174"/>
      <c r="DV417" s="174"/>
      <c r="DW417" s="200"/>
      <c r="DX417" s="428"/>
      <c r="DY417" s="155"/>
      <c r="DZ417" s="155"/>
      <c r="EA417" s="155"/>
      <c r="EB417" s="173"/>
      <c r="EC417" s="155"/>
      <c r="ED417" s="155"/>
      <c r="EE417" s="155"/>
      <c r="EF417" s="423"/>
      <c r="EG417" s="155"/>
      <c r="EH417" s="155"/>
      <c r="EI417" s="155"/>
      <c r="EJ417" s="267"/>
      <c r="EK417" s="155"/>
      <c r="EL417" s="155"/>
      <c r="EM417" s="155"/>
      <c r="EN417" s="428"/>
    </row>
    <row r="418" spans="1:144">
      <c r="A418" s="360"/>
      <c r="B418" s="172"/>
      <c r="C418" s="360"/>
      <c r="D418" s="172"/>
      <c r="E418" s="408"/>
      <c r="F418" s="408"/>
      <c r="G418" s="509"/>
      <c r="H418" s="546"/>
      <c r="I418" s="546"/>
      <c r="J418" s="251"/>
      <c r="K418" s="251"/>
      <c r="L418" s="509"/>
      <c r="M418" s="509"/>
      <c r="N418" s="509"/>
      <c r="O418" s="547"/>
      <c r="P418" s="200"/>
      <c r="Q418" s="174"/>
      <c r="R418" s="390"/>
      <c r="S418" s="510"/>
      <c r="T418" s="200"/>
      <c r="U418" s="174"/>
      <c r="V418" s="174"/>
      <c r="W418" s="510"/>
      <c r="X418" s="174"/>
      <c r="Y418" s="174"/>
      <c r="Z418" s="174"/>
      <c r="AA418" s="510"/>
      <c r="AB418" s="200"/>
      <c r="AC418" s="174"/>
      <c r="AD418" s="390"/>
      <c r="AE418" s="510"/>
      <c r="AF418" s="200"/>
      <c r="AG418" s="174"/>
      <c r="AH418" s="174"/>
      <c r="AI418" s="200"/>
      <c r="AJ418" s="548"/>
      <c r="AK418" s="200"/>
      <c r="AL418" s="174"/>
      <c r="AM418" s="390"/>
      <c r="AN418" s="510"/>
      <c r="AO418" s="200"/>
      <c r="AP418" s="174"/>
      <c r="AQ418" s="510"/>
      <c r="AR418" s="200"/>
      <c r="AS418" s="174"/>
      <c r="AT418" s="510"/>
      <c r="AU418" s="200"/>
      <c r="AV418" s="174"/>
      <c r="AW418" s="510"/>
      <c r="AX418" s="200"/>
      <c r="AY418" s="174"/>
      <c r="AZ418" s="510"/>
      <c r="BA418" s="174"/>
      <c r="BB418" s="174"/>
      <c r="BC418" s="174"/>
      <c r="BD418" s="174"/>
      <c r="BE418" s="174"/>
      <c r="BF418" s="510"/>
      <c r="BG418" s="174"/>
      <c r="BH418" s="174"/>
      <c r="BI418" s="174"/>
      <c r="BJ418" s="200"/>
      <c r="BK418" s="174"/>
      <c r="BL418" s="510"/>
      <c r="BM418" s="174"/>
      <c r="BN418" s="174"/>
      <c r="BO418" s="510"/>
      <c r="BP418" s="200"/>
      <c r="BQ418" s="447"/>
      <c r="BR418" s="510"/>
      <c r="BS418" s="174"/>
      <c r="BT418" s="174"/>
      <c r="BU418" s="510"/>
      <c r="BV418" s="200"/>
      <c r="BW418" s="174"/>
      <c r="BX418" s="510"/>
      <c r="BY418" s="174"/>
      <c r="BZ418" s="174"/>
      <c r="CA418" s="510"/>
      <c r="CB418" s="200"/>
      <c r="CC418" s="174"/>
      <c r="CD418" s="510"/>
      <c r="CE418" s="174"/>
      <c r="CF418" s="174"/>
      <c r="CG418" s="510"/>
      <c r="CH418" s="174"/>
      <c r="CI418" s="174"/>
      <c r="CJ418" s="174"/>
      <c r="CK418" s="174"/>
      <c r="CL418" s="174"/>
      <c r="CM418" s="510"/>
      <c r="CN418" s="174"/>
      <c r="CO418" s="549"/>
      <c r="CP418" s="510"/>
      <c r="CQ418" s="200"/>
      <c r="CR418" s="550"/>
      <c r="CS418" s="510"/>
      <c r="CT418" s="390"/>
      <c r="CU418" s="331"/>
      <c r="CV418" s="428"/>
      <c r="CW418" s="155"/>
      <c r="CX418" s="155"/>
      <c r="CY418" s="267"/>
      <c r="CZ418" s="323"/>
      <c r="DA418" s="323"/>
      <c r="DB418" s="423"/>
      <c r="DC418" s="155"/>
      <c r="DD418" s="155"/>
      <c r="DE418" s="267"/>
      <c r="DF418" s="323"/>
      <c r="DG418" s="323"/>
      <c r="DH418" s="428"/>
      <c r="DI418" s="155"/>
      <c r="DJ418" s="155"/>
      <c r="DK418" s="222"/>
      <c r="DL418" s="267"/>
      <c r="DM418" s="155"/>
      <c r="DN418" s="155"/>
      <c r="DO418" s="155"/>
      <c r="DP418" s="423"/>
      <c r="DQ418" s="155"/>
      <c r="DR418" s="155"/>
      <c r="DS418" s="222"/>
      <c r="DT418" s="267"/>
      <c r="DU418" s="174"/>
      <c r="DV418" s="174"/>
      <c r="DW418" s="200"/>
      <c r="DX418" s="428"/>
      <c r="DY418" s="155"/>
      <c r="DZ418" s="155"/>
      <c r="EA418" s="155"/>
      <c r="EB418" s="173"/>
      <c r="EC418" s="155"/>
      <c r="ED418" s="155"/>
      <c r="EE418" s="155"/>
      <c r="EF418" s="423"/>
      <c r="EG418" s="155"/>
      <c r="EH418" s="155"/>
      <c r="EI418" s="155"/>
      <c r="EJ418" s="267"/>
      <c r="EK418" s="155"/>
      <c r="EL418" s="155"/>
      <c r="EM418" s="155"/>
      <c r="EN418" s="428"/>
    </row>
    <row r="419" spans="1:144">
      <c r="A419" s="360"/>
      <c r="B419" s="172"/>
      <c r="C419" s="360"/>
      <c r="D419" s="172"/>
      <c r="E419" s="408"/>
      <c r="F419" s="408"/>
      <c r="G419" s="509"/>
      <c r="H419" s="546"/>
      <c r="I419" s="546"/>
      <c r="J419" s="251"/>
      <c r="K419" s="251"/>
      <c r="L419" s="509"/>
      <c r="M419" s="509"/>
      <c r="N419" s="509"/>
      <c r="O419" s="547"/>
      <c r="P419" s="200"/>
      <c r="Q419" s="174"/>
      <c r="R419" s="390"/>
      <c r="S419" s="510"/>
      <c r="T419" s="200"/>
      <c r="U419" s="174"/>
      <c r="V419" s="174"/>
      <c r="W419" s="510"/>
      <c r="X419" s="174"/>
      <c r="Y419" s="174"/>
      <c r="Z419" s="174"/>
      <c r="AA419" s="510"/>
      <c r="AB419" s="200"/>
      <c r="AC419" s="174"/>
      <c r="AD419" s="390"/>
      <c r="AE419" s="510"/>
      <c r="AF419" s="200"/>
      <c r="AG419" s="174"/>
      <c r="AH419" s="174"/>
      <c r="AI419" s="200"/>
      <c r="AJ419" s="548"/>
      <c r="AK419" s="200"/>
      <c r="AL419" s="174"/>
      <c r="AM419" s="390"/>
      <c r="AN419" s="510"/>
      <c r="AO419" s="200"/>
      <c r="AP419" s="174"/>
      <c r="AQ419" s="510"/>
      <c r="AR419" s="200"/>
      <c r="AS419" s="174"/>
      <c r="AT419" s="510"/>
      <c r="AU419" s="200"/>
      <c r="AV419" s="174"/>
      <c r="AW419" s="510"/>
      <c r="AX419" s="200"/>
      <c r="AY419" s="174"/>
      <c r="AZ419" s="510"/>
      <c r="BA419" s="174"/>
      <c r="BB419" s="174"/>
      <c r="BC419" s="174"/>
      <c r="BD419" s="174"/>
      <c r="BE419" s="174"/>
      <c r="BF419" s="510"/>
      <c r="BG419" s="174"/>
      <c r="BH419" s="174"/>
      <c r="BI419" s="174"/>
      <c r="BJ419" s="200"/>
      <c r="BK419" s="174"/>
      <c r="BL419" s="510"/>
      <c r="BM419" s="174"/>
      <c r="BN419" s="174"/>
      <c r="BO419" s="510"/>
      <c r="BP419" s="200"/>
      <c r="BQ419" s="447"/>
      <c r="BR419" s="510"/>
      <c r="BS419" s="174"/>
      <c r="BT419" s="174"/>
      <c r="BU419" s="510"/>
      <c r="BV419" s="200"/>
      <c r="BW419" s="174"/>
      <c r="BX419" s="510"/>
      <c r="BY419" s="174"/>
      <c r="BZ419" s="174"/>
      <c r="CA419" s="510"/>
      <c r="CB419" s="200"/>
      <c r="CC419" s="174"/>
      <c r="CD419" s="510"/>
      <c r="CE419" s="174"/>
      <c r="CF419" s="174"/>
      <c r="CG419" s="510"/>
      <c r="CH419" s="174"/>
      <c r="CI419" s="174"/>
      <c r="CJ419" s="174"/>
      <c r="CK419" s="174"/>
      <c r="CL419" s="174"/>
      <c r="CM419" s="510"/>
      <c r="CN419" s="174"/>
      <c r="CO419" s="549"/>
      <c r="CP419" s="510"/>
      <c r="CQ419" s="200"/>
      <c r="CR419" s="550"/>
      <c r="CS419" s="510"/>
      <c r="CT419" s="390"/>
      <c r="CU419" s="331"/>
      <c r="CV419" s="428"/>
      <c r="CW419" s="155"/>
      <c r="CX419" s="155"/>
      <c r="CY419" s="267"/>
      <c r="CZ419" s="323"/>
      <c r="DA419" s="323"/>
      <c r="DB419" s="423"/>
      <c r="DC419" s="155"/>
      <c r="DD419" s="155"/>
      <c r="DE419" s="267"/>
      <c r="DF419" s="323"/>
      <c r="DG419" s="323"/>
      <c r="DH419" s="428"/>
      <c r="DI419" s="155"/>
      <c r="DJ419" s="155"/>
      <c r="DK419" s="222"/>
      <c r="DL419" s="267"/>
      <c r="DM419" s="155"/>
      <c r="DN419" s="155"/>
      <c r="DO419" s="155"/>
      <c r="DP419" s="423"/>
      <c r="DQ419" s="155"/>
      <c r="DR419" s="155"/>
      <c r="DS419" s="222"/>
      <c r="DT419" s="267"/>
      <c r="DU419" s="174"/>
      <c r="DV419" s="174"/>
      <c r="DW419" s="200"/>
      <c r="DX419" s="428"/>
      <c r="DY419" s="155"/>
      <c r="DZ419" s="155"/>
      <c r="EA419" s="155"/>
      <c r="EB419" s="173"/>
      <c r="EC419" s="155"/>
      <c r="ED419" s="155"/>
      <c r="EE419" s="155"/>
      <c r="EF419" s="423"/>
      <c r="EG419" s="155"/>
      <c r="EH419" s="155"/>
      <c r="EI419" s="155"/>
      <c r="EJ419" s="267"/>
      <c r="EK419" s="155"/>
      <c r="EL419" s="155"/>
      <c r="EM419" s="155"/>
      <c r="EN419" s="428"/>
    </row>
    <row r="420" spans="1:144">
      <c r="A420" s="360"/>
      <c r="B420" s="172"/>
      <c r="C420" s="360"/>
      <c r="D420" s="172"/>
      <c r="E420" s="408"/>
      <c r="F420" s="408"/>
      <c r="G420" s="509"/>
      <c r="H420" s="546"/>
      <c r="I420" s="546"/>
      <c r="J420" s="251"/>
      <c r="K420" s="251"/>
      <c r="L420" s="509"/>
      <c r="M420" s="509"/>
      <c r="N420" s="509"/>
      <c r="O420" s="547"/>
      <c r="P420" s="200"/>
      <c r="Q420" s="174"/>
      <c r="R420" s="390"/>
      <c r="S420" s="510"/>
      <c r="T420" s="200"/>
      <c r="U420" s="174"/>
      <c r="V420" s="174"/>
      <c r="W420" s="510"/>
      <c r="X420" s="174"/>
      <c r="Y420" s="174"/>
      <c r="Z420" s="174"/>
      <c r="AA420" s="510"/>
      <c r="AB420" s="200"/>
      <c r="AC420" s="174"/>
      <c r="AD420" s="390"/>
      <c r="AE420" s="510"/>
      <c r="AF420" s="200"/>
      <c r="AG420" s="174"/>
      <c r="AH420" s="174"/>
      <c r="AI420" s="200"/>
      <c r="AJ420" s="548"/>
      <c r="AK420" s="200"/>
      <c r="AL420" s="174"/>
      <c r="AM420" s="390"/>
      <c r="AN420" s="510"/>
      <c r="AO420" s="200"/>
      <c r="AP420" s="174"/>
      <c r="AQ420" s="510"/>
      <c r="AR420" s="200"/>
      <c r="AS420" s="174"/>
      <c r="AT420" s="510"/>
      <c r="AU420" s="200"/>
      <c r="AV420" s="174"/>
      <c r="AW420" s="510"/>
      <c r="AX420" s="200"/>
      <c r="AY420" s="174"/>
      <c r="AZ420" s="510"/>
      <c r="BA420" s="174"/>
      <c r="BB420" s="174"/>
      <c r="BC420" s="174"/>
      <c r="BD420" s="174"/>
      <c r="BE420" s="174"/>
      <c r="BF420" s="510"/>
      <c r="BG420" s="174"/>
      <c r="BH420" s="174"/>
      <c r="BI420" s="174"/>
      <c r="BJ420" s="200"/>
      <c r="BK420" s="174"/>
      <c r="BL420" s="510"/>
      <c r="BM420" s="174"/>
      <c r="BN420" s="174"/>
      <c r="BO420" s="510"/>
      <c r="BP420" s="200"/>
      <c r="BQ420" s="447"/>
      <c r="BR420" s="510"/>
      <c r="BS420" s="174"/>
      <c r="BT420" s="174"/>
      <c r="BU420" s="510"/>
      <c r="BV420" s="200"/>
      <c r="BW420" s="174"/>
      <c r="BX420" s="510"/>
      <c r="BY420" s="174"/>
      <c r="BZ420" s="174"/>
      <c r="CA420" s="510"/>
      <c r="CB420" s="200"/>
      <c r="CC420" s="174"/>
      <c r="CD420" s="510"/>
      <c r="CE420" s="174"/>
      <c r="CF420" s="174"/>
      <c r="CG420" s="510"/>
      <c r="CH420" s="174"/>
      <c r="CI420" s="174"/>
      <c r="CJ420" s="174"/>
      <c r="CK420" s="174"/>
      <c r="CL420" s="174"/>
      <c r="CM420" s="510"/>
      <c r="CN420" s="174"/>
      <c r="CO420" s="549"/>
      <c r="CP420" s="510"/>
      <c r="CQ420" s="200"/>
      <c r="CR420" s="550"/>
      <c r="CS420" s="510"/>
      <c r="CT420" s="390"/>
      <c r="CU420" s="331"/>
      <c r="CV420" s="428"/>
      <c r="CW420" s="155"/>
      <c r="CX420" s="155"/>
      <c r="CY420" s="267"/>
      <c r="CZ420" s="323"/>
      <c r="DA420" s="323"/>
      <c r="DB420" s="423"/>
      <c r="DC420" s="155"/>
      <c r="DD420" s="155"/>
      <c r="DE420" s="267"/>
      <c r="DF420" s="323"/>
      <c r="DG420" s="323"/>
      <c r="DH420" s="428"/>
      <c r="DI420" s="155"/>
      <c r="DJ420" s="155"/>
      <c r="DK420" s="222"/>
      <c r="DL420" s="267"/>
      <c r="DM420" s="155"/>
      <c r="DN420" s="155"/>
      <c r="DO420" s="155"/>
      <c r="DP420" s="423"/>
      <c r="DQ420" s="155"/>
      <c r="DR420" s="155"/>
      <c r="DS420" s="222"/>
      <c r="DT420" s="267"/>
      <c r="DU420" s="174"/>
      <c r="DV420" s="174"/>
      <c r="DW420" s="200"/>
      <c r="DX420" s="428"/>
      <c r="DY420" s="155"/>
      <c r="DZ420" s="155"/>
      <c r="EA420" s="155"/>
      <c r="EB420" s="173"/>
      <c r="EC420" s="155"/>
      <c r="ED420" s="155"/>
      <c r="EE420" s="155"/>
      <c r="EF420" s="423"/>
      <c r="EG420" s="155"/>
      <c r="EH420" s="155"/>
      <c r="EI420" s="155"/>
      <c r="EJ420" s="267"/>
      <c r="EK420" s="155"/>
      <c r="EL420" s="155"/>
      <c r="EM420" s="155"/>
      <c r="EN420" s="428"/>
    </row>
    <row r="421" spans="1:144">
      <c r="A421" s="360"/>
      <c r="B421" s="172"/>
      <c r="C421" s="360"/>
      <c r="D421" s="172"/>
      <c r="E421" s="408"/>
      <c r="F421" s="408"/>
      <c r="G421" s="509"/>
      <c r="H421" s="546"/>
      <c r="I421" s="546"/>
      <c r="J421" s="251"/>
      <c r="K421" s="251"/>
      <c r="L421" s="509"/>
      <c r="M421" s="509"/>
      <c r="N421" s="509"/>
      <c r="O421" s="547"/>
      <c r="P421" s="200"/>
      <c r="Q421" s="174"/>
      <c r="R421" s="390"/>
      <c r="S421" s="510"/>
      <c r="T421" s="200"/>
      <c r="U421" s="174"/>
      <c r="V421" s="174"/>
      <c r="W421" s="510"/>
      <c r="X421" s="174"/>
      <c r="Y421" s="174"/>
      <c r="Z421" s="174"/>
      <c r="AA421" s="510"/>
      <c r="AB421" s="200"/>
      <c r="AC421" s="174"/>
      <c r="AD421" s="390"/>
      <c r="AE421" s="510"/>
      <c r="AF421" s="200"/>
      <c r="AG421" s="174"/>
      <c r="AH421" s="174"/>
      <c r="AI421" s="200"/>
      <c r="AJ421" s="548"/>
      <c r="AK421" s="200"/>
      <c r="AL421" s="174"/>
      <c r="AM421" s="390"/>
      <c r="AN421" s="510"/>
      <c r="AO421" s="200"/>
      <c r="AP421" s="174"/>
      <c r="AQ421" s="510"/>
      <c r="AR421" s="200"/>
      <c r="AS421" s="174"/>
      <c r="AT421" s="510"/>
      <c r="AU421" s="200"/>
      <c r="AV421" s="174"/>
      <c r="AW421" s="510"/>
      <c r="AX421" s="200"/>
      <c r="AY421" s="174"/>
      <c r="AZ421" s="510"/>
      <c r="BA421" s="174"/>
      <c r="BB421" s="174"/>
      <c r="BC421" s="174"/>
      <c r="BD421" s="174"/>
      <c r="BE421" s="174"/>
      <c r="BF421" s="510"/>
      <c r="BG421" s="174"/>
      <c r="BH421" s="174"/>
      <c r="BI421" s="174"/>
      <c r="BJ421" s="200"/>
      <c r="BK421" s="174"/>
      <c r="BL421" s="510"/>
      <c r="BM421" s="174"/>
      <c r="BN421" s="174"/>
      <c r="BO421" s="510"/>
      <c r="BP421" s="200"/>
      <c r="BQ421" s="447"/>
      <c r="BR421" s="510"/>
      <c r="BS421" s="174"/>
      <c r="BT421" s="174"/>
      <c r="BU421" s="510"/>
      <c r="BV421" s="200"/>
      <c r="BW421" s="174"/>
      <c r="BX421" s="510"/>
      <c r="BY421" s="174"/>
      <c r="BZ421" s="174"/>
      <c r="CA421" s="510"/>
      <c r="CB421" s="200"/>
      <c r="CC421" s="174"/>
      <c r="CD421" s="510"/>
      <c r="CE421" s="174"/>
      <c r="CF421" s="174"/>
      <c r="CG421" s="510"/>
      <c r="CH421" s="174"/>
      <c r="CI421" s="174"/>
      <c r="CJ421" s="174"/>
      <c r="CK421" s="174"/>
      <c r="CL421" s="174"/>
      <c r="CM421" s="510"/>
      <c r="CN421" s="174"/>
      <c r="CO421" s="549"/>
      <c r="CP421" s="510"/>
      <c r="CQ421" s="200"/>
      <c r="CR421" s="550"/>
      <c r="CS421" s="510"/>
      <c r="CT421" s="390"/>
      <c r="CU421" s="331"/>
      <c r="CV421" s="428"/>
      <c r="CW421" s="155"/>
      <c r="CX421" s="155"/>
      <c r="CY421" s="267"/>
      <c r="CZ421" s="323"/>
      <c r="DA421" s="323"/>
      <c r="DB421" s="423"/>
      <c r="DC421" s="155"/>
      <c r="DD421" s="155"/>
      <c r="DE421" s="267"/>
      <c r="DF421" s="323"/>
      <c r="DG421" s="323"/>
      <c r="DH421" s="428"/>
      <c r="DI421" s="155"/>
      <c r="DJ421" s="155"/>
      <c r="DK421" s="222"/>
      <c r="DL421" s="267"/>
      <c r="DM421" s="155"/>
      <c r="DN421" s="155"/>
      <c r="DO421" s="155"/>
      <c r="DP421" s="423"/>
      <c r="DQ421" s="155"/>
      <c r="DR421" s="155"/>
      <c r="DS421" s="222"/>
      <c r="DT421" s="267"/>
      <c r="DU421" s="174"/>
      <c r="DV421" s="174"/>
      <c r="DW421" s="200"/>
      <c r="DX421" s="428"/>
      <c r="DY421" s="155"/>
      <c r="DZ421" s="155"/>
      <c r="EA421" s="155"/>
      <c r="EB421" s="173"/>
      <c r="EC421" s="155"/>
      <c r="ED421" s="155"/>
      <c r="EE421" s="155"/>
      <c r="EF421" s="423"/>
      <c r="EG421" s="155"/>
      <c r="EH421" s="155"/>
      <c r="EI421" s="155"/>
      <c r="EJ421" s="267"/>
      <c r="EK421" s="155"/>
      <c r="EL421" s="155"/>
      <c r="EM421" s="155"/>
      <c r="EN421" s="428"/>
    </row>
    <row r="422" spans="1:144">
      <c r="A422" s="360"/>
      <c r="B422" s="172"/>
      <c r="C422" s="360"/>
      <c r="D422" s="172"/>
      <c r="E422" s="408"/>
      <c r="F422" s="408"/>
      <c r="G422" s="509"/>
      <c r="H422" s="546"/>
      <c r="I422" s="546"/>
      <c r="J422" s="251"/>
      <c r="K422" s="251"/>
      <c r="L422" s="509"/>
      <c r="M422" s="509"/>
      <c r="N422" s="509"/>
      <c r="O422" s="547"/>
      <c r="P422" s="200"/>
      <c r="Q422" s="174"/>
      <c r="R422" s="390"/>
      <c r="S422" s="510"/>
      <c r="T422" s="200"/>
      <c r="U422" s="174"/>
      <c r="V422" s="174"/>
      <c r="W422" s="510"/>
      <c r="X422" s="174"/>
      <c r="Y422" s="174"/>
      <c r="Z422" s="174"/>
      <c r="AA422" s="510"/>
      <c r="AB422" s="200"/>
      <c r="AC422" s="174"/>
      <c r="AD422" s="390"/>
      <c r="AE422" s="510"/>
      <c r="AF422" s="200"/>
      <c r="AG422" s="174"/>
      <c r="AH422" s="174"/>
      <c r="AI422" s="200"/>
      <c r="AJ422" s="548"/>
      <c r="AK422" s="200"/>
      <c r="AL422" s="174"/>
      <c r="AM422" s="390"/>
      <c r="AN422" s="510"/>
      <c r="AO422" s="200"/>
      <c r="AP422" s="174"/>
      <c r="AQ422" s="510"/>
      <c r="AR422" s="200"/>
      <c r="AS422" s="174"/>
      <c r="AT422" s="510"/>
      <c r="AU422" s="200"/>
      <c r="AV422" s="174"/>
      <c r="AW422" s="510"/>
      <c r="AX422" s="200"/>
      <c r="AY422" s="174"/>
      <c r="AZ422" s="510"/>
      <c r="BA422" s="174"/>
      <c r="BB422" s="174"/>
      <c r="BC422" s="174"/>
      <c r="BD422" s="174"/>
      <c r="BE422" s="174"/>
      <c r="BF422" s="510"/>
      <c r="BG422" s="174"/>
      <c r="BH422" s="174"/>
      <c r="BI422" s="174"/>
      <c r="BJ422" s="200"/>
      <c r="BK422" s="174"/>
      <c r="BL422" s="510"/>
      <c r="BM422" s="174"/>
      <c r="BN422" s="174"/>
      <c r="BO422" s="510"/>
      <c r="BP422" s="200"/>
      <c r="BQ422" s="447"/>
      <c r="BR422" s="510"/>
      <c r="BS422" s="174"/>
      <c r="BT422" s="174"/>
      <c r="BU422" s="510"/>
      <c r="BV422" s="200"/>
      <c r="BW422" s="174"/>
      <c r="BX422" s="510"/>
      <c r="BY422" s="174"/>
      <c r="BZ422" s="174"/>
      <c r="CA422" s="510"/>
      <c r="CB422" s="200"/>
      <c r="CC422" s="174"/>
      <c r="CD422" s="510"/>
      <c r="CE422" s="174"/>
      <c r="CF422" s="174"/>
      <c r="CG422" s="510"/>
      <c r="CH422" s="174"/>
      <c r="CI422" s="174"/>
      <c r="CJ422" s="174"/>
      <c r="CK422" s="174"/>
      <c r="CL422" s="174"/>
      <c r="CM422" s="510"/>
      <c r="CN422" s="174"/>
      <c r="CO422" s="549"/>
      <c r="CP422" s="510"/>
      <c r="CQ422" s="200"/>
      <c r="CR422" s="550"/>
      <c r="CS422" s="510"/>
      <c r="CT422" s="390"/>
      <c r="CU422" s="331"/>
      <c r="CV422" s="428"/>
      <c r="CW422" s="155"/>
      <c r="CX422" s="155"/>
      <c r="CY422" s="267"/>
      <c r="CZ422" s="323"/>
      <c r="DA422" s="323"/>
      <c r="DB422" s="423"/>
      <c r="DC422" s="155"/>
      <c r="DD422" s="155"/>
      <c r="DE422" s="267"/>
      <c r="DF422" s="323"/>
      <c r="DG422" s="323"/>
      <c r="DH422" s="428"/>
      <c r="DI422" s="155"/>
      <c r="DJ422" s="155"/>
      <c r="DK422" s="222"/>
      <c r="DL422" s="267"/>
      <c r="DM422" s="155"/>
      <c r="DN422" s="155"/>
      <c r="DO422" s="155"/>
      <c r="DP422" s="423"/>
      <c r="DQ422" s="155"/>
      <c r="DR422" s="155"/>
      <c r="DS422" s="222"/>
      <c r="DT422" s="267"/>
      <c r="DU422" s="174"/>
      <c r="DV422" s="174"/>
      <c r="DW422" s="200"/>
      <c r="DX422" s="428"/>
      <c r="DY422" s="155"/>
      <c r="DZ422" s="155"/>
      <c r="EA422" s="155"/>
      <c r="EB422" s="173"/>
      <c r="EC422" s="155"/>
      <c r="ED422" s="155"/>
      <c r="EE422" s="155"/>
      <c r="EF422" s="423"/>
      <c r="EG422" s="155"/>
      <c r="EH422" s="155"/>
      <c r="EI422" s="155"/>
      <c r="EJ422" s="267"/>
      <c r="EK422" s="155"/>
      <c r="EL422" s="155"/>
      <c r="EM422" s="155"/>
      <c r="EN422" s="428"/>
    </row>
    <row r="423" spans="1:144">
      <c r="A423" s="360"/>
      <c r="B423" s="172"/>
      <c r="C423" s="360"/>
      <c r="D423" s="172"/>
      <c r="E423" s="408"/>
      <c r="F423" s="408"/>
      <c r="G423" s="509"/>
      <c r="H423" s="546"/>
      <c r="I423" s="546"/>
      <c r="J423" s="251"/>
      <c r="K423" s="251"/>
      <c r="L423" s="509"/>
      <c r="M423" s="509"/>
      <c r="N423" s="509"/>
      <c r="O423" s="547"/>
      <c r="P423" s="200"/>
      <c r="Q423" s="174"/>
      <c r="R423" s="390"/>
      <c r="S423" s="510"/>
      <c r="T423" s="200"/>
      <c r="U423" s="174"/>
      <c r="V423" s="174"/>
      <c r="W423" s="510"/>
      <c r="X423" s="174"/>
      <c r="Y423" s="174"/>
      <c r="Z423" s="174"/>
      <c r="AA423" s="510"/>
      <c r="AB423" s="200"/>
      <c r="AC423" s="174"/>
      <c r="AD423" s="390"/>
      <c r="AE423" s="510"/>
      <c r="AF423" s="200"/>
      <c r="AG423" s="174"/>
      <c r="AH423" s="174"/>
      <c r="AI423" s="200"/>
      <c r="AJ423" s="548"/>
      <c r="AK423" s="200"/>
      <c r="AL423" s="174"/>
      <c r="AM423" s="390"/>
      <c r="AN423" s="510"/>
      <c r="AO423" s="200"/>
      <c r="AP423" s="174"/>
      <c r="AQ423" s="510"/>
      <c r="AR423" s="200"/>
      <c r="AS423" s="174"/>
      <c r="AT423" s="510"/>
      <c r="AU423" s="200"/>
      <c r="AV423" s="174"/>
      <c r="AW423" s="510"/>
      <c r="AX423" s="200"/>
      <c r="AY423" s="174"/>
      <c r="AZ423" s="510"/>
      <c r="BA423" s="174"/>
      <c r="BB423" s="174"/>
      <c r="BC423" s="174"/>
      <c r="BD423" s="174"/>
      <c r="BE423" s="174"/>
      <c r="BF423" s="510"/>
      <c r="BG423" s="174"/>
      <c r="BH423" s="174"/>
      <c r="BI423" s="174"/>
      <c r="BJ423" s="200"/>
      <c r="BK423" s="174"/>
      <c r="BL423" s="510"/>
      <c r="BM423" s="174"/>
      <c r="BN423" s="174"/>
      <c r="BO423" s="510"/>
      <c r="BP423" s="200"/>
      <c r="BQ423" s="447"/>
      <c r="BR423" s="510"/>
      <c r="BS423" s="174"/>
      <c r="BT423" s="174"/>
      <c r="BU423" s="510"/>
      <c r="BV423" s="200"/>
      <c r="BW423" s="174"/>
      <c r="BX423" s="510"/>
      <c r="BY423" s="174"/>
      <c r="BZ423" s="174"/>
      <c r="CA423" s="510"/>
      <c r="CB423" s="200"/>
      <c r="CC423" s="174"/>
      <c r="CD423" s="510"/>
      <c r="CE423" s="174"/>
      <c r="CF423" s="174"/>
      <c r="CG423" s="510"/>
      <c r="CH423" s="174"/>
      <c r="CI423" s="174"/>
      <c r="CJ423" s="174"/>
      <c r="CK423" s="174"/>
      <c r="CL423" s="174"/>
      <c r="CM423" s="510"/>
      <c r="CN423" s="174"/>
      <c r="CO423" s="549"/>
      <c r="CP423" s="510"/>
      <c r="CQ423" s="200"/>
      <c r="CR423" s="550"/>
      <c r="CS423" s="510"/>
      <c r="CT423" s="390"/>
      <c r="CU423" s="331"/>
      <c r="CV423" s="428"/>
      <c r="CW423" s="155"/>
      <c r="CX423" s="155"/>
      <c r="CY423" s="267"/>
      <c r="CZ423" s="323"/>
      <c r="DA423" s="323"/>
      <c r="DB423" s="423"/>
      <c r="DC423" s="155"/>
      <c r="DD423" s="155"/>
      <c r="DE423" s="267"/>
      <c r="DF423" s="323"/>
      <c r="DG423" s="323"/>
      <c r="DH423" s="428"/>
      <c r="DI423" s="155"/>
      <c r="DJ423" s="155"/>
      <c r="DK423" s="222"/>
      <c r="DL423" s="267"/>
      <c r="DM423" s="155"/>
      <c r="DN423" s="155"/>
      <c r="DO423" s="155"/>
      <c r="DP423" s="423"/>
      <c r="DQ423" s="155"/>
      <c r="DR423" s="155"/>
      <c r="DS423" s="222"/>
      <c r="DT423" s="267"/>
      <c r="DU423" s="174"/>
      <c r="DV423" s="174"/>
      <c r="DW423" s="200"/>
      <c r="DX423" s="428"/>
      <c r="DY423" s="155"/>
      <c r="DZ423" s="155"/>
      <c r="EA423" s="155"/>
      <c r="EB423" s="173"/>
      <c r="EC423" s="155"/>
      <c r="ED423" s="155"/>
      <c r="EE423" s="155"/>
      <c r="EF423" s="423"/>
      <c r="EG423" s="155"/>
      <c r="EH423" s="155"/>
      <c r="EI423" s="155"/>
      <c r="EJ423" s="267"/>
      <c r="EK423" s="155"/>
      <c r="EL423" s="155"/>
      <c r="EM423" s="155"/>
      <c r="EN423" s="428"/>
    </row>
    <row r="424" spans="1:144">
      <c r="A424" s="360"/>
      <c r="B424" s="172"/>
      <c r="C424" s="360"/>
      <c r="D424" s="172"/>
      <c r="E424" s="408"/>
      <c r="F424" s="408"/>
      <c r="G424" s="509"/>
      <c r="H424" s="546"/>
      <c r="I424" s="546"/>
      <c r="J424" s="251"/>
      <c r="K424" s="251"/>
      <c r="L424" s="509"/>
      <c r="M424" s="509"/>
      <c r="N424" s="509"/>
      <c r="O424" s="547"/>
      <c r="P424" s="200"/>
      <c r="Q424" s="174"/>
      <c r="R424" s="390"/>
      <c r="S424" s="510"/>
      <c r="T424" s="200"/>
      <c r="U424" s="174"/>
      <c r="V424" s="174"/>
      <c r="W424" s="510"/>
      <c r="X424" s="174"/>
      <c r="Y424" s="174"/>
      <c r="Z424" s="174"/>
      <c r="AA424" s="510"/>
      <c r="AB424" s="200"/>
      <c r="AC424" s="174"/>
      <c r="AD424" s="390"/>
      <c r="AE424" s="510"/>
      <c r="AF424" s="200"/>
      <c r="AG424" s="174"/>
      <c r="AH424" s="174"/>
      <c r="AI424" s="200"/>
      <c r="AJ424" s="548"/>
      <c r="AK424" s="200"/>
      <c r="AL424" s="174"/>
      <c r="AM424" s="390"/>
      <c r="AN424" s="510"/>
      <c r="AO424" s="200"/>
      <c r="AP424" s="174"/>
      <c r="AQ424" s="510"/>
      <c r="AR424" s="200"/>
      <c r="AS424" s="174"/>
      <c r="AT424" s="510"/>
      <c r="AU424" s="200"/>
      <c r="AV424" s="174"/>
      <c r="AW424" s="510"/>
      <c r="AX424" s="200"/>
      <c r="AY424" s="174"/>
      <c r="AZ424" s="510"/>
      <c r="BA424" s="174"/>
      <c r="BB424" s="174"/>
      <c r="BC424" s="174"/>
      <c r="BD424" s="174"/>
      <c r="BE424" s="174"/>
      <c r="BF424" s="510"/>
      <c r="BG424" s="174"/>
      <c r="BH424" s="174"/>
      <c r="BI424" s="174"/>
      <c r="BJ424" s="200"/>
      <c r="BK424" s="174"/>
      <c r="BL424" s="510"/>
      <c r="BM424" s="174"/>
      <c r="BN424" s="174"/>
      <c r="BO424" s="510"/>
      <c r="BP424" s="200"/>
      <c r="BQ424" s="447"/>
      <c r="BR424" s="510"/>
      <c r="BS424" s="174"/>
      <c r="BT424" s="174"/>
      <c r="BU424" s="510"/>
      <c r="BV424" s="200"/>
      <c r="BW424" s="174"/>
      <c r="BX424" s="510"/>
      <c r="BY424" s="174"/>
      <c r="BZ424" s="174"/>
      <c r="CA424" s="510"/>
      <c r="CB424" s="200"/>
      <c r="CC424" s="174"/>
      <c r="CD424" s="510"/>
      <c r="CE424" s="174"/>
      <c r="CF424" s="174"/>
      <c r="CG424" s="510"/>
      <c r="CH424" s="174"/>
      <c r="CI424" s="174"/>
      <c r="CJ424" s="174"/>
      <c r="CK424" s="174"/>
      <c r="CL424" s="174"/>
      <c r="CM424" s="510"/>
      <c r="CN424" s="174"/>
      <c r="CO424" s="549"/>
      <c r="CP424" s="510"/>
      <c r="CQ424" s="200"/>
      <c r="CR424" s="550"/>
      <c r="CS424" s="510"/>
      <c r="CT424" s="390"/>
      <c r="CU424" s="331"/>
      <c r="CV424" s="428"/>
      <c r="CW424" s="155"/>
      <c r="CX424" s="155"/>
      <c r="CY424" s="267"/>
      <c r="CZ424" s="323"/>
      <c r="DA424" s="323"/>
      <c r="DB424" s="423"/>
      <c r="DC424" s="155"/>
      <c r="DD424" s="155"/>
      <c r="DE424" s="267"/>
      <c r="DF424" s="323"/>
      <c r="DG424" s="323"/>
      <c r="DH424" s="428"/>
      <c r="DI424" s="155"/>
      <c r="DJ424" s="155"/>
      <c r="DK424" s="222"/>
      <c r="DL424" s="267"/>
      <c r="DM424" s="155"/>
      <c r="DN424" s="155"/>
      <c r="DO424" s="155"/>
      <c r="DP424" s="423"/>
      <c r="DQ424" s="155"/>
      <c r="DR424" s="155"/>
      <c r="DS424" s="222"/>
      <c r="DT424" s="267"/>
      <c r="DU424" s="174"/>
      <c r="DV424" s="174"/>
      <c r="DW424" s="200"/>
      <c r="DX424" s="428"/>
      <c r="DY424" s="155"/>
      <c r="DZ424" s="155"/>
      <c r="EA424" s="155"/>
      <c r="EB424" s="173"/>
      <c r="EC424" s="155"/>
      <c r="ED424" s="155"/>
      <c r="EE424" s="155"/>
      <c r="EF424" s="423"/>
      <c r="EG424" s="155"/>
      <c r="EH424" s="155"/>
      <c r="EI424" s="155"/>
      <c r="EJ424" s="267"/>
      <c r="EK424" s="155"/>
      <c r="EL424" s="155"/>
      <c r="EM424" s="155"/>
      <c r="EN424" s="428"/>
    </row>
    <row r="425" spans="1:144">
      <c r="A425" s="360"/>
      <c r="B425" s="172"/>
      <c r="C425" s="360"/>
      <c r="D425" s="172"/>
      <c r="E425" s="408"/>
      <c r="F425" s="408"/>
      <c r="G425" s="509"/>
      <c r="H425" s="546"/>
      <c r="I425" s="546"/>
      <c r="J425" s="251"/>
      <c r="K425" s="251"/>
      <c r="L425" s="509"/>
      <c r="M425" s="509"/>
      <c r="N425" s="509"/>
      <c r="O425" s="547"/>
      <c r="P425" s="200"/>
      <c r="Q425" s="174"/>
      <c r="R425" s="390"/>
      <c r="S425" s="510"/>
      <c r="T425" s="200"/>
      <c r="U425" s="174"/>
      <c r="V425" s="174"/>
      <c r="W425" s="510"/>
      <c r="X425" s="174"/>
      <c r="Y425" s="174"/>
      <c r="Z425" s="174"/>
      <c r="AA425" s="510"/>
      <c r="AB425" s="200"/>
      <c r="AC425" s="174"/>
      <c r="AD425" s="390"/>
      <c r="AE425" s="510"/>
      <c r="AF425" s="200"/>
      <c r="AG425" s="174"/>
      <c r="AH425" s="174"/>
      <c r="AI425" s="200"/>
      <c r="AJ425" s="548"/>
      <c r="AK425" s="200"/>
      <c r="AL425" s="174"/>
      <c r="AM425" s="390"/>
      <c r="AN425" s="510"/>
      <c r="AO425" s="200"/>
      <c r="AP425" s="174"/>
      <c r="AQ425" s="510"/>
      <c r="AR425" s="200"/>
      <c r="AS425" s="174"/>
      <c r="AT425" s="510"/>
      <c r="AU425" s="200"/>
      <c r="AV425" s="174"/>
      <c r="AW425" s="510"/>
      <c r="AX425" s="200"/>
      <c r="AY425" s="174"/>
      <c r="AZ425" s="510"/>
      <c r="BA425" s="174"/>
      <c r="BB425" s="174"/>
      <c r="BC425" s="174"/>
      <c r="BD425" s="174"/>
      <c r="BE425" s="174"/>
      <c r="BF425" s="510"/>
      <c r="BG425" s="174"/>
      <c r="BH425" s="174"/>
      <c r="BI425" s="174"/>
      <c r="BJ425" s="200"/>
      <c r="BK425" s="174"/>
      <c r="BL425" s="510"/>
      <c r="BM425" s="174"/>
      <c r="BN425" s="174"/>
      <c r="BO425" s="510"/>
      <c r="BP425" s="200"/>
      <c r="BQ425" s="447"/>
      <c r="BR425" s="510"/>
      <c r="BS425" s="174"/>
      <c r="BT425" s="174"/>
      <c r="BU425" s="510"/>
      <c r="BV425" s="200"/>
      <c r="BW425" s="174"/>
      <c r="BX425" s="510"/>
      <c r="BY425" s="174"/>
      <c r="BZ425" s="174"/>
      <c r="CA425" s="510"/>
      <c r="CB425" s="200"/>
      <c r="CC425" s="174"/>
      <c r="CD425" s="510"/>
      <c r="CE425" s="174"/>
      <c r="CF425" s="174"/>
      <c r="CG425" s="510"/>
      <c r="CH425" s="174"/>
      <c r="CI425" s="174"/>
      <c r="CJ425" s="174"/>
      <c r="CK425" s="174"/>
      <c r="CL425" s="174"/>
      <c r="CM425" s="510"/>
      <c r="CN425" s="174"/>
      <c r="CO425" s="549"/>
      <c r="CP425" s="510"/>
      <c r="CQ425" s="200"/>
      <c r="CR425" s="550"/>
      <c r="CS425" s="510"/>
      <c r="CT425" s="390"/>
      <c r="CU425" s="331"/>
      <c r="CV425" s="428"/>
      <c r="CW425" s="155"/>
      <c r="CX425" s="155"/>
      <c r="CY425" s="267"/>
      <c r="CZ425" s="323"/>
      <c r="DA425" s="323"/>
      <c r="DB425" s="423"/>
      <c r="DC425" s="155"/>
      <c r="DD425" s="155"/>
      <c r="DE425" s="267"/>
      <c r="DF425" s="323"/>
      <c r="DG425" s="323"/>
      <c r="DH425" s="428"/>
      <c r="DI425" s="155"/>
      <c r="DJ425" s="155"/>
      <c r="DK425" s="222"/>
      <c r="DL425" s="267"/>
      <c r="DM425" s="155"/>
      <c r="DN425" s="155"/>
      <c r="DO425" s="155"/>
      <c r="DP425" s="423"/>
      <c r="DQ425" s="155"/>
      <c r="DR425" s="155"/>
      <c r="DS425" s="222"/>
      <c r="DT425" s="267"/>
      <c r="DU425" s="174"/>
      <c r="DV425" s="174"/>
      <c r="DW425" s="200"/>
      <c r="DX425" s="428"/>
      <c r="DY425" s="155"/>
      <c r="DZ425" s="155"/>
      <c r="EA425" s="155"/>
      <c r="EB425" s="173"/>
      <c r="EC425" s="155"/>
      <c r="ED425" s="155"/>
      <c r="EE425" s="155"/>
      <c r="EF425" s="423"/>
      <c r="EG425" s="155"/>
      <c r="EH425" s="155"/>
      <c r="EI425" s="155"/>
      <c r="EJ425" s="267"/>
      <c r="EK425" s="155"/>
      <c r="EL425" s="155"/>
      <c r="EM425" s="155"/>
      <c r="EN425" s="428"/>
    </row>
    <row r="426" spans="1:144">
      <c r="A426" s="360"/>
      <c r="B426" s="172"/>
      <c r="C426" s="360"/>
      <c r="D426" s="172"/>
      <c r="E426" s="408"/>
      <c r="F426" s="408"/>
      <c r="G426" s="509"/>
      <c r="H426" s="546"/>
      <c r="I426" s="546"/>
      <c r="J426" s="251"/>
      <c r="K426" s="251"/>
      <c r="L426" s="509"/>
      <c r="M426" s="509"/>
      <c r="N426" s="509"/>
      <c r="O426" s="547"/>
      <c r="P426" s="200"/>
      <c r="Q426" s="174"/>
      <c r="R426" s="390"/>
      <c r="S426" s="510"/>
      <c r="T426" s="200"/>
      <c r="U426" s="174"/>
      <c r="V426" s="174"/>
      <c r="W426" s="510"/>
      <c r="X426" s="174"/>
      <c r="Y426" s="174"/>
      <c r="Z426" s="174"/>
      <c r="AA426" s="510"/>
      <c r="AB426" s="200"/>
      <c r="AC426" s="174"/>
      <c r="AD426" s="390"/>
      <c r="AE426" s="510"/>
      <c r="AF426" s="200"/>
      <c r="AG426" s="174"/>
      <c r="AH426" s="174"/>
      <c r="AI426" s="200"/>
      <c r="AJ426" s="548"/>
      <c r="AK426" s="200"/>
      <c r="AL426" s="174"/>
      <c r="AM426" s="390"/>
      <c r="AN426" s="510"/>
      <c r="AO426" s="200"/>
      <c r="AP426" s="174"/>
      <c r="AQ426" s="510"/>
      <c r="AR426" s="200"/>
      <c r="AS426" s="174"/>
      <c r="AT426" s="510"/>
      <c r="AU426" s="200"/>
      <c r="AV426" s="174"/>
      <c r="AW426" s="510"/>
      <c r="AX426" s="200"/>
      <c r="AY426" s="174"/>
      <c r="AZ426" s="510"/>
      <c r="BA426" s="174"/>
      <c r="BB426" s="174"/>
      <c r="BC426" s="174"/>
      <c r="BD426" s="174"/>
      <c r="BE426" s="174"/>
      <c r="BF426" s="510"/>
      <c r="BG426" s="174"/>
      <c r="BH426" s="174"/>
      <c r="BI426" s="174"/>
      <c r="BJ426" s="200"/>
      <c r="BK426" s="174"/>
      <c r="BL426" s="510"/>
      <c r="BM426" s="174"/>
      <c r="BN426" s="174"/>
      <c r="BO426" s="510"/>
      <c r="BP426" s="200"/>
      <c r="BQ426" s="447"/>
      <c r="BR426" s="510"/>
      <c r="BS426" s="174"/>
      <c r="BT426" s="174"/>
      <c r="BU426" s="510"/>
      <c r="BV426" s="200"/>
      <c r="BW426" s="174"/>
      <c r="BX426" s="510"/>
      <c r="BY426" s="174"/>
      <c r="BZ426" s="174"/>
      <c r="CA426" s="510"/>
      <c r="CB426" s="200"/>
      <c r="CC426" s="174"/>
      <c r="CD426" s="510"/>
      <c r="CE426" s="174"/>
      <c r="CF426" s="174"/>
      <c r="CG426" s="510"/>
      <c r="CH426" s="174"/>
      <c r="CI426" s="174"/>
      <c r="CJ426" s="174"/>
      <c r="CK426" s="174"/>
      <c r="CL426" s="174"/>
      <c r="CM426" s="510"/>
      <c r="CN426" s="174"/>
      <c r="CO426" s="549"/>
      <c r="CP426" s="510"/>
      <c r="CQ426" s="200"/>
      <c r="CR426" s="550"/>
      <c r="CS426" s="510"/>
      <c r="CT426" s="390"/>
      <c r="CU426" s="331"/>
      <c r="CV426" s="428"/>
      <c r="CW426" s="155"/>
      <c r="CX426" s="155"/>
      <c r="CY426" s="267"/>
      <c r="CZ426" s="323"/>
      <c r="DA426" s="323"/>
      <c r="DB426" s="423"/>
      <c r="DC426" s="155"/>
      <c r="DD426" s="155"/>
      <c r="DE426" s="267"/>
      <c r="DF426" s="323"/>
      <c r="DG426" s="323"/>
      <c r="DH426" s="428"/>
      <c r="DI426" s="155"/>
      <c r="DJ426" s="155"/>
      <c r="DK426" s="222"/>
      <c r="DL426" s="267"/>
      <c r="DM426" s="155"/>
      <c r="DN426" s="155"/>
      <c r="DO426" s="155"/>
      <c r="DP426" s="423"/>
      <c r="DQ426" s="155"/>
      <c r="DR426" s="155"/>
      <c r="DS426" s="222"/>
      <c r="DT426" s="267"/>
      <c r="DU426" s="174"/>
      <c r="DV426" s="174"/>
      <c r="DW426" s="200"/>
      <c r="DX426" s="428"/>
      <c r="DY426" s="155"/>
      <c r="DZ426" s="155"/>
      <c r="EA426" s="155"/>
      <c r="EB426" s="173"/>
      <c r="EC426" s="155"/>
      <c r="ED426" s="155"/>
      <c r="EE426" s="155"/>
      <c r="EF426" s="423"/>
      <c r="EG426" s="155"/>
      <c r="EH426" s="155"/>
      <c r="EI426" s="155"/>
      <c r="EJ426" s="267"/>
      <c r="EK426" s="155"/>
      <c r="EL426" s="155"/>
      <c r="EM426" s="155"/>
      <c r="EN426" s="428"/>
    </row>
    <row r="427" spans="1:144">
      <c r="A427" s="360"/>
      <c r="B427" s="172"/>
      <c r="C427" s="360"/>
      <c r="D427" s="172"/>
      <c r="E427" s="408"/>
      <c r="F427" s="408"/>
      <c r="G427" s="509"/>
      <c r="H427" s="546"/>
      <c r="I427" s="546"/>
      <c r="J427" s="251"/>
      <c r="K427" s="251"/>
      <c r="L427" s="509"/>
      <c r="M427" s="509"/>
      <c r="N427" s="509"/>
      <c r="O427" s="547"/>
      <c r="P427" s="200"/>
      <c r="Q427" s="174"/>
      <c r="R427" s="390"/>
      <c r="S427" s="510"/>
      <c r="T427" s="200"/>
      <c r="U427" s="174"/>
      <c r="V427" s="174"/>
      <c r="W427" s="510"/>
      <c r="X427" s="174"/>
      <c r="Y427" s="174"/>
      <c r="Z427" s="174"/>
      <c r="AA427" s="510"/>
      <c r="AB427" s="200"/>
      <c r="AC427" s="174"/>
      <c r="AD427" s="390"/>
      <c r="AE427" s="510"/>
      <c r="AF427" s="200"/>
      <c r="AG427" s="174"/>
      <c r="AH427" s="174"/>
      <c r="AI427" s="200"/>
      <c r="AJ427" s="548"/>
      <c r="AK427" s="200"/>
      <c r="AL427" s="174"/>
      <c r="AM427" s="390"/>
      <c r="AN427" s="510"/>
      <c r="AO427" s="200"/>
      <c r="AP427" s="174"/>
      <c r="AQ427" s="510"/>
      <c r="AR427" s="200"/>
      <c r="AS427" s="174"/>
      <c r="AT427" s="510"/>
      <c r="AU427" s="200"/>
      <c r="AV427" s="174"/>
      <c r="AW427" s="510"/>
      <c r="AX427" s="200"/>
      <c r="AY427" s="174"/>
      <c r="AZ427" s="510"/>
      <c r="BA427" s="174"/>
      <c r="BB427" s="174"/>
      <c r="BC427" s="174"/>
      <c r="BD427" s="174"/>
      <c r="BE427" s="174"/>
      <c r="BF427" s="510"/>
      <c r="BG427" s="174"/>
      <c r="BH427" s="174"/>
      <c r="BI427" s="174"/>
      <c r="BJ427" s="200"/>
      <c r="BK427" s="174"/>
      <c r="BL427" s="510"/>
      <c r="BM427" s="174"/>
      <c r="BN427" s="174"/>
      <c r="BO427" s="510"/>
      <c r="BP427" s="200"/>
      <c r="BQ427" s="447"/>
      <c r="BR427" s="510"/>
      <c r="BS427" s="174"/>
      <c r="BT427" s="174"/>
      <c r="BU427" s="510"/>
      <c r="BV427" s="200"/>
      <c r="BW427" s="174"/>
      <c r="BX427" s="510"/>
      <c r="BY427" s="174"/>
      <c r="BZ427" s="174"/>
      <c r="CA427" s="510"/>
      <c r="CB427" s="200"/>
      <c r="CC427" s="174"/>
      <c r="CD427" s="510"/>
      <c r="CE427" s="174"/>
      <c r="CF427" s="174"/>
      <c r="CG427" s="510"/>
      <c r="CH427" s="174"/>
      <c r="CI427" s="174"/>
      <c r="CJ427" s="174"/>
      <c r="CK427" s="174"/>
      <c r="CL427" s="174"/>
      <c r="CM427" s="510"/>
      <c r="CN427" s="174"/>
      <c r="CO427" s="549"/>
      <c r="CP427" s="510"/>
      <c r="CQ427" s="200"/>
      <c r="CR427" s="550"/>
      <c r="CS427" s="510"/>
      <c r="CT427" s="390"/>
      <c r="CU427" s="331"/>
      <c r="CV427" s="428"/>
      <c r="CW427" s="155"/>
      <c r="CX427" s="155"/>
      <c r="CY427" s="267"/>
      <c r="CZ427" s="323"/>
      <c r="DA427" s="323"/>
      <c r="DB427" s="423"/>
      <c r="DC427" s="155"/>
      <c r="DD427" s="155"/>
      <c r="DE427" s="267"/>
      <c r="DF427" s="323"/>
      <c r="DG427" s="323"/>
      <c r="DH427" s="428"/>
      <c r="DI427" s="155"/>
      <c r="DJ427" s="155"/>
      <c r="DK427" s="222"/>
      <c r="DL427" s="267"/>
      <c r="DM427" s="155"/>
      <c r="DN427" s="155"/>
      <c r="DO427" s="155"/>
      <c r="DP427" s="423"/>
      <c r="DQ427" s="155"/>
      <c r="DR427" s="155"/>
      <c r="DS427" s="222"/>
      <c r="DT427" s="267"/>
      <c r="DU427" s="174"/>
      <c r="DV427" s="174"/>
      <c r="DW427" s="200"/>
      <c r="DX427" s="428"/>
      <c r="DY427" s="155"/>
      <c r="DZ427" s="155"/>
      <c r="EA427" s="155"/>
      <c r="EB427" s="173"/>
      <c r="EC427" s="155"/>
      <c r="ED427" s="155"/>
      <c r="EE427" s="155"/>
      <c r="EF427" s="423"/>
      <c r="EG427" s="155"/>
      <c r="EH427" s="155"/>
      <c r="EI427" s="155"/>
      <c r="EJ427" s="267"/>
      <c r="EK427" s="155"/>
      <c r="EL427" s="155"/>
      <c r="EM427" s="155"/>
      <c r="EN427" s="428"/>
    </row>
    <row r="428" spans="1:144">
      <c r="A428" s="360"/>
      <c r="B428" s="172"/>
      <c r="C428" s="360"/>
      <c r="D428" s="172"/>
      <c r="E428" s="408"/>
      <c r="F428" s="408"/>
      <c r="G428" s="509"/>
      <c r="H428" s="546"/>
      <c r="I428" s="546"/>
      <c r="J428" s="251"/>
      <c r="K428" s="251"/>
      <c r="L428" s="509"/>
      <c r="M428" s="509"/>
      <c r="N428" s="509"/>
      <c r="O428" s="547"/>
      <c r="P428" s="200"/>
      <c r="Q428" s="174"/>
      <c r="R428" s="390"/>
      <c r="S428" s="510"/>
      <c r="T428" s="200"/>
      <c r="U428" s="174"/>
      <c r="V428" s="174"/>
      <c r="W428" s="510"/>
      <c r="X428" s="174"/>
      <c r="Y428" s="174"/>
      <c r="Z428" s="174"/>
      <c r="AA428" s="510"/>
      <c r="AB428" s="200"/>
      <c r="AC428" s="174"/>
      <c r="AD428" s="390"/>
      <c r="AE428" s="510"/>
      <c r="AF428" s="200"/>
      <c r="AG428" s="174"/>
      <c r="AH428" s="174"/>
      <c r="AI428" s="200"/>
      <c r="AJ428" s="548"/>
      <c r="AK428" s="200"/>
      <c r="AL428" s="174"/>
      <c r="AM428" s="390"/>
      <c r="AN428" s="510"/>
      <c r="AO428" s="200"/>
      <c r="AP428" s="174"/>
      <c r="AQ428" s="510"/>
      <c r="AR428" s="200"/>
      <c r="AS428" s="174"/>
      <c r="AT428" s="510"/>
      <c r="AU428" s="200"/>
      <c r="AV428" s="174"/>
      <c r="AW428" s="510"/>
      <c r="AX428" s="200"/>
      <c r="AY428" s="174"/>
      <c r="AZ428" s="510"/>
      <c r="BA428" s="174"/>
      <c r="BB428" s="174"/>
      <c r="BC428" s="174"/>
      <c r="BD428" s="174"/>
      <c r="BE428" s="174"/>
      <c r="BF428" s="510"/>
      <c r="BG428" s="174"/>
      <c r="BH428" s="174"/>
      <c r="BI428" s="174"/>
      <c r="BJ428" s="200"/>
      <c r="BK428" s="174"/>
      <c r="BL428" s="510"/>
      <c r="BM428" s="174"/>
      <c r="BN428" s="174"/>
      <c r="BO428" s="510"/>
      <c r="BP428" s="200"/>
      <c r="BQ428" s="447"/>
      <c r="BR428" s="510"/>
      <c r="BS428" s="174"/>
      <c r="BT428" s="174"/>
      <c r="BU428" s="510"/>
      <c r="BV428" s="200"/>
      <c r="BW428" s="174"/>
      <c r="BX428" s="510"/>
      <c r="BY428" s="174"/>
      <c r="BZ428" s="174"/>
      <c r="CA428" s="510"/>
      <c r="CB428" s="200"/>
      <c r="CC428" s="174"/>
      <c r="CD428" s="510"/>
      <c r="CE428" s="174"/>
      <c r="CF428" s="174"/>
      <c r="CG428" s="510"/>
      <c r="CH428" s="174"/>
      <c r="CI428" s="174"/>
      <c r="CJ428" s="174"/>
      <c r="CK428" s="174"/>
      <c r="CL428" s="174"/>
      <c r="CM428" s="510"/>
      <c r="CN428" s="174"/>
      <c r="CO428" s="549"/>
      <c r="CP428" s="510"/>
      <c r="CQ428" s="200"/>
      <c r="CR428" s="550"/>
      <c r="CS428" s="510"/>
      <c r="CT428" s="390"/>
      <c r="CU428" s="331"/>
      <c r="CV428" s="428"/>
      <c r="CW428" s="155"/>
      <c r="CX428" s="155"/>
      <c r="CY428" s="267"/>
      <c r="CZ428" s="323"/>
      <c r="DA428" s="323"/>
      <c r="DB428" s="423"/>
      <c r="DC428" s="155"/>
      <c r="DD428" s="155"/>
      <c r="DE428" s="267"/>
      <c r="DF428" s="323"/>
      <c r="DG428" s="323"/>
      <c r="DH428" s="428"/>
      <c r="DI428" s="155"/>
      <c r="DJ428" s="155"/>
      <c r="DK428" s="222"/>
      <c r="DL428" s="267"/>
      <c r="DM428" s="155"/>
      <c r="DN428" s="155"/>
      <c r="DO428" s="155"/>
      <c r="DP428" s="423"/>
      <c r="DQ428" s="155"/>
      <c r="DR428" s="155"/>
      <c r="DS428" s="222"/>
      <c r="DT428" s="267"/>
      <c r="DU428" s="174"/>
      <c r="DV428" s="174"/>
      <c r="DW428" s="200"/>
      <c r="DX428" s="428"/>
      <c r="DY428" s="155"/>
      <c r="DZ428" s="155"/>
      <c r="EA428" s="155"/>
      <c r="EB428" s="173"/>
      <c r="EC428" s="155"/>
      <c r="ED428" s="155"/>
      <c r="EE428" s="155"/>
      <c r="EF428" s="423"/>
      <c r="EG428" s="155"/>
      <c r="EH428" s="155"/>
      <c r="EI428" s="155"/>
      <c r="EJ428" s="267"/>
      <c r="EK428" s="155"/>
      <c r="EL428" s="155"/>
      <c r="EM428" s="155"/>
      <c r="EN428" s="428"/>
    </row>
    <row r="429" spans="1:144">
      <c r="A429" s="360"/>
      <c r="B429" s="172"/>
      <c r="C429" s="360"/>
      <c r="D429" s="172"/>
      <c r="E429" s="408"/>
      <c r="F429" s="408"/>
      <c r="G429" s="509"/>
      <c r="H429" s="546"/>
      <c r="I429" s="546"/>
      <c r="J429" s="251"/>
      <c r="K429" s="251"/>
      <c r="L429" s="509"/>
      <c r="M429" s="509"/>
      <c r="N429" s="509"/>
      <c r="O429" s="547"/>
      <c r="P429" s="200"/>
      <c r="Q429" s="174"/>
      <c r="R429" s="390"/>
      <c r="S429" s="510"/>
      <c r="T429" s="200"/>
      <c r="U429" s="174"/>
      <c r="V429" s="174"/>
      <c r="W429" s="510"/>
      <c r="X429" s="174"/>
      <c r="Y429" s="174"/>
      <c r="Z429" s="174"/>
      <c r="AA429" s="510"/>
      <c r="AB429" s="200"/>
      <c r="AC429" s="174"/>
      <c r="AD429" s="390"/>
      <c r="AE429" s="510"/>
      <c r="AF429" s="200"/>
      <c r="AG429" s="174"/>
      <c r="AH429" s="174"/>
      <c r="AI429" s="200"/>
      <c r="AJ429" s="548"/>
      <c r="AK429" s="200"/>
      <c r="AL429" s="174"/>
      <c r="AM429" s="390"/>
      <c r="AN429" s="510"/>
      <c r="AO429" s="200"/>
      <c r="AP429" s="174"/>
      <c r="AQ429" s="510"/>
      <c r="AR429" s="200"/>
      <c r="AS429" s="174"/>
      <c r="AT429" s="510"/>
      <c r="AU429" s="200"/>
      <c r="AV429" s="174"/>
      <c r="AW429" s="510"/>
      <c r="AX429" s="200"/>
      <c r="AY429" s="174"/>
      <c r="AZ429" s="510"/>
      <c r="BA429" s="174"/>
      <c r="BB429" s="174"/>
      <c r="BC429" s="174"/>
      <c r="BD429" s="174"/>
      <c r="BE429" s="174"/>
      <c r="BF429" s="510"/>
      <c r="BG429" s="174"/>
      <c r="BH429" s="174"/>
      <c r="BI429" s="174"/>
      <c r="BJ429" s="200"/>
      <c r="BK429" s="174"/>
      <c r="BL429" s="510"/>
      <c r="BM429" s="174"/>
      <c r="BN429" s="174"/>
      <c r="BO429" s="510"/>
      <c r="BP429" s="200"/>
      <c r="BQ429" s="447"/>
      <c r="BR429" s="510"/>
      <c r="BS429" s="174"/>
      <c r="BT429" s="174"/>
      <c r="BU429" s="510"/>
      <c r="BV429" s="200"/>
      <c r="BW429" s="174"/>
      <c r="BX429" s="510"/>
      <c r="BY429" s="174"/>
      <c r="BZ429" s="174"/>
      <c r="CA429" s="510"/>
      <c r="CB429" s="200"/>
      <c r="CC429" s="174"/>
      <c r="CD429" s="510"/>
      <c r="CE429" s="174"/>
      <c r="CF429" s="174"/>
      <c r="CG429" s="510"/>
      <c r="CH429" s="174"/>
      <c r="CI429" s="174"/>
      <c r="CJ429" s="174"/>
      <c r="CK429" s="174"/>
      <c r="CL429" s="174"/>
      <c r="CM429" s="510"/>
      <c r="CN429" s="174"/>
      <c r="CO429" s="549"/>
      <c r="CP429" s="510"/>
      <c r="CQ429" s="200"/>
      <c r="CR429" s="550"/>
      <c r="CS429" s="510"/>
      <c r="CT429" s="390"/>
      <c r="CU429" s="331"/>
      <c r="CV429" s="428"/>
      <c r="CW429" s="155"/>
      <c r="CX429" s="155"/>
      <c r="CY429" s="267"/>
      <c r="CZ429" s="323"/>
      <c r="DA429" s="323"/>
      <c r="DB429" s="423"/>
      <c r="DC429" s="155"/>
      <c r="DD429" s="155"/>
      <c r="DE429" s="267"/>
      <c r="DF429" s="323"/>
      <c r="DG429" s="323"/>
      <c r="DH429" s="428"/>
      <c r="DI429" s="155"/>
      <c r="DJ429" s="155"/>
      <c r="DK429" s="222"/>
      <c r="DL429" s="267"/>
      <c r="DM429" s="155"/>
      <c r="DN429" s="155"/>
      <c r="DO429" s="155"/>
      <c r="DP429" s="423"/>
      <c r="DQ429" s="155"/>
      <c r="DR429" s="155"/>
      <c r="DS429" s="222"/>
      <c r="DT429" s="267"/>
      <c r="DU429" s="174"/>
      <c r="DV429" s="174"/>
      <c r="DW429" s="200"/>
      <c r="DX429" s="428"/>
      <c r="DY429" s="155"/>
      <c r="DZ429" s="155"/>
      <c r="EA429" s="155"/>
      <c r="EB429" s="173"/>
      <c r="EC429" s="155"/>
      <c r="ED429" s="155"/>
      <c r="EE429" s="155"/>
      <c r="EF429" s="423"/>
      <c r="EG429" s="155"/>
      <c r="EH429" s="155"/>
      <c r="EI429" s="155"/>
      <c r="EJ429" s="267"/>
      <c r="EK429" s="155"/>
      <c r="EL429" s="155"/>
      <c r="EM429" s="155"/>
      <c r="EN429" s="428"/>
    </row>
    <row r="430" spans="1:144">
      <c r="A430" s="360"/>
      <c r="B430" s="172"/>
      <c r="C430" s="360"/>
      <c r="D430" s="172"/>
      <c r="E430" s="408"/>
      <c r="F430" s="408"/>
      <c r="G430" s="509"/>
      <c r="H430" s="546"/>
      <c r="I430" s="546"/>
      <c r="J430" s="251"/>
      <c r="K430" s="251"/>
      <c r="L430" s="509"/>
      <c r="M430" s="509"/>
      <c r="N430" s="509"/>
      <c r="O430" s="547"/>
      <c r="P430" s="200"/>
      <c r="Q430" s="174"/>
      <c r="R430" s="390"/>
      <c r="S430" s="510"/>
      <c r="T430" s="200"/>
      <c r="U430" s="174"/>
      <c r="V430" s="174"/>
      <c r="W430" s="510"/>
      <c r="X430" s="174"/>
      <c r="Y430" s="174"/>
      <c r="Z430" s="174"/>
      <c r="AA430" s="510"/>
      <c r="AB430" s="200"/>
      <c r="AC430" s="174"/>
      <c r="AD430" s="390"/>
      <c r="AE430" s="510"/>
      <c r="AF430" s="200"/>
      <c r="AG430" s="174"/>
      <c r="AH430" s="174"/>
      <c r="AI430" s="200"/>
      <c r="AJ430" s="548"/>
      <c r="AK430" s="200"/>
      <c r="AL430" s="174"/>
      <c r="AM430" s="390"/>
      <c r="AN430" s="510"/>
      <c r="AO430" s="200"/>
      <c r="AP430" s="174"/>
      <c r="AQ430" s="510"/>
      <c r="AR430" s="200"/>
      <c r="AS430" s="174"/>
      <c r="AT430" s="510"/>
      <c r="AU430" s="200"/>
      <c r="AV430" s="174"/>
      <c r="AW430" s="510"/>
      <c r="AX430" s="200"/>
      <c r="AY430" s="174"/>
      <c r="AZ430" s="510"/>
      <c r="BA430" s="174"/>
      <c r="BB430" s="174"/>
      <c r="BC430" s="174"/>
      <c r="BD430" s="174"/>
      <c r="BE430" s="174"/>
      <c r="BF430" s="510"/>
      <c r="BG430" s="174"/>
      <c r="BH430" s="174"/>
      <c r="BI430" s="174"/>
      <c r="BJ430" s="200"/>
      <c r="BK430" s="174"/>
      <c r="BL430" s="510"/>
      <c r="BM430" s="174"/>
      <c r="BN430" s="174"/>
      <c r="BO430" s="510"/>
      <c r="BP430" s="200"/>
      <c r="BQ430" s="447"/>
      <c r="BR430" s="510"/>
      <c r="BS430" s="174"/>
      <c r="BT430" s="174"/>
      <c r="BU430" s="510"/>
      <c r="BV430" s="200"/>
      <c r="BW430" s="174"/>
      <c r="BX430" s="510"/>
      <c r="BY430" s="174"/>
      <c r="BZ430" s="174"/>
      <c r="CA430" s="510"/>
      <c r="CB430" s="200"/>
      <c r="CC430" s="174"/>
      <c r="CD430" s="510"/>
      <c r="CE430" s="174"/>
      <c r="CF430" s="174"/>
      <c r="CG430" s="510"/>
      <c r="CH430" s="174"/>
      <c r="CI430" s="174"/>
      <c r="CJ430" s="174"/>
      <c r="CK430" s="174"/>
      <c r="CL430" s="174"/>
      <c r="CM430" s="510"/>
      <c r="CN430" s="174"/>
      <c r="CO430" s="549"/>
      <c r="CP430" s="510"/>
      <c r="CQ430" s="200"/>
      <c r="CR430" s="550"/>
      <c r="CS430" s="510"/>
      <c r="CT430" s="390"/>
      <c r="CU430" s="331"/>
      <c r="CV430" s="428"/>
      <c r="CW430" s="155"/>
      <c r="CX430" s="155"/>
      <c r="CY430" s="267"/>
      <c r="CZ430" s="323"/>
      <c r="DA430" s="323"/>
      <c r="DB430" s="423"/>
      <c r="DC430" s="155"/>
      <c r="DD430" s="155"/>
      <c r="DE430" s="267"/>
      <c r="DF430" s="323"/>
      <c r="DG430" s="323"/>
      <c r="DH430" s="428"/>
      <c r="DI430" s="155"/>
      <c r="DJ430" s="155"/>
      <c r="DK430" s="222"/>
      <c r="DL430" s="267"/>
      <c r="DM430" s="155"/>
      <c r="DN430" s="155"/>
      <c r="DO430" s="155"/>
      <c r="DP430" s="423"/>
      <c r="DQ430" s="155"/>
      <c r="DR430" s="155"/>
      <c r="DS430" s="222"/>
      <c r="DT430" s="267"/>
      <c r="DU430" s="174"/>
      <c r="DV430" s="174"/>
      <c r="DW430" s="200"/>
      <c r="DX430" s="428"/>
      <c r="DY430" s="155"/>
      <c r="DZ430" s="155"/>
      <c r="EA430" s="155"/>
      <c r="EB430" s="173"/>
      <c r="EC430" s="155"/>
      <c r="ED430" s="155"/>
      <c r="EE430" s="155"/>
      <c r="EF430" s="423"/>
      <c r="EG430" s="155"/>
      <c r="EH430" s="155"/>
      <c r="EI430" s="155"/>
      <c r="EJ430" s="267"/>
      <c r="EK430" s="155"/>
      <c r="EL430" s="155"/>
      <c r="EM430" s="155"/>
      <c r="EN430" s="428"/>
    </row>
    <row r="431" spans="1:144">
      <c r="A431" s="360"/>
      <c r="B431" s="172"/>
      <c r="C431" s="360"/>
      <c r="D431" s="172"/>
      <c r="E431" s="408"/>
      <c r="F431" s="408"/>
      <c r="G431" s="509"/>
      <c r="H431" s="546"/>
      <c r="I431" s="546"/>
      <c r="J431" s="251"/>
      <c r="K431" s="251"/>
      <c r="L431" s="509"/>
      <c r="M431" s="509"/>
      <c r="N431" s="509"/>
      <c r="O431" s="547"/>
      <c r="P431" s="200"/>
      <c r="Q431" s="174"/>
      <c r="R431" s="390"/>
      <c r="S431" s="510"/>
      <c r="T431" s="200"/>
      <c r="U431" s="174"/>
      <c r="V431" s="174"/>
      <c r="W431" s="510"/>
      <c r="X431" s="174"/>
      <c r="Y431" s="174"/>
      <c r="Z431" s="174"/>
      <c r="AA431" s="510"/>
      <c r="AB431" s="200"/>
      <c r="AC431" s="174"/>
      <c r="AD431" s="390"/>
      <c r="AE431" s="510"/>
      <c r="AF431" s="200"/>
      <c r="AG431" s="174"/>
      <c r="AH431" s="174"/>
      <c r="AI431" s="200"/>
      <c r="AJ431" s="548"/>
      <c r="AK431" s="200"/>
      <c r="AL431" s="174"/>
      <c r="AM431" s="390"/>
      <c r="AN431" s="510"/>
      <c r="AO431" s="200"/>
      <c r="AP431" s="174"/>
      <c r="AQ431" s="510"/>
      <c r="AR431" s="200"/>
      <c r="AS431" s="174"/>
      <c r="AT431" s="510"/>
      <c r="AU431" s="200"/>
      <c r="AV431" s="174"/>
      <c r="AW431" s="510"/>
      <c r="AX431" s="200"/>
      <c r="AY431" s="174"/>
      <c r="AZ431" s="510"/>
      <c r="BA431" s="174"/>
      <c r="BB431" s="174"/>
      <c r="BC431" s="174"/>
      <c r="BD431" s="174"/>
      <c r="BE431" s="174"/>
      <c r="BF431" s="510"/>
      <c r="BG431" s="174"/>
      <c r="BH431" s="174"/>
      <c r="BI431" s="174"/>
      <c r="BJ431" s="200"/>
      <c r="BK431" s="174"/>
      <c r="BL431" s="510"/>
      <c r="BM431" s="174"/>
      <c r="BN431" s="174"/>
      <c r="BO431" s="510"/>
      <c r="BP431" s="200"/>
      <c r="BQ431" s="447"/>
      <c r="BR431" s="510"/>
      <c r="BS431" s="174"/>
      <c r="BT431" s="174"/>
      <c r="BU431" s="510"/>
      <c r="BV431" s="200"/>
      <c r="BW431" s="174"/>
      <c r="BX431" s="510"/>
      <c r="BY431" s="174"/>
      <c r="BZ431" s="174"/>
      <c r="CA431" s="510"/>
      <c r="CB431" s="200"/>
      <c r="CC431" s="174"/>
      <c r="CD431" s="510"/>
      <c r="CE431" s="174"/>
      <c r="CF431" s="174"/>
      <c r="CG431" s="510"/>
      <c r="CH431" s="174"/>
      <c r="CI431" s="174"/>
      <c r="CJ431" s="174"/>
      <c r="CK431" s="174"/>
      <c r="CL431" s="174"/>
      <c r="CM431" s="510"/>
      <c r="CN431" s="174"/>
      <c r="CO431" s="549"/>
      <c r="CP431" s="510"/>
      <c r="CQ431" s="200"/>
      <c r="CR431" s="550"/>
      <c r="CS431" s="510"/>
      <c r="CT431" s="390"/>
      <c r="CU431" s="331"/>
      <c r="CV431" s="428"/>
      <c r="CW431" s="155"/>
      <c r="CX431" s="155"/>
      <c r="CY431" s="267"/>
      <c r="CZ431" s="323"/>
      <c r="DA431" s="323"/>
      <c r="DB431" s="423"/>
      <c r="DC431" s="155"/>
      <c r="DD431" s="155"/>
      <c r="DE431" s="267"/>
      <c r="DF431" s="323"/>
      <c r="DG431" s="323"/>
      <c r="DH431" s="428"/>
      <c r="DI431" s="155"/>
      <c r="DJ431" s="155"/>
      <c r="DK431" s="222"/>
      <c r="DL431" s="267"/>
      <c r="DM431" s="155"/>
      <c r="DN431" s="155"/>
      <c r="DO431" s="155"/>
      <c r="DP431" s="423"/>
      <c r="DQ431" s="155"/>
      <c r="DR431" s="155"/>
      <c r="DS431" s="222"/>
      <c r="DT431" s="267"/>
      <c r="DU431" s="174"/>
      <c r="DV431" s="174"/>
      <c r="DW431" s="200"/>
      <c r="DX431" s="428"/>
      <c r="DY431" s="155"/>
      <c r="DZ431" s="155"/>
      <c r="EA431" s="155"/>
      <c r="EB431" s="173"/>
      <c r="EC431" s="155"/>
      <c r="ED431" s="155"/>
      <c r="EE431" s="155"/>
      <c r="EF431" s="423"/>
      <c r="EG431" s="155"/>
      <c r="EH431" s="155"/>
      <c r="EI431" s="155"/>
      <c r="EJ431" s="267"/>
      <c r="EK431" s="155"/>
      <c r="EL431" s="155"/>
      <c r="EM431" s="155"/>
      <c r="EN431" s="428"/>
    </row>
    <row r="432" spans="1:144">
      <c r="A432" s="360"/>
      <c r="B432" s="172"/>
      <c r="C432" s="360"/>
      <c r="D432" s="172"/>
      <c r="E432" s="408"/>
      <c r="F432" s="408"/>
      <c r="G432" s="509"/>
      <c r="H432" s="546"/>
      <c r="I432" s="546"/>
      <c r="J432" s="251"/>
      <c r="K432" s="251"/>
      <c r="L432" s="509"/>
      <c r="M432" s="509"/>
      <c r="N432" s="509"/>
      <c r="O432" s="547"/>
      <c r="P432" s="200"/>
      <c r="Q432" s="174"/>
      <c r="R432" s="390"/>
      <c r="S432" s="510"/>
      <c r="T432" s="200"/>
      <c r="U432" s="174"/>
      <c r="V432" s="174"/>
      <c r="W432" s="510"/>
      <c r="X432" s="174"/>
      <c r="Y432" s="174"/>
      <c r="Z432" s="174"/>
      <c r="AA432" s="510"/>
      <c r="AB432" s="200"/>
      <c r="AC432" s="174"/>
      <c r="AD432" s="390"/>
      <c r="AE432" s="510"/>
      <c r="AF432" s="200"/>
      <c r="AG432" s="174"/>
      <c r="AH432" s="174"/>
      <c r="AI432" s="200"/>
      <c r="AJ432" s="548"/>
      <c r="AK432" s="200"/>
      <c r="AL432" s="174"/>
      <c r="AM432" s="390"/>
      <c r="AN432" s="510"/>
      <c r="AO432" s="200"/>
      <c r="AP432" s="174"/>
      <c r="AQ432" s="510"/>
      <c r="AR432" s="200"/>
      <c r="AS432" s="174"/>
      <c r="AT432" s="510"/>
      <c r="AU432" s="200"/>
      <c r="AV432" s="174"/>
      <c r="AW432" s="510"/>
      <c r="AX432" s="200"/>
      <c r="AY432" s="174"/>
      <c r="AZ432" s="510"/>
      <c r="BA432" s="174"/>
      <c r="BB432" s="174"/>
      <c r="BC432" s="174"/>
      <c r="BD432" s="174"/>
      <c r="BE432" s="174"/>
      <c r="BF432" s="510"/>
      <c r="BG432" s="174"/>
      <c r="BH432" s="174"/>
      <c r="BI432" s="174"/>
      <c r="BJ432" s="200"/>
      <c r="BK432" s="174"/>
      <c r="BL432" s="510"/>
      <c r="BM432" s="174"/>
      <c r="BN432" s="174"/>
      <c r="BO432" s="510"/>
      <c r="BP432" s="200"/>
      <c r="BQ432" s="447"/>
      <c r="BR432" s="510"/>
      <c r="BS432" s="174"/>
      <c r="BT432" s="174"/>
      <c r="BU432" s="510"/>
      <c r="BV432" s="200"/>
      <c r="BW432" s="174"/>
      <c r="BX432" s="510"/>
      <c r="BY432" s="174"/>
      <c r="BZ432" s="174"/>
      <c r="CA432" s="510"/>
      <c r="CB432" s="200"/>
      <c r="CC432" s="174"/>
      <c r="CD432" s="510"/>
      <c r="CE432" s="174"/>
      <c r="CF432" s="174"/>
      <c r="CG432" s="510"/>
      <c r="CH432" s="174"/>
      <c r="CI432" s="174"/>
      <c r="CJ432" s="174"/>
      <c r="CK432" s="174"/>
      <c r="CL432" s="174"/>
      <c r="CM432" s="510"/>
      <c r="CN432" s="174"/>
      <c r="CO432" s="549"/>
      <c r="CP432" s="510"/>
      <c r="CQ432" s="200"/>
      <c r="CR432" s="550"/>
      <c r="CS432" s="510"/>
      <c r="CT432" s="390"/>
      <c r="CU432" s="331"/>
      <c r="CV432" s="428"/>
      <c r="CW432" s="155"/>
      <c r="CX432" s="155"/>
      <c r="CY432" s="267"/>
      <c r="CZ432" s="323"/>
      <c r="DA432" s="323"/>
      <c r="DB432" s="423"/>
      <c r="DC432" s="155"/>
      <c r="DD432" s="155"/>
      <c r="DE432" s="267"/>
      <c r="DF432" s="323"/>
      <c r="DG432" s="323"/>
      <c r="DH432" s="428"/>
      <c r="DI432" s="155"/>
      <c r="DJ432" s="155"/>
      <c r="DK432" s="222"/>
      <c r="DL432" s="267"/>
      <c r="DM432" s="155"/>
      <c r="DN432" s="155"/>
      <c r="DO432" s="155"/>
      <c r="DP432" s="423"/>
      <c r="DQ432" s="155"/>
      <c r="DR432" s="155"/>
      <c r="DS432" s="222"/>
      <c r="DT432" s="267"/>
      <c r="DU432" s="174"/>
      <c r="DV432" s="174"/>
      <c r="DW432" s="200"/>
      <c r="DX432" s="428"/>
      <c r="DY432" s="155"/>
      <c r="DZ432" s="155"/>
      <c r="EA432" s="155"/>
      <c r="EB432" s="173"/>
      <c r="EC432" s="155"/>
      <c r="ED432" s="155"/>
      <c r="EE432" s="155"/>
      <c r="EF432" s="423"/>
      <c r="EG432" s="155"/>
      <c r="EH432" s="155"/>
      <c r="EI432" s="155"/>
      <c r="EJ432" s="267"/>
      <c r="EK432" s="155"/>
      <c r="EL432" s="155"/>
      <c r="EM432" s="155"/>
      <c r="EN432" s="428"/>
    </row>
    <row r="433" spans="1:144">
      <c r="A433" s="360"/>
      <c r="B433" s="172"/>
      <c r="C433" s="360"/>
      <c r="D433" s="172"/>
      <c r="E433" s="408"/>
      <c r="F433" s="408"/>
      <c r="G433" s="509"/>
      <c r="H433" s="546"/>
      <c r="I433" s="546"/>
      <c r="J433" s="251"/>
      <c r="K433" s="251"/>
      <c r="L433" s="509"/>
      <c r="M433" s="509"/>
      <c r="N433" s="509"/>
      <c r="O433" s="547"/>
      <c r="P433" s="200"/>
      <c r="Q433" s="174"/>
      <c r="R433" s="390"/>
      <c r="S433" s="510"/>
      <c r="T433" s="200"/>
      <c r="U433" s="174"/>
      <c r="V433" s="174"/>
      <c r="W433" s="510"/>
      <c r="X433" s="174"/>
      <c r="Y433" s="174"/>
      <c r="Z433" s="174"/>
      <c r="AA433" s="510"/>
      <c r="AB433" s="200"/>
      <c r="AC433" s="174"/>
      <c r="AD433" s="390"/>
      <c r="AE433" s="510"/>
      <c r="AF433" s="200"/>
      <c r="AG433" s="174"/>
      <c r="AH433" s="174"/>
      <c r="AI433" s="200"/>
      <c r="AJ433" s="548"/>
      <c r="AK433" s="200"/>
      <c r="AL433" s="174"/>
      <c r="AM433" s="390"/>
      <c r="AN433" s="510"/>
      <c r="AO433" s="200"/>
      <c r="AP433" s="174"/>
      <c r="AQ433" s="510"/>
      <c r="AR433" s="200"/>
      <c r="AS433" s="174"/>
      <c r="AT433" s="510"/>
      <c r="AU433" s="200"/>
      <c r="AV433" s="174"/>
      <c r="AW433" s="510"/>
      <c r="AX433" s="200"/>
      <c r="AY433" s="174"/>
      <c r="AZ433" s="510"/>
      <c r="BA433" s="174"/>
      <c r="BB433" s="174"/>
      <c r="BC433" s="174"/>
      <c r="BD433" s="174"/>
      <c r="BE433" s="174"/>
      <c r="BF433" s="510"/>
      <c r="BG433" s="174"/>
      <c r="BH433" s="174"/>
      <c r="BI433" s="174"/>
      <c r="BJ433" s="200"/>
      <c r="BK433" s="174"/>
      <c r="BL433" s="510"/>
      <c r="BM433" s="174"/>
      <c r="BN433" s="174"/>
      <c r="BO433" s="510"/>
      <c r="BP433" s="200"/>
      <c r="BQ433" s="447"/>
      <c r="BR433" s="510"/>
      <c r="BS433" s="174"/>
      <c r="BT433" s="174"/>
      <c r="BU433" s="510"/>
      <c r="BV433" s="200"/>
      <c r="BW433" s="174"/>
      <c r="BX433" s="510"/>
      <c r="BY433" s="174"/>
      <c r="BZ433" s="174"/>
      <c r="CA433" s="510"/>
      <c r="CB433" s="200"/>
      <c r="CC433" s="174"/>
      <c r="CD433" s="510"/>
      <c r="CE433" s="174"/>
      <c r="CF433" s="174"/>
      <c r="CG433" s="510"/>
      <c r="CH433" s="174"/>
      <c r="CI433" s="174"/>
      <c r="CJ433" s="174"/>
      <c r="CK433" s="174"/>
      <c r="CL433" s="174"/>
      <c r="CM433" s="510"/>
      <c r="CN433" s="174"/>
      <c r="CO433" s="549"/>
      <c r="CP433" s="510"/>
      <c r="CQ433" s="200"/>
      <c r="CR433" s="550"/>
      <c r="CS433" s="510"/>
      <c r="CT433" s="390"/>
      <c r="CU433" s="331"/>
      <c r="CV433" s="428"/>
      <c r="CW433" s="155"/>
      <c r="CX433" s="155"/>
      <c r="CY433" s="267"/>
      <c r="CZ433" s="323"/>
      <c r="DA433" s="323"/>
      <c r="DB433" s="423"/>
      <c r="DC433" s="155"/>
      <c r="DD433" s="155"/>
      <c r="DE433" s="267"/>
      <c r="DF433" s="323"/>
      <c r="DG433" s="323"/>
      <c r="DH433" s="428"/>
      <c r="DI433" s="155"/>
      <c r="DJ433" s="155"/>
      <c r="DK433" s="222"/>
      <c r="DL433" s="267"/>
      <c r="DM433" s="155"/>
      <c r="DN433" s="155"/>
      <c r="DO433" s="155"/>
      <c r="DP433" s="423"/>
      <c r="DQ433" s="155"/>
      <c r="DR433" s="155"/>
      <c r="DS433" s="222"/>
      <c r="DT433" s="267"/>
      <c r="DU433" s="174"/>
      <c r="DV433" s="174"/>
      <c r="DW433" s="200"/>
      <c r="DX433" s="428"/>
      <c r="DY433" s="155"/>
      <c r="DZ433" s="155"/>
      <c r="EA433" s="155"/>
      <c r="EB433" s="173"/>
      <c r="EC433" s="155"/>
      <c r="ED433" s="155"/>
      <c r="EE433" s="155"/>
      <c r="EF433" s="423"/>
      <c r="EG433" s="155"/>
      <c r="EH433" s="155"/>
      <c r="EI433" s="155"/>
      <c r="EJ433" s="267"/>
      <c r="EK433" s="155"/>
      <c r="EL433" s="155"/>
      <c r="EM433" s="155"/>
      <c r="EN433" s="428"/>
    </row>
    <row r="434" spans="1:144">
      <c r="A434" s="360"/>
      <c r="B434" s="172"/>
      <c r="C434" s="360"/>
      <c r="D434" s="172"/>
      <c r="E434" s="408"/>
      <c r="F434" s="408"/>
      <c r="G434" s="509"/>
      <c r="H434" s="546"/>
      <c r="I434" s="546"/>
      <c r="J434" s="251"/>
      <c r="K434" s="251"/>
      <c r="L434" s="509"/>
      <c r="M434" s="509"/>
      <c r="N434" s="509"/>
      <c r="O434" s="547"/>
      <c r="P434" s="200"/>
      <c r="Q434" s="174"/>
      <c r="R434" s="390"/>
      <c r="S434" s="510"/>
      <c r="T434" s="200"/>
      <c r="U434" s="174"/>
      <c r="V434" s="174"/>
      <c r="W434" s="510"/>
      <c r="X434" s="174"/>
      <c r="Y434" s="174"/>
      <c r="Z434" s="174"/>
      <c r="AA434" s="510"/>
      <c r="AB434" s="200"/>
      <c r="AC434" s="174"/>
      <c r="AD434" s="390"/>
      <c r="AE434" s="510"/>
      <c r="AF434" s="200"/>
      <c r="AG434" s="174"/>
      <c r="AH434" s="174"/>
      <c r="AI434" s="200"/>
      <c r="AJ434" s="548"/>
      <c r="AK434" s="200"/>
      <c r="AL434" s="174"/>
      <c r="AM434" s="390"/>
      <c r="AN434" s="510"/>
      <c r="AO434" s="200"/>
      <c r="AP434" s="174"/>
      <c r="AQ434" s="510"/>
      <c r="AR434" s="200"/>
      <c r="AS434" s="174"/>
      <c r="AT434" s="510"/>
      <c r="AU434" s="200"/>
      <c r="AV434" s="174"/>
      <c r="AW434" s="510"/>
      <c r="AX434" s="200"/>
      <c r="AY434" s="174"/>
      <c r="AZ434" s="510"/>
      <c r="BA434" s="174"/>
      <c r="BB434" s="174"/>
      <c r="BC434" s="174"/>
      <c r="BD434" s="174"/>
      <c r="BE434" s="174"/>
      <c r="BF434" s="510"/>
      <c r="BG434" s="174"/>
      <c r="BH434" s="174"/>
      <c r="BI434" s="174"/>
      <c r="BJ434" s="200"/>
      <c r="BK434" s="174"/>
      <c r="BL434" s="510"/>
      <c r="BM434" s="174"/>
      <c r="BN434" s="174"/>
      <c r="BO434" s="510"/>
      <c r="BP434" s="200"/>
      <c r="BQ434" s="447"/>
      <c r="BR434" s="510"/>
      <c r="BS434" s="174"/>
      <c r="BT434" s="174"/>
      <c r="BU434" s="510"/>
      <c r="BV434" s="200"/>
      <c r="BW434" s="174"/>
      <c r="BX434" s="510"/>
      <c r="BY434" s="174"/>
      <c r="BZ434" s="174"/>
      <c r="CA434" s="510"/>
      <c r="CB434" s="200"/>
      <c r="CC434" s="174"/>
      <c r="CD434" s="510"/>
      <c r="CE434" s="174"/>
      <c r="CF434" s="174"/>
      <c r="CG434" s="510"/>
      <c r="CH434" s="174"/>
      <c r="CI434" s="174"/>
      <c r="CJ434" s="174"/>
      <c r="CK434" s="174"/>
      <c r="CL434" s="174"/>
      <c r="CM434" s="510"/>
      <c r="CN434" s="174"/>
      <c r="CO434" s="549"/>
      <c r="CP434" s="510"/>
      <c r="CQ434" s="200"/>
      <c r="CR434" s="550"/>
      <c r="CS434" s="510"/>
      <c r="CT434" s="390"/>
      <c r="CU434" s="331"/>
      <c r="CV434" s="428"/>
      <c r="CW434" s="155"/>
      <c r="CX434" s="155"/>
      <c r="CY434" s="267"/>
      <c r="CZ434" s="323"/>
      <c r="DA434" s="323"/>
      <c r="DB434" s="423"/>
      <c r="DC434" s="155"/>
      <c r="DD434" s="155"/>
      <c r="DE434" s="267"/>
      <c r="DF434" s="323"/>
      <c r="DG434" s="323"/>
      <c r="DH434" s="428"/>
      <c r="DI434" s="155"/>
      <c r="DJ434" s="155"/>
      <c r="DK434" s="222"/>
      <c r="DL434" s="267"/>
      <c r="DM434" s="155"/>
      <c r="DN434" s="155"/>
      <c r="DO434" s="155"/>
      <c r="DP434" s="423"/>
      <c r="DQ434" s="155"/>
      <c r="DR434" s="155"/>
      <c r="DS434" s="222"/>
      <c r="DT434" s="267"/>
      <c r="DU434" s="174"/>
      <c r="DV434" s="174"/>
      <c r="DW434" s="200"/>
      <c r="DX434" s="428"/>
      <c r="DY434" s="155"/>
      <c r="DZ434" s="155"/>
      <c r="EA434" s="155"/>
      <c r="EB434" s="173"/>
      <c r="EC434" s="155"/>
      <c r="ED434" s="155"/>
      <c r="EE434" s="155"/>
      <c r="EF434" s="423"/>
      <c r="EG434" s="155"/>
      <c r="EH434" s="155"/>
      <c r="EI434" s="155"/>
      <c r="EJ434" s="267"/>
      <c r="EK434" s="155"/>
      <c r="EL434" s="155"/>
      <c r="EM434" s="155"/>
      <c r="EN434" s="428"/>
    </row>
    <row r="435" spans="1:144">
      <c r="A435" s="360"/>
      <c r="B435" s="172"/>
      <c r="C435" s="360"/>
      <c r="D435" s="172"/>
      <c r="E435" s="408"/>
      <c r="F435" s="408"/>
      <c r="G435" s="509"/>
      <c r="H435" s="546"/>
      <c r="I435" s="546"/>
      <c r="J435" s="251"/>
      <c r="K435" s="251"/>
      <c r="L435" s="509"/>
      <c r="M435" s="509"/>
      <c r="N435" s="509"/>
      <c r="O435" s="547"/>
      <c r="P435" s="200"/>
      <c r="Q435" s="174"/>
      <c r="R435" s="390"/>
      <c r="S435" s="510"/>
      <c r="T435" s="200"/>
      <c r="U435" s="174"/>
      <c r="V435" s="174"/>
      <c r="W435" s="510"/>
      <c r="X435" s="174"/>
      <c r="Y435" s="174"/>
      <c r="Z435" s="174"/>
      <c r="AA435" s="510"/>
      <c r="AB435" s="200"/>
      <c r="AC435" s="174"/>
      <c r="AD435" s="390"/>
      <c r="AE435" s="510"/>
      <c r="AF435" s="200"/>
      <c r="AG435" s="174"/>
      <c r="AH435" s="174"/>
      <c r="AI435" s="200"/>
      <c r="AJ435" s="548"/>
      <c r="AK435" s="200"/>
      <c r="AL435" s="174"/>
      <c r="AM435" s="390"/>
      <c r="AN435" s="510"/>
      <c r="AO435" s="200"/>
      <c r="AP435" s="174"/>
      <c r="AQ435" s="510"/>
      <c r="AR435" s="200"/>
      <c r="AS435" s="174"/>
      <c r="AT435" s="510"/>
      <c r="AU435" s="200"/>
      <c r="AV435" s="174"/>
      <c r="AW435" s="510"/>
      <c r="AX435" s="200"/>
      <c r="AY435" s="174"/>
      <c r="AZ435" s="510"/>
      <c r="BA435" s="174"/>
      <c r="BB435" s="174"/>
      <c r="BC435" s="174"/>
      <c r="BD435" s="174"/>
      <c r="BE435" s="174"/>
      <c r="BF435" s="510"/>
      <c r="BG435" s="174"/>
      <c r="BH435" s="174"/>
      <c r="BI435" s="174"/>
      <c r="BJ435" s="200"/>
      <c r="BK435" s="174"/>
      <c r="BL435" s="510"/>
      <c r="BM435" s="174"/>
      <c r="BN435" s="174"/>
      <c r="BO435" s="510"/>
      <c r="BP435" s="200"/>
      <c r="BQ435" s="447"/>
      <c r="BR435" s="510"/>
      <c r="BS435" s="174"/>
      <c r="BT435" s="174"/>
      <c r="BU435" s="510"/>
      <c r="BV435" s="200"/>
      <c r="BW435" s="174"/>
      <c r="BX435" s="510"/>
      <c r="BY435" s="174"/>
      <c r="BZ435" s="174"/>
      <c r="CA435" s="510"/>
      <c r="CB435" s="200"/>
      <c r="CC435" s="174"/>
      <c r="CD435" s="510"/>
      <c r="CE435" s="174"/>
      <c r="CF435" s="174"/>
      <c r="CG435" s="510"/>
      <c r="CH435" s="174"/>
      <c r="CI435" s="174"/>
      <c r="CJ435" s="174"/>
      <c r="CK435" s="174"/>
      <c r="CL435" s="174"/>
      <c r="CM435" s="510"/>
      <c r="CN435" s="174"/>
      <c r="CO435" s="549"/>
      <c r="CP435" s="510"/>
      <c r="CQ435" s="200"/>
      <c r="CR435" s="550"/>
      <c r="CS435" s="510"/>
      <c r="CT435" s="390"/>
      <c r="CU435" s="331"/>
      <c r="CV435" s="428"/>
      <c r="CW435" s="155"/>
      <c r="CX435" s="155"/>
      <c r="CY435" s="267"/>
      <c r="CZ435" s="323"/>
      <c r="DA435" s="323"/>
      <c r="DB435" s="423"/>
      <c r="DC435" s="155"/>
      <c r="DD435" s="155"/>
      <c r="DE435" s="267"/>
      <c r="DF435" s="323"/>
      <c r="DG435" s="323"/>
      <c r="DH435" s="428"/>
      <c r="DI435" s="155"/>
      <c r="DJ435" s="155"/>
      <c r="DK435" s="222"/>
      <c r="DL435" s="267"/>
      <c r="DM435" s="155"/>
      <c r="DN435" s="155"/>
      <c r="DO435" s="155"/>
      <c r="DP435" s="423"/>
      <c r="DQ435" s="155"/>
      <c r="DR435" s="155"/>
      <c r="DS435" s="222"/>
      <c r="DT435" s="267"/>
      <c r="DU435" s="174"/>
      <c r="DV435" s="174"/>
      <c r="DW435" s="200"/>
      <c r="DX435" s="428"/>
      <c r="DY435" s="155"/>
      <c r="DZ435" s="155"/>
      <c r="EA435" s="155"/>
      <c r="EB435" s="173"/>
      <c r="EC435" s="155"/>
      <c r="ED435" s="155"/>
      <c r="EE435" s="155"/>
      <c r="EF435" s="423"/>
      <c r="EG435" s="155"/>
      <c r="EH435" s="155"/>
      <c r="EI435" s="155"/>
      <c r="EJ435" s="267"/>
      <c r="EK435" s="155"/>
      <c r="EL435" s="155"/>
      <c r="EM435" s="155"/>
      <c r="EN435" s="428"/>
    </row>
    <row r="436" spans="1:144">
      <c r="A436" s="360"/>
      <c r="B436" s="172"/>
      <c r="C436" s="360"/>
      <c r="D436" s="172"/>
      <c r="E436" s="408"/>
      <c r="F436" s="408"/>
      <c r="G436" s="509"/>
      <c r="H436" s="546"/>
      <c r="I436" s="546"/>
      <c r="J436" s="251"/>
      <c r="K436" s="251"/>
      <c r="L436" s="509"/>
      <c r="M436" s="509"/>
      <c r="N436" s="509"/>
      <c r="O436" s="547"/>
      <c r="P436" s="200"/>
      <c r="Q436" s="174"/>
      <c r="R436" s="390"/>
      <c r="S436" s="510"/>
      <c r="T436" s="200"/>
      <c r="U436" s="174"/>
      <c r="V436" s="174"/>
      <c r="W436" s="510"/>
      <c r="X436" s="174"/>
      <c r="Y436" s="174"/>
      <c r="Z436" s="174"/>
      <c r="AA436" s="510"/>
      <c r="AB436" s="200"/>
      <c r="AC436" s="174"/>
      <c r="AD436" s="390"/>
      <c r="AE436" s="510"/>
      <c r="AF436" s="200"/>
      <c r="AG436" s="174"/>
      <c r="AH436" s="174"/>
      <c r="AI436" s="200"/>
      <c r="AJ436" s="548"/>
      <c r="AK436" s="200"/>
      <c r="AL436" s="174"/>
      <c r="AM436" s="390"/>
      <c r="AN436" s="510"/>
      <c r="AO436" s="200"/>
      <c r="AP436" s="174"/>
      <c r="AQ436" s="510"/>
      <c r="AR436" s="200"/>
      <c r="AS436" s="174"/>
      <c r="AT436" s="510"/>
      <c r="AU436" s="200"/>
      <c r="AV436" s="174"/>
      <c r="AW436" s="510"/>
      <c r="AX436" s="200"/>
      <c r="AY436" s="174"/>
      <c r="AZ436" s="510"/>
      <c r="BA436" s="174"/>
      <c r="BB436" s="174"/>
      <c r="BC436" s="174"/>
      <c r="BD436" s="174"/>
      <c r="BE436" s="174"/>
      <c r="BF436" s="510"/>
      <c r="BG436" s="174"/>
      <c r="BH436" s="174"/>
      <c r="BI436" s="174"/>
      <c r="BJ436" s="200"/>
      <c r="BK436" s="174"/>
      <c r="BL436" s="510"/>
      <c r="BM436" s="174"/>
      <c r="BN436" s="174"/>
      <c r="BO436" s="510"/>
      <c r="BP436" s="200"/>
      <c r="BQ436" s="447"/>
      <c r="BR436" s="510"/>
      <c r="BS436" s="174"/>
      <c r="BT436" s="174"/>
      <c r="BU436" s="510"/>
      <c r="BV436" s="200"/>
      <c r="BW436" s="174"/>
      <c r="BX436" s="510"/>
      <c r="BY436" s="174"/>
      <c r="BZ436" s="174"/>
      <c r="CA436" s="510"/>
      <c r="CB436" s="200"/>
      <c r="CC436" s="174"/>
      <c r="CD436" s="510"/>
      <c r="CE436" s="174"/>
      <c r="CF436" s="174"/>
      <c r="CG436" s="510"/>
      <c r="CH436" s="174"/>
      <c r="CI436" s="174"/>
      <c r="CJ436" s="174"/>
      <c r="CK436" s="174"/>
      <c r="CL436" s="174"/>
      <c r="CM436" s="510"/>
      <c r="CN436" s="174"/>
      <c r="CO436" s="549"/>
      <c r="CP436" s="510"/>
      <c r="CQ436" s="200"/>
      <c r="CR436" s="550"/>
      <c r="CS436" s="510"/>
      <c r="CT436" s="390"/>
      <c r="CU436" s="331"/>
      <c r="CV436" s="428"/>
      <c r="CW436" s="155"/>
      <c r="CX436" s="155"/>
      <c r="CY436" s="267"/>
      <c r="CZ436" s="323"/>
      <c r="DA436" s="323"/>
      <c r="DB436" s="423"/>
      <c r="DC436" s="155"/>
      <c r="DD436" s="155"/>
      <c r="DE436" s="267"/>
      <c r="DF436" s="323"/>
      <c r="DG436" s="323"/>
      <c r="DH436" s="428"/>
      <c r="DI436" s="155"/>
      <c r="DJ436" s="155"/>
      <c r="DK436" s="222"/>
      <c r="DL436" s="267"/>
      <c r="DM436" s="155"/>
      <c r="DN436" s="155"/>
      <c r="DO436" s="155"/>
      <c r="DP436" s="423"/>
      <c r="DQ436" s="155"/>
      <c r="DR436" s="155"/>
      <c r="DS436" s="222"/>
      <c r="DT436" s="267"/>
      <c r="DU436" s="174"/>
      <c r="DV436" s="174"/>
      <c r="DW436" s="200"/>
      <c r="DX436" s="428"/>
      <c r="DY436" s="155"/>
      <c r="DZ436" s="155"/>
      <c r="EA436" s="155"/>
      <c r="EB436" s="173"/>
      <c r="EC436" s="155"/>
      <c r="ED436" s="155"/>
      <c r="EE436" s="155"/>
      <c r="EF436" s="423"/>
      <c r="EG436" s="155"/>
      <c r="EH436" s="155"/>
      <c r="EI436" s="155"/>
      <c r="EJ436" s="267"/>
      <c r="EK436" s="155"/>
      <c r="EL436" s="155"/>
      <c r="EM436" s="155"/>
      <c r="EN436" s="428"/>
    </row>
    <row r="437" spans="1:144">
      <c r="A437" s="360"/>
      <c r="B437" s="172"/>
      <c r="C437" s="360"/>
      <c r="D437" s="172"/>
      <c r="E437" s="408"/>
      <c r="F437" s="408"/>
      <c r="G437" s="509"/>
      <c r="H437" s="546"/>
      <c r="I437" s="546"/>
      <c r="J437" s="251"/>
      <c r="K437" s="251"/>
      <c r="L437" s="509"/>
      <c r="M437" s="509"/>
      <c r="N437" s="509"/>
      <c r="O437" s="547"/>
      <c r="P437" s="200"/>
      <c r="Q437" s="174"/>
      <c r="R437" s="390"/>
      <c r="S437" s="510"/>
      <c r="T437" s="200"/>
      <c r="U437" s="174"/>
      <c r="V437" s="174"/>
      <c r="W437" s="510"/>
      <c r="X437" s="174"/>
      <c r="Y437" s="174"/>
      <c r="Z437" s="174"/>
      <c r="AA437" s="510"/>
      <c r="AB437" s="200"/>
      <c r="AC437" s="174"/>
      <c r="AD437" s="390"/>
      <c r="AE437" s="510"/>
      <c r="AF437" s="200"/>
      <c r="AG437" s="174"/>
      <c r="AH437" s="174"/>
      <c r="AI437" s="200"/>
      <c r="AJ437" s="548"/>
      <c r="AK437" s="200"/>
      <c r="AL437" s="174"/>
      <c r="AM437" s="390"/>
      <c r="AN437" s="510"/>
      <c r="AO437" s="200"/>
      <c r="AP437" s="174"/>
      <c r="AQ437" s="510"/>
      <c r="AR437" s="200"/>
      <c r="AS437" s="174"/>
      <c r="AT437" s="510"/>
      <c r="AU437" s="200"/>
      <c r="AV437" s="174"/>
      <c r="AW437" s="510"/>
      <c r="AX437" s="200"/>
      <c r="AY437" s="174"/>
      <c r="AZ437" s="510"/>
      <c r="BA437" s="174"/>
      <c r="BB437" s="174"/>
      <c r="BC437" s="174"/>
      <c r="BD437" s="174"/>
      <c r="BE437" s="174"/>
      <c r="BF437" s="510"/>
      <c r="BG437" s="174"/>
      <c r="BH437" s="174"/>
      <c r="BI437" s="174"/>
      <c r="BJ437" s="200"/>
      <c r="BK437" s="174"/>
      <c r="BL437" s="510"/>
      <c r="BM437" s="174"/>
      <c r="BN437" s="174"/>
      <c r="BO437" s="510"/>
      <c r="BP437" s="200"/>
      <c r="BQ437" s="447"/>
      <c r="BR437" s="510"/>
      <c r="BS437" s="174"/>
      <c r="BT437" s="174"/>
      <c r="BU437" s="510"/>
      <c r="BV437" s="200"/>
      <c r="BW437" s="174"/>
      <c r="BX437" s="510"/>
      <c r="BY437" s="174"/>
      <c r="BZ437" s="174"/>
      <c r="CA437" s="510"/>
      <c r="CB437" s="200"/>
      <c r="CC437" s="174"/>
      <c r="CD437" s="510"/>
      <c r="CE437" s="174"/>
      <c r="CF437" s="174"/>
      <c r="CG437" s="510"/>
      <c r="CH437" s="174"/>
      <c r="CI437" s="174"/>
      <c r="CJ437" s="174"/>
      <c r="CK437" s="174"/>
      <c r="CL437" s="174"/>
      <c r="CM437" s="510"/>
      <c r="CN437" s="174"/>
      <c r="CO437" s="549"/>
      <c r="CP437" s="510"/>
      <c r="CQ437" s="200"/>
      <c r="CR437" s="550"/>
      <c r="CS437" s="510"/>
      <c r="CT437" s="390"/>
      <c r="CU437" s="331"/>
      <c r="CV437" s="428"/>
      <c r="CW437" s="155"/>
      <c r="CX437" s="155"/>
      <c r="CY437" s="267"/>
      <c r="CZ437" s="323"/>
      <c r="DA437" s="323"/>
      <c r="DB437" s="423"/>
      <c r="DC437" s="155"/>
      <c r="DD437" s="155"/>
      <c r="DE437" s="267"/>
      <c r="DF437" s="323"/>
      <c r="DG437" s="323"/>
      <c r="DH437" s="428"/>
      <c r="DI437" s="155"/>
      <c r="DJ437" s="155"/>
      <c r="DK437" s="222"/>
      <c r="DL437" s="267"/>
      <c r="DM437" s="155"/>
      <c r="DN437" s="155"/>
      <c r="DO437" s="155"/>
      <c r="DP437" s="423"/>
      <c r="DQ437" s="155"/>
      <c r="DR437" s="155"/>
      <c r="DS437" s="222"/>
      <c r="DT437" s="267"/>
      <c r="DU437" s="174"/>
      <c r="DV437" s="174"/>
      <c r="DW437" s="200"/>
      <c r="DX437" s="428"/>
      <c r="DY437" s="155"/>
      <c r="DZ437" s="155"/>
      <c r="EA437" s="155"/>
      <c r="EB437" s="173"/>
      <c r="EC437" s="155"/>
      <c r="ED437" s="155"/>
      <c r="EE437" s="155"/>
      <c r="EF437" s="423"/>
      <c r="EG437" s="155"/>
      <c r="EH437" s="155"/>
      <c r="EI437" s="155"/>
      <c r="EJ437" s="267"/>
      <c r="EK437" s="155"/>
      <c r="EL437" s="155"/>
      <c r="EM437" s="155"/>
      <c r="EN437" s="428"/>
    </row>
    <row r="438" spans="1:144">
      <c r="A438" s="360"/>
      <c r="B438" s="172"/>
      <c r="C438" s="360"/>
      <c r="D438" s="172"/>
      <c r="E438" s="408"/>
      <c r="F438" s="408"/>
      <c r="G438" s="509"/>
      <c r="H438" s="546"/>
      <c r="I438" s="546"/>
      <c r="J438" s="251"/>
      <c r="K438" s="251"/>
      <c r="L438" s="509"/>
      <c r="M438" s="509"/>
      <c r="N438" s="509"/>
      <c r="O438" s="547"/>
      <c r="P438" s="200"/>
      <c r="Q438" s="174"/>
      <c r="R438" s="390"/>
      <c r="S438" s="510"/>
      <c r="T438" s="200"/>
      <c r="U438" s="174"/>
      <c r="V438" s="174"/>
      <c r="W438" s="510"/>
      <c r="X438" s="174"/>
      <c r="Y438" s="174"/>
      <c r="Z438" s="174"/>
      <c r="AA438" s="510"/>
      <c r="AB438" s="200"/>
      <c r="AC438" s="174"/>
      <c r="AD438" s="390"/>
      <c r="AE438" s="510"/>
      <c r="AF438" s="200"/>
      <c r="AG438" s="174"/>
      <c r="AH438" s="174"/>
      <c r="AI438" s="200"/>
      <c r="AJ438" s="548"/>
      <c r="AK438" s="200"/>
      <c r="AL438" s="174"/>
      <c r="AM438" s="390"/>
      <c r="AN438" s="510"/>
      <c r="AO438" s="200"/>
      <c r="AP438" s="174"/>
      <c r="AQ438" s="510"/>
      <c r="AR438" s="200"/>
      <c r="AS438" s="174"/>
      <c r="AT438" s="510"/>
      <c r="AU438" s="200"/>
      <c r="AV438" s="174"/>
      <c r="AW438" s="510"/>
      <c r="AX438" s="200"/>
      <c r="AY438" s="174"/>
      <c r="AZ438" s="510"/>
      <c r="BA438" s="174"/>
      <c r="BB438" s="174"/>
      <c r="BC438" s="174"/>
      <c r="BD438" s="174"/>
      <c r="BE438" s="174"/>
      <c r="BF438" s="510"/>
      <c r="BG438" s="174"/>
      <c r="BH438" s="174"/>
      <c r="BI438" s="174"/>
      <c r="BJ438" s="200"/>
      <c r="BK438" s="174"/>
      <c r="BL438" s="510"/>
      <c r="BM438" s="174"/>
      <c r="BN438" s="174"/>
      <c r="BO438" s="510"/>
      <c r="BP438" s="200"/>
      <c r="BQ438" s="447"/>
      <c r="BR438" s="510"/>
      <c r="BS438" s="174"/>
      <c r="BT438" s="174"/>
      <c r="BU438" s="510"/>
      <c r="BV438" s="200"/>
      <c r="BW438" s="174"/>
      <c r="BX438" s="510"/>
      <c r="BY438" s="174"/>
      <c r="BZ438" s="174"/>
      <c r="CA438" s="510"/>
      <c r="CB438" s="200"/>
      <c r="CC438" s="174"/>
      <c r="CD438" s="510"/>
      <c r="CE438" s="174"/>
      <c r="CF438" s="174"/>
      <c r="CG438" s="510"/>
      <c r="CH438" s="174"/>
      <c r="CI438" s="174"/>
      <c r="CJ438" s="174"/>
      <c r="CK438" s="174"/>
      <c r="CL438" s="174"/>
      <c r="CM438" s="510"/>
      <c r="CN438" s="174"/>
      <c r="CO438" s="549"/>
      <c r="CP438" s="510"/>
      <c r="CQ438" s="200"/>
      <c r="CR438" s="550"/>
      <c r="CS438" s="510"/>
      <c r="CT438" s="390"/>
      <c r="CU438" s="331"/>
      <c r="CV438" s="428"/>
      <c r="CW438" s="155"/>
      <c r="CX438" s="155"/>
      <c r="CY438" s="267"/>
      <c r="CZ438" s="323"/>
      <c r="DA438" s="323"/>
      <c r="DB438" s="423"/>
      <c r="DC438" s="155"/>
      <c r="DD438" s="155"/>
      <c r="DE438" s="267"/>
      <c r="DF438" s="323"/>
      <c r="DG438" s="323"/>
      <c r="DH438" s="428"/>
      <c r="DI438" s="155"/>
      <c r="DJ438" s="155"/>
      <c r="DK438" s="222"/>
      <c r="DL438" s="267"/>
      <c r="DM438" s="155"/>
      <c r="DN438" s="155"/>
      <c r="DO438" s="155"/>
      <c r="DP438" s="423"/>
      <c r="DQ438" s="155"/>
      <c r="DR438" s="155"/>
      <c r="DS438" s="222"/>
      <c r="DT438" s="267"/>
      <c r="DU438" s="174"/>
      <c r="DV438" s="174"/>
      <c r="DW438" s="200"/>
      <c r="DX438" s="428"/>
      <c r="DY438" s="155"/>
      <c r="DZ438" s="155"/>
      <c r="EA438" s="155"/>
      <c r="EB438" s="173"/>
      <c r="EC438" s="155"/>
      <c r="ED438" s="155"/>
      <c r="EE438" s="155"/>
      <c r="EF438" s="423"/>
      <c r="EG438" s="155"/>
      <c r="EH438" s="155"/>
      <c r="EI438" s="155"/>
      <c r="EJ438" s="267"/>
      <c r="EK438" s="155"/>
      <c r="EL438" s="155"/>
      <c r="EM438" s="155"/>
      <c r="EN438" s="428"/>
    </row>
    <row r="439" spans="1:144">
      <c r="A439" s="360"/>
      <c r="B439" s="172"/>
      <c r="C439" s="360"/>
      <c r="D439" s="172"/>
      <c r="E439" s="408"/>
      <c r="F439" s="408"/>
      <c r="G439" s="509"/>
      <c r="H439" s="546"/>
      <c r="I439" s="546"/>
      <c r="J439" s="251"/>
      <c r="K439" s="251"/>
      <c r="L439" s="509"/>
      <c r="M439" s="509"/>
      <c r="N439" s="509"/>
      <c r="O439" s="547"/>
      <c r="P439" s="200"/>
      <c r="Q439" s="174"/>
      <c r="R439" s="390"/>
      <c r="S439" s="510"/>
      <c r="T439" s="200"/>
      <c r="U439" s="174"/>
      <c r="V439" s="174"/>
      <c r="W439" s="510"/>
      <c r="X439" s="174"/>
      <c r="Y439" s="174"/>
      <c r="Z439" s="174"/>
      <c r="AA439" s="510"/>
      <c r="AB439" s="200"/>
      <c r="AC439" s="174"/>
      <c r="AD439" s="390"/>
      <c r="AE439" s="510"/>
      <c r="AF439" s="200"/>
      <c r="AG439" s="174"/>
      <c r="AH439" s="174"/>
      <c r="AI439" s="200"/>
      <c r="AJ439" s="548"/>
      <c r="AK439" s="200"/>
      <c r="AL439" s="174"/>
      <c r="AM439" s="390"/>
      <c r="AN439" s="510"/>
      <c r="AO439" s="200"/>
      <c r="AP439" s="174"/>
      <c r="AQ439" s="510"/>
      <c r="AR439" s="200"/>
      <c r="AS439" s="174"/>
      <c r="AT439" s="510"/>
      <c r="AU439" s="200"/>
      <c r="AV439" s="174"/>
      <c r="AW439" s="510"/>
      <c r="AX439" s="200"/>
      <c r="AY439" s="174"/>
      <c r="AZ439" s="510"/>
      <c r="BA439" s="174"/>
      <c r="BB439" s="174"/>
      <c r="BC439" s="174"/>
      <c r="BD439" s="174"/>
      <c r="BE439" s="174"/>
      <c r="BF439" s="510"/>
      <c r="BG439" s="174"/>
      <c r="BH439" s="174"/>
      <c r="BI439" s="174"/>
      <c r="BJ439" s="200"/>
      <c r="BK439" s="174"/>
      <c r="BL439" s="510"/>
      <c r="BM439" s="174"/>
      <c r="BN439" s="174"/>
      <c r="BO439" s="510"/>
      <c r="BP439" s="200"/>
      <c r="BQ439" s="447"/>
      <c r="BR439" s="510"/>
      <c r="BS439" s="174"/>
      <c r="BT439" s="174"/>
      <c r="BU439" s="510"/>
      <c r="BV439" s="200"/>
      <c r="BW439" s="174"/>
      <c r="BX439" s="510"/>
      <c r="BY439" s="174"/>
      <c r="BZ439" s="174"/>
      <c r="CA439" s="510"/>
      <c r="CB439" s="200"/>
      <c r="CC439" s="174"/>
      <c r="CD439" s="510"/>
      <c r="CE439" s="174"/>
      <c r="CF439" s="174"/>
      <c r="CG439" s="510"/>
      <c r="CH439" s="174"/>
      <c r="CI439" s="174"/>
      <c r="CJ439" s="174"/>
      <c r="CK439" s="174"/>
      <c r="CL439" s="174"/>
      <c r="CM439" s="510"/>
      <c r="CN439" s="174"/>
      <c r="CO439" s="549"/>
      <c r="CP439" s="510"/>
      <c r="CQ439" s="200"/>
      <c r="CR439" s="550"/>
      <c r="CS439" s="510"/>
      <c r="CT439" s="390"/>
      <c r="CU439" s="331"/>
      <c r="CV439" s="428"/>
      <c r="CW439" s="155"/>
      <c r="CX439" s="155"/>
      <c r="CY439" s="267"/>
      <c r="CZ439" s="323"/>
      <c r="DA439" s="323"/>
      <c r="DB439" s="423"/>
      <c r="DC439" s="155"/>
      <c r="DD439" s="155"/>
      <c r="DE439" s="267"/>
      <c r="DF439" s="323"/>
      <c r="DG439" s="323"/>
      <c r="DH439" s="428"/>
      <c r="DI439" s="155"/>
      <c r="DJ439" s="155"/>
      <c r="DK439" s="222"/>
      <c r="DL439" s="267"/>
      <c r="DM439" s="155"/>
      <c r="DN439" s="155"/>
      <c r="DO439" s="155"/>
      <c r="DP439" s="423"/>
      <c r="DQ439" s="155"/>
      <c r="DR439" s="155"/>
      <c r="DS439" s="222"/>
      <c r="DT439" s="267"/>
      <c r="DU439" s="174"/>
      <c r="DV439" s="174"/>
      <c r="DW439" s="200"/>
      <c r="DX439" s="428"/>
      <c r="DY439" s="155"/>
      <c r="DZ439" s="155"/>
      <c r="EA439" s="155"/>
      <c r="EB439" s="173"/>
      <c r="EC439" s="155"/>
      <c r="ED439" s="155"/>
      <c r="EE439" s="155"/>
      <c r="EF439" s="423"/>
      <c r="EG439" s="155"/>
      <c r="EH439" s="155"/>
      <c r="EI439" s="155"/>
      <c r="EJ439" s="267"/>
      <c r="EK439" s="155"/>
      <c r="EL439" s="155"/>
      <c r="EM439" s="155"/>
      <c r="EN439" s="428"/>
    </row>
    <row r="440" spans="1:144">
      <c r="A440" s="360"/>
      <c r="B440" s="172"/>
      <c r="C440" s="360"/>
      <c r="D440" s="172"/>
      <c r="E440" s="408"/>
      <c r="F440" s="408"/>
      <c r="G440" s="509"/>
      <c r="H440" s="546"/>
      <c r="I440" s="546"/>
      <c r="J440" s="251"/>
      <c r="K440" s="251"/>
      <c r="L440" s="509"/>
      <c r="M440" s="509"/>
      <c r="N440" s="509"/>
      <c r="O440" s="547"/>
      <c r="P440" s="200"/>
      <c r="Q440" s="174"/>
      <c r="R440" s="390"/>
      <c r="S440" s="510"/>
      <c r="T440" s="200"/>
      <c r="U440" s="174"/>
      <c r="V440" s="174"/>
      <c r="W440" s="510"/>
      <c r="X440" s="174"/>
      <c r="Y440" s="174"/>
      <c r="Z440" s="174"/>
      <c r="AA440" s="510"/>
      <c r="AB440" s="200"/>
      <c r="AC440" s="174"/>
      <c r="AD440" s="390"/>
      <c r="AE440" s="510"/>
      <c r="AF440" s="200"/>
      <c r="AG440" s="174"/>
      <c r="AH440" s="174"/>
      <c r="AI440" s="200"/>
      <c r="AJ440" s="548"/>
      <c r="AK440" s="200"/>
      <c r="AL440" s="174"/>
      <c r="AM440" s="390"/>
      <c r="AN440" s="510"/>
      <c r="AO440" s="200"/>
      <c r="AP440" s="174"/>
      <c r="AQ440" s="510"/>
      <c r="AR440" s="200"/>
      <c r="AS440" s="174"/>
      <c r="AT440" s="510"/>
      <c r="AU440" s="200"/>
      <c r="AV440" s="174"/>
      <c r="AW440" s="510"/>
      <c r="AX440" s="200"/>
      <c r="AY440" s="174"/>
      <c r="AZ440" s="510"/>
      <c r="BA440" s="174"/>
      <c r="BB440" s="174"/>
      <c r="BC440" s="174"/>
      <c r="BD440" s="174"/>
      <c r="BE440" s="174"/>
      <c r="BF440" s="510"/>
      <c r="BG440" s="174"/>
      <c r="BH440" s="174"/>
      <c r="BI440" s="174"/>
      <c r="BJ440" s="200"/>
      <c r="BK440" s="174"/>
      <c r="BL440" s="510"/>
      <c r="BM440" s="174"/>
      <c r="BN440" s="174"/>
      <c r="BO440" s="510"/>
      <c r="BP440" s="200"/>
      <c r="BQ440" s="447"/>
      <c r="BR440" s="510"/>
      <c r="BS440" s="174"/>
      <c r="BT440" s="174"/>
      <c r="BU440" s="510"/>
      <c r="BV440" s="200"/>
      <c r="BW440" s="174"/>
      <c r="BX440" s="510"/>
      <c r="BY440" s="174"/>
      <c r="BZ440" s="174"/>
      <c r="CA440" s="510"/>
      <c r="CB440" s="200"/>
      <c r="CC440" s="174"/>
      <c r="CD440" s="510"/>
      <c r="CE440" s="174"/>
      <c r="CF440" s="174"/>
      <c r="CG440" s="510"/>
      <c r="CH440" s="174"/>
      <c r="CI440" s="174"/>
      <c r="CJ440" s="174"/>
      <c r="CK440" s="174"/>
      <c r="CL440" s="174"/>
      <c r="CM440" s="510"/>
      <c r="CN440" s="174"/>
      <c r="CO440" s="549"/>
      <c r="CP440" s="510"/>
      <c r="CQ440" s="200"/>
      <c r="CR440" s="550"/>
      <c r="CS440" s="510"/>
      <c r="CT440" s="390"/>
      <c r="CU440" s="331"/>
      <c r="CV440" s="428"/>
      <c r="CW440" s="155"/>
      <c r="CX440" s="155"/>
      <c r="CY440" s="267"/>
      <c r="CZ440" s="323"/>
      <c r="DA440" s="323"/>
      <c r="DB440" s="423"/>
      <c r="DC440" s="155"/>
      <c r="DD440" s="155"/>
      <c r="DE440" s="267"/>
      <c r="DF440" s="323"/>
      <c r="DG440" s="323"/>
      <c r="DH440" s="428"/>
      <c r="DI440" s="155"/>
      <c r="DJ440" s="155"/>
      <c r="DK440" s="222"/>
      <c r="DL440" s="267"/>
      <c r="DM440" s="155"/>
      <c r="DN440" s="155"/>
      <c r="DO440" s="155"/>
      <c r="DP440" s="423"/>
      <c r="DQ440" s="155"/>
      <c r="DR440" s="155"/>
      <c r="DS440" s="222"/>
      <c r="DT440" s="267"/>
      <c r="DU440" s="174"/>
      <c r="DV440" s="174"/>
      <c r="DW440" s="200"/>
      <c r="DX440" s="428"/>
      <c r="DY440" s="155"/>
      <c r="DZ440" s="155"/>
      <c r="EA440" s="155"/>
      <c r="EB440" s="173"/>
      <c r="EC440" s="155"/>
      <c r="ED440" s="155"/>
      <c r="EE440" s="155"/>
      <c r="EF440" s="423"/>
      <c r="EG440" s="155"/>
      <c r="EH440" s="155"/>
      <c r="EI440" s="155"/>
      <c r="EJ440" s="267"/>
      <c r="EK440" s="155"/>
      <c r="EL440" s="155"/>
      <c r="EM440" s="155"/>
      <c r="EN440" s="428"/>
    </row>
    <row r="441" spans="1:144">
      <c r="A441" s="360"/>
      <c r="B441" s="172"/>
      <c r="C441" s="360"/>
      <c r="D441" s="172"/>
      <c r="E441" s="408"/>
      <c r="F441" s="408"/>
      <c r="G441" s="509"/>
      <c r="H441" s="546"/>
      <c r="I441" s="546"/>
      <c r="J441" s="251"/>
      <c r="K441" s="251"/>
      <c r="L441" s="509"/>
      <c r="M441" s="509"/>
      <c r="N441" s="509"/>
      <c r="O441" s="547"/>
      <c r="P441" s="200"/>
      <c r="Q441" s="174"/>
      <c r="R441" s="390"/>
      <c r="S441" s="510"/>
      <c r="T441" s="200"/>
      <c r="U441" s="174"/>
      <c r="V441" s="174"/>
      <c r="W441" s="510"/>
      <c r="X441" s="174"/>
      <c r="Y441" s="174"/>
      <c r="Z441" s="174"/>
      <c r="AA441" s="510"/>
      <c r="AB441" s="200"/>
      <c r="AC441" s="174"/>
      <c r="AD441" s="390"/>
      <c r="AE441" s="510"/>
      <c r="AF441" s="200"/>
      <c r="AG441" s="174"/>
      <c r="AH441" s="174"/>
      <c r="AI441" s="200"/>
      <c r="AJ441" s="548"/>
      <c r="AK441" s="200"/>
      <c r="AL441" s="174"/>
      <c r="AM441" s="390"/>
      <c r="AN441" s="510"/>
      <c r="AO441" s="200"/>
      <c r="AP441" s="174"/>
      <c r="AQ441" s="510"/>
      <c r="AR441" s="200"/>
      <c r="AS441" s="174"/>
      <c r="AT441" s="510"/>
      <c r="AU441" s="200"/>
      <c r="AV441" s="174"/>
      <c r="AW441" s="510"/>
      <c r="AX441" s="200"/>
      <c r="AY441" s="174"/>
      <c r="AZ441" s="510"/>
      <c r="BA441" s="174"/>
      <c r="BB441" s="174"/>
      <c r="BC441" s="174"/>
      <c r="BD441" s="174"/>
      <c r="BE441" s="174"/>
      <c r="BF441" s="510"/>
      <c r="BG441" s="174"/>
      <c r="BH441" s="174"/>
      <c r="BI441" s="174"/>
      <c r="BJ441" s="200"/>
      <c r="BK441" s="174"/>
      <c r="BL441" s="510"/>
      <c r="BM441" s="174"/>
      <c r="BN441" s="174"/>
      <c r="BO441" s="510"/>
      <c r="BP441" s="200"/>
      <c r="BQ441" s="447"/>
      <c r="BR441" s="510"/>
      <c r="BS441" s="174"/>
      <c r="BT441" s="174"/>
      <c r="BU441" s="510"/>
      <c r="BV441" s="200"/>
      <c r="BW441" s="174"/>
      <c r="BX441" s="510"/>
      <c r="BY441" s="174"/>
      <c r="BZ441" s="174"/>
      <c r="CA441" s="510"/>
      <c r="CB441" s="200"/>
      <c r="CC441" s="174"/>
      <c r="CD441" s="510"/>
      <c r="CE441" s="174"/>
      <c r="CF441" s="174"/>
      <c r="CG441" s="510"/>
      <c r="CH441" s="174"/>
      <c r="CI441" s="174"/>
      <c r="CJ441" s="174"/>
      <c r="CK441" s="174"/>
      <c r="CL441" s="174"/>
      <c r="CM441" s="510"/>
      <c r="CN441" s="174"/>
      <c r="CO441" s="549"/>
      <c r="CP441" s="510"/>
      <c r="CQ441" s="200"/>
      <c r="CR441" s="550"/>
      <c r="CS441" s="510"/>
      <c r="CT441" s="390"/>
      <c r="CU441" s="331"/>
      <c r="CV441" s="428"/>
      <c r="CW441" s="155"/>
      <c r="CX441" s="155"/>
      <c r="CY441" s="267"/>
      <c r="CZ441" s="323"/>
      <c r="DA441" s="323"/>
      <c r="DB441" s="423"/>
      <c r="DC441" s="155"/>
      <c r="DD441" s="155"/>
      <c r="DE441" s="267"/>
      <c r="DF441" s="323"/>
      <c r="DG441" s="323"/>
      <c r="DH441" s="428"/>
      <c r="DI441" s="155"/>
      <c r="DJ441" s="155"/>
      <c r="DK441" s="222"/>
      <c r="DL441" s="267"/>
      <c r="DM441" s="155"/>
      <c r="DN441" s="155"/>
      <c r="DO441" s="155"/>
      <c r="DP441" s="423"/>
      <c r="DQ441" s="155"/>
      <c r="DR441" s="155"/>
      <c r="DS441" s="222"/>
      <c r="DT441" s="267"/>
      <c r="DU441" s="174"/>
      <c r="DV441" s="174"/>
      <c r="DW441" s="200"/>
      <c r="DX441" s="428"/>
      <c r="DY441" s="155"/>
      <c r="DZ441" s="155"/>
      <c r="EA441" s="155"/>
      <c r="EB441" s="173"/>
      <c r="EC441" s="155"/>
      <c r="ED441" s="155"/>
      <c r="EE441" s="155"/>
      <c r="EF441" s="423"/>
      <c r="EG441" s="155"/>
      <c r="EH441" s="155"/>
      <c r="EI441" s="155"/>
      <c r="EJ441" s="267"/>
      <c r="EK441" s="155"/>
      <c r="EL441" s="155"/>
      <c r="EM441" s="155"/>
      <c r="EN441" s="428"/>
    </row>
    <row r="442" spans="1:144">
      <c r="A442" s="360"/>
      <c r="B442" s="172"/>
      <c r="C442" s="360"/>
      <c r="D442" s="172"/>
      <c r="E442" s="408"/>
      <c r="F442" s="408"/>
      <c r="G442" s="509"/>
      <c r="H442" s="546"/>
      <c r="I442" s="546"/>
      <c r="J442" s="251"/>
      <c r="K442" s="251"/>
      <c r="L442" s="509"/>
      <c r="M442" s="509"/>
      <c r="N442" s="509"/>
      <c r="O442" s="547"/>
      <c r="P442" s="200"/>
      <c r="Q442" s="174"/>
      <c r="R442" s="390"/>
      <c r="S442" s="510"/>
      <c r="T442" s="200"/>
      <c r="U442" s="174"/>
      <c r="V442" s="174"/>
      <c r="W442" s="510"/>
      <c r="X442" s="174"/>
      <c r="Y442" s="174"/>
      <c r="Z442" s="174"/>
      <c r="AA442" s="510"/>
      <c r="AB442" s="200"/>
      <c r="AC442" s="174"/>
      <c r="AD442" s="390"/>
      <c r="AE442" s="510"/>
      <c r="AF442" s="200"/>
      <c r="AG442" s="174"/>
      <c r="AH442" s="174"/>
      <c r="AI442" s="200"/>
      <c r="AJ442" s="548"/>
      <c r="AK442" s="200"/>
      <c r="AL442" s="174"/>
      <c r="AM442" s="390"/>
      <c r="AN442" s="510"/>
      <c r="AO442" s="200"/>
      <c r="AP442" s="174"/>
      <c r="AQ442" s="510"/>
      <c r="AR442" s="200"/>
      <c r="AS442" s="174"/>
      <c r="AT442" s="510"/>
      <c r="AU442" s="200"/>
      <c r="AV442" s="174"/>
      <c r="AW442" s="510"/>
      <c r="AX442" s="200"/>
      <c r="AY442" s="174"/>
      <c r="AZ442" s="510"/>
      <c r="BA442" s="174"/>
      <c r="BB442" s="174"/>
      <c r="BC442" s="174"/>
      <c r="BD442" s="174"/>
      <c r="BE442" s="174"/>
      <c r="BF442" s="510"/>
      <c r="BG442" s="174"/>
      <c r="BH442" s="174"/>
      <c r="BI442" s="174"/>
      <c r="BJ442" s="200"/>
      <c r="BK442" s="174"/>
      <c r="BL442" s="510"/>
      <c r="BM442" s="174"/>
      <c r="BN442" s="174"/>
      <c r="BO442" s="510"/>
      <c r="BP442" s="200"/>
      <c r="BQ442" s="447"/>
      <c r="BR442" s="510"/>
      <c r="BS442" s="174"/>
      <c r="BT442" s="174"/>
      <c r="BU442" s="510"/>
      <c r="BV442" s="200"/>
      <c r="BW442" s="174"/>
      <c r="BX442" s="510"/>
      <c r="BY442" s="174"/>
      <c r="BZ442" s="174"/>
      <c r="CA442" s="510"/>
      <c r="CB442" s="200"/>
      <c r="CC442" s="174"/>
      <c r="CD442" s="510"/>
      <c r="CE442" s="174"/>
      <c r="CF442" s="174"/>
      <c r="CG442" s="510"/>
      <c r="CH442" s="174"/>
      <c r="CI442" s="174"/>
      <c r="CJ442" s="174"/>
      <c r="CK442" s="174"/>
      <c r="CL442" s="174"/>
      <c r="CM442" s="510"/>
      <c r="CN442" s="174"/>
      <c r="CO442" s="549"/>
      <c r="CP442" s="510"/>
      <c r="CQ442" s="200"/>
      <c r="CR442" s="550"/>
      <c r="CS442" s="510"/>
      <c r="CT442" s="390"/>
      <c r="CU442" s="331"/>
      <c r="CV442" s="428"/>
      <c r="CW442" s="155"/>
      <c r="CX442" s="155"/>
      <c r="CY442" s="267"/>
      <c r="CZ442" s="323"/>
      <c r="DA442" s="323"/>
      <c r="DB442" s="423"/>
      <c r="DC442" s="155"/>
      <c r="DD442" s="155"/>
      <c r="DE442" s="267"/>
      <c r="DF442" s="323"/>
      <c r="DG442" s="323"/>
      <c r="DH442" s="428"/>
      <c r="DI442" s="155"/>
      <c r="DJ442" s="155"/>
      <c r="DK442" s="222"/>
      <c r="DL442" s="267"/>
      <c r="DM442" s="155"/>
      <c r="DN442" s="155"/>
      <c r="DO442" s="155"/>
      <c r="DP442" s="423"/>
      <c r="DQ442" s="155"/>
      <c r="DR442" s="155"/>
      <c r="DS442" s="222"/>
      <c r="DT442" s="267"/>
      <c r="DU442" s="174"/>
      <c r="DV442" s="174"/>
      <c r="DW442" s="200"/>
      <c r="DX442" s="428"/>
      <c r="DY442" s="155"/>
      <c r="DZ442" s="155"/>
      <c r="EA442" s="155"/>
      <c r="EB442" s="173"/>
      <c r="EC442" s="155"/>
      <c r="ED442" s="155"/>
      <c r="EE442" s="155"/>
      <c r="EF442" s="423"/>
      <c r="EG442" s="155"/>
      <c r="EH442" s="155"/>
      <c r="EI442" s="155"/>
      <c r="EJ442" s="267"/>
      <c r="EK442" s="155"/>
      <c r="EL442" s="155"/>
      <c r="EM442" s="155"/>
      <c r="EN442" s="428"/>
    </row>
    <row r="443" spans="1:144">
      <c r="A443" s="360"/>
      <c r="B443" s="172"/>
      <c r="C443" s="360"/>
      <c r="D443" s="172"/>
      <c r="E443" s="408"/>
      <c r="F443" s="408"/>
      <c r="G443" s="509"/>
      <c r="H443" s="546"/>
      <c r="I443" s="546"/>
      <c r="J443" s="251"/>
      <c r="K443" s="251"/>
      <c r="L443" s="509"/>
      <c r="M443" s="509"/>
      <c r="N443" s="509"/>
      <c r="O443" s="547"/>
      <c r="P443" s="200"/>
      <c r="Q443" s="174"/>
      <c r="R443" s="390"/>
      <c r="S443" s="510"/>
      <c r="T443" s="200"/>
      <c r="U443" s="174"/>
      <c r="V443" s="174"/>
      <c r="W443" s="510"/>
      <c r="X443" s="174"/>
      <c r="Y443" s="174"/>
      <c r="Z443" s="174"/>
      <c r="AA443" s="510"/>
      <c r="AB443" s="200"/>
      <c r="AC443" s="174"/>
      <c r="AD443" s="390"/>
      <c r="AE443" s="510"/>
      <c r="AF443" s="200"/>
      <c r="AG443" s="174"/>
      <c r="AH443" s="174"/>
      <c r="AI443" s="200"/>
      <c r="AJ443" s="548"/>
      <c r="AK443" s="200"/>
      <c r="AL443" s="174"/>
      <c r="AM443" s="390"/>
      <c r="AN443" s="510"/>
      <c r="AO443" s="200"/>
      <c r="AP443" s="174"/>
      <c r="AQ443" s="510"/>
      <c r="AR443" s="200"/>
      <c r="AS443" s="174"/>
      <c r="AT443" s="510"/>
      <c r="AU443" s="200"/>
      <c r="AV443" s="174"/>
      <c r="AW443" s="510"/>
      <c r="AX443" s="200"/>
      <c r="AY443" s="174"/>
      <c r="AZ443" s="510"/>
      <c r="BA443" s="174"/>
      <c r="BB443" s="174"/>
      <c r="BC443" s="174"/>
      <c r="BD443" s="174"/>
      <c r="BE443" s="174"/>
      <c r="BF443" s="510"/>
      <c r="BG443" s="174"/>
      <c r="BH443" s="174"/>
      <c r="BI443" s="174"/>
      <c r="BJ443" s="200"/>
      <c r="BK443" s="174"/>
      <c r="BL443" s="510"/>
      <c r="BM443" s="174"/>
      <c r="BN443" s="174"/>
      <c r="BO443" s="510"/>
      <c r="BP443" s="200"/>
      <c r="BQ443" s="447"/>
      <c r="BR443" s="510"/>
      <c r="BS443" s="174"/>
      <c r="BT443" s="174"/>
      <c r="BU443" s="510"/>
      <c r="BV443" s="200"/>
      <c r="BW443" s="174"/>
      <c r="BX443" s="510"/>
      <c r="BY443" s="174"/>
      <c r="BZ443" s="174"/>
      <c r="CA443" s="510"/>
      <c r="CB443" s="200"/>
      <c r="CC443" s="174"/>
      <c r="CD443" s="510"/>
      <c r="CE443" s="174"/>
      <c r="CF443" s="174"/>
      <c r="CG443" s="510"/>
      <c r="CH443" s="174"/>
      <c r="CI443" s="174"/>
      <c r="CJ443" s="174"/>
      <c r="CK443" s="174"/>
      <c r="CL443" s="174"/>
      <c r="CM443" s="510"/>
      <c r="CN443" s="174"/>
      <c r="CO443" s="549"/>
      <c r="CP443" s="510"/>
      <c r="CQ443" s="200"/>
      <c r="CR443" s="550"/>
      <c r="CS443" s="510"/>
      <c r="CT443" s="390"/>
      <c r="CU443" s="331"/>
      <c r="CV443" s="428"/>
      <c r="CW443" s="155"/>
      <c r="CX443" s="155"/>
      <c r="CY443" s="267"/>
      <c r="CZ443" s="323"/>
      <c r="DA443" s="323"/>
      <c r="DB443" s="423"/>
      <c r="DC443" s="155"/>
      <c r="DD443" s="155"/>
      <c r="DE443" s="267"/>
      <c r="DF443" s="323"/>
      <c r="DG443" s="323"/>
      <c r="DH443" s="428"/>
      <c r="DI443" s="155"/>
      <c r="DJ443" s="155"/>
      <c r="DK443" s="222"/>
      <c r="DL443" s="267"/>
      <c r="DM443" s="155"/>
      <c r="DN443" s="155"/>
      <c r="DO443" s="155"/>
      <c r="DP443" s="423"/>
      <c r="DQ443" s="155"/>
      <c r="DR443" s="155"/>
      <c r="DS443" s="222"/>
      <c r="DT443" s="267"/>
      <c r="DU443" s="174"/>
      <c r="DV443" s="174"/>
      <c r="DW443" s="200"/>
      <c r="DX443" s="428"/>
      <c r="DY443" s="155"/>
      <c r="DZ443" s="155"/>
      <c r="EA443" s="155"/>
      <c r="EB443" s="173"/>
      <c r="EC443" s="155"/>
      <c r="ED443" s="155"/>
      <c r="EE443" s="155"/>
      <c r="EF443" s="423"/>
      <c r="EG443" s="155"/>
      <c r="EH443" s="155"/>
      <c r="EI443" s="155"/>
      <c r="EJ443" s="267"/>
      <c r="EK443" s="155"/>
      <c r="EL443" s="155"/>
      <c r="EM443" s="155"/>
      <c r="EN443" s="428"/>
    </row>
    <row r="444" spans="1:144">
      <c r="A444" s="360"/>
      <c r="B444" s="172"/>
      <c r="C444" s="360"/>
      <c r="D444" s="172"/>
      <c r="E444" s="408"/>
      <c r="F444" s="408"/>
      <c r="G444" s="509"/>
      <c r="H444" s="546"/>
      <c r="I444" s="546"/>
      <c r="J444" s="251"/>
      <c r="K444" s="251"/>
      <c r="L444" s="509"/>
      <c r="M444" s="509"/>
      <c r="N444" s="509"/>
      <c r="O444" s="547"/>
      <c r="P444" s="200"/>
      <c r="Q444" s="174"/>
      <c r="R444" s="390"/>
      <c r="S444" s="510"/>
      <c r="T444" s="200"/>
      <c r="U444" s="174"/>
      <c r="V444" s="174"/>
      <c r="W444" s="510"/>
      <c r="X444" s="174"/>
      <c r="Y444" s="174"/>
      <c r="Z444" s="174"/>
      <c r="AA444" s="510"/>
      <c r="AB444" s="200"/>
      <c r="AC444" s="174"/>
      <c r="AD444" s="390"/>
      <c r="AE444" s="510"/>
      <c r="AF444" s="200"/>
      <c r="AG444" s="174"/>
      <c r="AH444" s="174"/>
      <c r="AI444" s="200"/>
      <c r="AJ444" s="548"/>
      <c r="AK444" s="200"/>
      <c r="AL444" s="174"/>
      <c r="AM444" s="390"/>
      <c r="AN444" s="510"/>
      <c r="AO444" s="200"/>
      <c r="AP444" s="174"/>
      <c r="AQ444" s="510"/>
      <c r="AR444" s="200"/>
      <c r="AS444" s="174"/>
      <c r="AT444" s="510"/>
      <c r="AU444" s="200"/>
      <c r="AV444" s="174"/>
      <c r="AW444" s="510"/>
      <c r="AX444" s="200"/>
      <c r="AY444" s="174"/>
      <c r="AZ444" s="510"/>
      <c r="BA444" s="174"/>
      <c r="BB444" s="174"/>
      <c r="BC444" s="174"/>
      <c r="BD444" s="174"/>
      <c r="BE444" s="174"/>
      <c r="BF444" s="510"/>
      <c r="BG444" s="174"/>
      <c r="BH444" s="174"/>
      <c r="BI444" s="174"/>
      <c r="BJ444" s="200"/>
      <c r="BK444" s="174"/>
      <c r="BL444" s="510"/>
      <c r="BM444" s="174"/>
      <c r="BN444" s="174"/>
      <c r="BO444" s="510"/>
      <c r="BP444" s="200"/>
      <c r="BQ444" s="447"/>
      <c r="BR444" s="510"/>
      <c r="BS444" s="174"/>
      <c r="BT444" s="174"/>
      <c r="BU444" s="510"/>
      <c r="BV444" s="200"/>
      <c r="BW444" s="174"/>
      <c r="BX444" s="510"/>
      <c r="BY444" s="174"/>
      <c r="BZ444" s="174"/>
      <c r="CA444" s="510"/>
      <c r="CB444" s="200"/>
      <c r="CC444" s="174"/>
      <c r="CD444" s="510"/>
      <c r="CE444" s="174"/>
      <c r="CF444" s="174"/>
      <c r="CG444" s="510"/>
      <c r="CH444" s="174"/>
      <c r="CI444" s="174"/>
      <c r="CJ444" s="174"/>
      <c r="CK444" s="174"/>
      <c r="CL444" s="174"/>
      <c r="CM444" s="510"/>
      <c r="CN444" s="174"/>
      <c r="CO444" s="549"/>
      <c r="CP444" s="510"/>
      <c r="CQ444" s="200"/>
      <c r="CR444" s="550"/>
      <c r="CS444" s="510"/>
      <c r="CT444" s="390"/>
      <c r="CU444" s="331"/>
      <c r="CV444" s="428"/>
      <c r="CW444" s="155"/>
      <c r="CX444" s="155"/>
      <c r="CY444" s="267"/>
      <c r="CZ444" s="323"/>
      <c r="DA444" s="323"/>
      <c r="DB444" s="423"/>
      <c r="DC444" s="155"/>
      <c r="DD444" s="155"/>
      <c r="DE444" s="267"/>
      <c r="DF444" s="323"/>
      <c r="DG444" s="323"/>
      <c r="DH444" s="428"/>
      <c r="DI444" s="155"/>
      <c r="DJ444" s="155"/>
      <c r="DK444" s="222"/>
      <c r="DL444" s="267"/>
      <c r="DM444" s="155"/>
      <c r="DN444" s="155"/>
      <c r="DO444" s="155"/>
      <c r="DP444" s="423"/>
      <c r="DQ444" s="155"/>
      <c r="DR444" s="155"/>
      <c r="DS444" s="222"/>
      <c r="DT444" s="267"/>
      <c r="DU444" s="174"/>
      <c r="DV444" s="174"/>
      <c r="DW444" s="200"/>
      <c r="DX444" s="428"/>
      <c r="DY444" s="155"/>
      <c r="DZ444" s="155"/>
      <c r="EA444" s="155"/>
      <c r="EB444" s="173"/>
      <c r="EC444" s="155"/>
      <c r="ED444" s="155"/>
      <c r="EE444" s="155"/>
      <c r="EF444" s="423"/>
      <c r="EG444" s="155"/>
      <c r="EH444" s="155"/>
      <c r="EI444" s="155"/>
      <c r="EJ444" s="267"/>
      <c r="EK444" s="155"/>
      <c r="EL444" s="155"/>
      <c r="EM444" s="155"/>
      <c r="EN444" s="428"/>
    </row>
    <row r="445" spans="1:144">
      <c r="A445" s="360"/>
      <c r="B445" s="172"/>
      <c r="C445" s="360"/>
      <c r="D445" s="172"/>
      <c r="E445" s="408"/>
      <c r="F445" s="408"/>
      <c r="G445" s="509"/>
      <c r="H445" s="546"/>
      <c r="I445" s="546"/>
      <c r="J445" s="251"/>
      <c r="K445" s="251"/>
      <c r="L445" s="509"/>
      <c r="M445" s="509"/>
      <c r="N445" s="509"/>
      <c r="O445" s="547"/>
      <c r="P445" s="200"/>
      <c r="Q445" s="174"/>
      <c r="R445" s="390"/>
      <c r="S445" s="510"/>
      <c r="T445" s="200"/>
      <c r="U445" s="174"/>
      <c r="V445" s="174"/>
      <c r="W445" s="510"/>
      <c r="X445" s="174"/>
      <c r="Y445" s="174"/>
      <c r="Z445" s="174"/>
      <c r="AA445" s="510"/>
      <c r="AB445" s="200"/>
      <c r="AC445" s="174"/>
      <c r="AD445" s="390"/>
      <c r="AE445" s="510"/>
      <c r="AF445" s="200"/>
      <c r="AG445" s="174"/>
      <c r="AH445" s="174"/>
      <c r="AI445" s="200"/>
      <c r="AJ445" s="548"/>
      <c r="AK445" s="200"/>
      <c r="AL445" s="174"/>
      <c r="AM445" s="390"/>
      <c r="AN445" s="510"/>
      <c r="AO445" s="200"/>
      <c r="AP445" s="174"/>
      <c r="AQ445" s="510"/>
      <c r="AR445" s="200"/>
      <c r="AS445" s="174"/>
      <c r="AT445" s="510"/>
      <c r="AU445" s="200"/>
      <c r="AV445" s="174"/>
      <c r="AW445" s="510"/>
      <c r="AX445" s="200"/>
      <c r="AY445" s="174"/>
      <c r="AZ445" s="510"/>
      <c r="BA445" s="174"/>
      <c r="BB445" s="174"/>
      <c r="BC445" s="174"/>
      <c r="BD445" s="174"/>
      <c r="BE445" s="174"/>
      <c r="BF445" s="510"/>
      <c r="BG445" s="174"/>
      <c r="BH445" s="174"/>
      <c r="BI445" s="174"/>
      <c r="BJ445" s="200"/>
      <c r="BK445" s="174"/>
      <c r="BL445" s="510"/>
      <c r="BM445" s="174"/>
      <c r="BN445" s="174"/>
      <c r="BO445" s="510"/>
      <c r="BP445" s="200"/>
      <c r="BQ445" s="447"/>
      <c r="BR445" s="510"/>
      <c r="BS445" s="174"/>
      <c r="BT445" s="174"/>
      <c r="BU445" s="510"/>
      <c r="BV445" s="200"/>
      <c r="BW445" s="174"/>
      <c r="BX445" s="510"/>
      <c r="BY445" s="174"/>
      <c r="BZ445" s="174"/>
      <c r="CA445" s="510"/>
      <c r="CB445" s="200"/>
      <c r="CC445" s="174"/>
      <c r="CD445" s="510"/>
      <c r="CE445" s="174"/>
      <c r="CF445" s="174"/>
      <c r="CG445" s="510"/>
      <c r="CH445" s="174"/>
      <c r="CI445" s="174"/>
      <c r="CJ445" s="174"/>
      <c r="CK445" s="174"/>
      <c r="CL445" s="174"/>
      <c r="CM445" s="510"/>
      <c r="CN445" s="174"/>
      <c r="CO445" s="549"/>
      <c r="CP445" s="510"/>
      <c r="CQ445" s="200"/>
      <c r="CR445" s="550"/>
      <c r="CS445" s="510"/>
      <c r="CT445" s="390"/>
      <c r="CU445" s="331"/>
      <c r="CV445" s="428"/>
      <c r="CW445" s="155"/>
      <c r="CX445" s="155"/>
      <c r="CY445" s="267"/>
      <c r="CZ445" s="323"/>
      <c r="DA445" s="323"/>
      <c r="DB445" s="423"/>
      <c r="DC445" s="155"/>
      <c r="DD445" s="155"/>
      <c r="DE445" s="267"/>
      <c r="DF445" s="323"/>
      <c r="DG445" s="323"/>
      <c r="DH445" s="428"/>
      <c r="DI445" s="155"/>
      <c r="DJ445" s="155"/>
      <c r="DK445" s="222"/>
      <c r="DL445" s="267"/>
      <c r="DM445" s="155"/>
      <c r="DN445" s="155"/>
      <c r="DO445" s="155"/>
      <c r="DP445" s="423"/>
      <c r="DQ445" s="155"/>
      <c r="DR445" s="155"/>
      <c r="DS445" s="222"/>
      <c r="DT445" s="267"/>
      <c r="DU445" s="174"/>
      <c r="DV445" s="174"/>
      <c r="DW445" s="200"/>
      <c r="DX445" s="428"/>
      <c r="DY445" s="155"/>
      <c r="DZ445" s="155"/>
      <c r="EA445" s="155"/>
      <c r="EB445" s="173"/>
      <c r="EC445" s="155"/>
      <c r="ED445" s="155"/>
      <c r="EE445" s="155"/>
      <c r="EF445" s="423"/>
      <c r="EG445" s="155"/>
      <c r="EH445" s="155"/>
      <c r="EI445" s="155"/>
      <c r="EJ445" s="267"/>
      <c r="EK445" s="155"/>
      <c r="EL445" s="155"/>
      <c r="EM445" s="155"/>
      <c r="EN445" s="428"/>
    </row>
    <row r="446" spans="1:144">
      <c r="A446" s="360"/>
      <c r="B446" s="172"/>
      <c r="C446" s="360"/>
      <c r="D446" s="172"/>
      <c r="E446" s="408"/>
      <c r="F446" s="408"/>
      <c r="G446" s="509"/>
      <c r="H446" s="546"/>
      <c r="I446" s="546"/>
      <c r="J446" s="251"/>
      <c r="K446" s="251"/>
      <c r="L446" s="509"/>
      <c r="M446" s="509"/>
      <c r="N446" s="509"/>
      <c r="O446" s="547"/>
      <c r="P446" s="200"/>
      <c r="Q446" s="174"/>
      <c r="R446" s="390"/>
      <c r="S446" s="510"/>
      <c r="T446" s="200"/>
      <c r="U446" s="174"/>
      <c r="V446" s="174"/>
      <c r="W446" s="510"/>
      <c r="X446" s="174"/>
      <c r="Y446" s="174"/>
      <c r="Z446" s="174"/>
      <c r="AA446" s="510"/>
      <c r="AB446" s="200"/>
      <c r="AC446" s="174"/>
      <c r="AD446" s="390"/>
      <c r="AE446" s="510"/>
      <c r="AF446" s="200"/>
      <c r="AG446" s="174"/>
      <c r="AH446" s="174"/>
      <c r="AI446" s="200"/>
      <c r="AJ446" s="548"/>
      <c r="AK446" s="200"/>
      <c r="AL446" s="174"/>
      <c r="AM446" s="390"/>
      <c r="AN446" s="510"/>
      <c r="AO446" s="200"/>
      <c r="AP446" s="174"/>
      <c r="AQ446" s="510"/>
      <c r="AR446" s="200"/>
      <c r="AS446" s="174"/>
      <c r="AT446" s="510"/>
      <c r="AU446" s="200"/>
      <c r="AV446" s="174"/>
      <c r="AW446" s="510"/>
      <c r="AX446" s="200"/>
      <c r="AY446" s="174"/>
      <c r="AZ446" s="510"/>
      <c r="BA446" s="174"/>
      <c r="BB446" s="174"/>
      <c r="BC446" s="174"/>
      <c r="BD446" s="174"/>
      <c r="BE446" s="174"/>
      <c r="BF446" s="510"/>
      <c r="BG446" s="174"/>
      <c r="BH446" s="174"/>
      <c r="BI446" s="174"/>
      <c r="BJ446" s="200"/>
      <c r="BK446" s="174"/>
      <c r="BL446" s="510"/>
      <c r="BM446" s="174"/>
      <c r="BN446" s="174"/>
      <c r="BO446" s="510"/>
      <c r="BP446" s="200"/>
      <c r="BQ446" s="447"/>
      <c r="BR446" s="510"/>
      <c r="BS446" s="174"/>
      <c r="BT446" s="174"/>
      <c r="BU446" s="510"/>
      <c r="BV446" s="200"/>
      <c r="BW446" s="174"/>
      <c r="BX446" s="510"/>
      <c r="BY446" s="174"/>
      <c r="BZ446" s="174"/>
      <c r="CA446" s="510"/>
      <c r="CB446" s="200"/>
      <c r="CC446" s="174"/>
      <c r="CD446" s="510"/>
      <c r="CE446" s="174"/>
      <c r="CF446" s="174"/>
      <c r="CG446" s="510"/>
      <c r="CH446" s="174"/>
      <c r="CI446" s="174"/>
      <c r="CJ446" s="174"/>
      <c r="CK446" s="174"/>
      <c r="CL446" s="174"/>
      <c r="CM446" s="510"/>
      <c r="CN446" s="174"/>
      <c r="CO446" s="549"/>
      <c r="CP446" s="510"/>
      <c r="CQ446" s="200"/>
      <c r="CR446" s="550"/>
      <c r="CS446" s="510"/>
      <c r="CT446" s="390"/>
      <c r="CU446" s="331"/>
      <c r="CV446" s="428"/>
      <c r="CW446" s="155"/>
      <c r="CX446" s="155"/>
      <c r="CY446" s="267"/>
      <c r="CZ446" s="323"/>
      <c r="DA446" s="323"/>
      <c r="DB446" s="423"/>
      <c r="DC446" s="155"/>
      <c r="DD446" s="155"/>
      <c r="DE446" s="267"/>
      <c r="DF446" s="323"/>
      <c r="DG446" s="323"/>
      <c r="DH446" s="428"/>
      <c r="DI446" s="155"/>
      <c r="DJ446" s="155"/>
      <c r="DK446" s="222"/>
      <c r="DL446" s="267"/>
      <c r="DM446" s="155"/>
      <c r="DN446" s="155"/>
      <c r="DO446" s="155"/>
      <c r="DP446" s="423"/>
      <c r="DQ446" s="155"/>
      <c r="DR446" s="155"/>
      <c r="DS446" s="222"/>
      <c r="DT446" s="267"/>
      <c r="DU446" s="174"/>
      <c r="DV446" s="174"/>
      <c r="DW446" s="200"/>
      <c r="DX446" s="428"/>
      <c r="DY446" s="155"/>
      <c r="DZ446" s="155"/>
      <c r="EA446" s="155"/>
      <c r="EB446" s="173"/>
      <c r="EC446" s="155"/>
      <c r="ED446" s="155"/>
      <c r="EE446" s="155"/>
      <c r="EF446" s="423"/>
      <c r="EG446" s="155"/>
      <c r="EH446" s="155"/>
      <c r="EI446" s="155"/>
      <c r="EJ446" s="267"/>
      <c r="EK446" s="155"/>
      <c r="EL446" s="155"/>
      <c r="EM446" s="155"/>
      <c r="EN446" s="428"/>
    </row>
    <row r="447" spans="1:144">
      <c r="A447" s="360"/>
      <c r="B447" s="172"/>
      <c r="C447" s="360"/>
      <c r="D447" s="172"/>
      <c r="E447" s="408"/>
      <c r="F447" s="408"/>
      <c r="G447" s="509"/>
      <c r="H447" s="546"/>
      <c r="I447" s="546"/>
      <c r="J447" s="251"/>
      <c r="K447" s="251"/>
      <c r="L447" s="509"/>
      <c r="M447" s="509"/>
      <c r="N447" s="509"/>
      <c r="O447" s="547"/>
      <c r="P447" s="200"/>
      <c r="Q447" s="174"/>
      <c r="R447" s="390"/>
      <c r="S447" s="510"/>
      <c r="T447" s="200"/>
      <c r="U447" s="174"/>
      <c r="V447" s="174"/>
      <c r="W447" s="510"/>
      <c r="X447" s="174"/>
      <c r="Y447" s="174"/>
      <c r="Z447" s="174"/>
      <c r="AA447" s="510"/>
      <c r="AB447" s="200"/>
      <c r="AC447" s="174"/>
      <c r="AD447" s="390"/>
      <c r="AE447" s="510"/>
      <c r="AF447" s="200"/>
      <c r="AG447" s="174"/>
      <c r="AH447" s="174"/>
      <c r="AI447" s="200"/>
      <c r="AJ447" s="548"/>
      <c r="AK447" s="200"/>
      <c r="AL447" s="174"/>
      <c r="AM447" s="390"/>
      <c r="AN447" s="510"/>
      <c r="AO447" s="200"/>
      <c r="AP447" s="174"/>
      <c r="AQ447" s="510"/>
      <c r="AR447" s="200"/>
      <c r="AS447" s="174"/>
      <c r="AT447" s="510"/>
      <c r="AU447" s="200"/>
      <c r="AV447" s="174"/>
      <c r="AW447" s="510"/>
      <c r="AX447" s="200"/>
      <c r="AY447" s="174"/>
      <c r="AZ447" s="510"/>
      <c r="BA447" s="174"/>
      <c r="BB447" s="174"/>
      <c r="BC447" s="174"/>
      <c r="BD447" s="174"/>
      <c r="BE447" s="174"/>
      <c r="BF447" s="510"/>
      <c r="BG447" s="174"/>
      <c r="BH447" s="174"/>
      <c r="BI447" s="174"/>
      <c r="BJ447" s="200"/>
      <c r="BK447" s="174"/>
      <c r="BL447" s="510"/>
      <c r="BM447" s="174"/>
      <c r="BN447" s="174"/>
      <c r="BO447" s="510"/>
      <c r="BP447" s="200"/>
      <c r="BQ447" s="447"/>
      <c r="BR447" s="510"/>
      <c r="BS447" s="174"/>
      <c r="BT447" s="174"/>
      <c r="BU447" s="510"/>
      <c r="BV447" s="200"/>
      <c r="BW447" s="174"/>
      <c r="BX447" s="510"/>
      <c r="BY447" s="174"/>
      <c r="BZ447" s="174"/>
      <c r="CA447" s="510"/>
      <c r="CB447" s="200"/>
      <c r="CC447" s="174"/>
      <c r="CD447" s="510"/>
      <c r="CE447" s="174"/>
      <c r="CF447" s="174"/>
      <c r="CG447" s="510"/>
      <c r="CH447" s="174"/>
      <c r="CI447" s="174"/>
      <c r="CJ447" s="174"/>
      <c r="CK447" s="174"/>
      <c r="CL447" s="174"/>
      <c r="CM447" s="510"/>
      <c r="CN447" s="174"/>
      <c r="CO447" s="549"/>
      <c r="CP447" s="510"/>
      <c r="CQ447" s="200"/>
      <c r="CR447" s="550"/>
      <c r="CS447" s="510"/>
      <c r="CT447" s="390"/>
      <c r="CU447" s="331"/>
      <c r="CV447" s="428"/>
      <c r="CW447" s="155"/>
      <c r="CX447" s="155"/>
      <c r="CY447" s="267"/>
      <c r="CZ447" s="323"/>
      <c r="DA447" s="323"/>
      <c r="DB447" s="423"/>
      <c r="DC447" s="155"/>
      <c r="DD447" s="155"/>
      <c r="DE447" s="267"/>
      <c r="DF447" s="323"/>
      <c r="DG447" s="323"/>
      <c r="DH447" s="428"/>
      <c r="DI447" s="155"/>
      <c r="DJ447" s="155"/>
      <c r="DK447" s="222"/>
      <c r="DL447" s="267"/>
      <c r="DM447" s="155"/>
      <c r="DN447" s="155"/>
      <c r="DO447" s="155"/>
      <c r="DP447" s="423"/>
      <c r="DQ447" s="155"/>
      <c r="DR447" s="155"/>
      <c r="DS447" s="222"/>
      <c r="DT447" s="267"/>
      <c r="DU447" s="174"/>
      <c r="DV447" s="174"/>
      <c r="DW447" s="200"/>
      <c r="DX447" s="428"/>
      <c r="DY447" s="155"/>
      <c r="DZ447" s="155"/>
      <c r="EA447" s="155"/>
      <c r="EB447" s="173"/>
      <c r="EC447" s="155"/>
      <c r="ED447" s="155"/>
      <c r="EE447" s="155"/>
      <c r="EF447" s="423"/>
      <c r="EG447" s="155"/>
      <c r="EH447" s="155"/>
      <c r="EI447" s="155"/>
      <c r="EJ447" s="267"/>
      <c r="EK447" s="155"/>
      <c r="EL447" s="155"/>
      <c r="EM447" s="155"/>
      <c r="EN447" s="428"/>
    </row>
    <row r="448" spans="1:144">
      <c r="A448" s="360"/>
      <c r="B448" s="172"/>
      <c r="C448" s="360"/>
      <c r="D448" s="172"/>
      <c r="E448" s="408"/>
      <c r="F448" s="408"/>
      <c r="G448" s="509"/>
      <c r="H448" s="546"/>
      <c r="I448" s="546"/>
      <c r="J448" s="251"/>
      <c r="K448" s="251"/>
      <c r="L448" s="509"/>
      <c r="M448" s="509"/>
      <c r="N448" s="509"/>
      <c r="O448" s="547"/>
      <c r="P448" s="200"/>
      <c r="Q448" s="174"/>
      <c r="R448" s="390"/>
      <c r="S448" s="510"/>
      <c r="T448" s="200"/>
      <c r="U448" s="174"/>
      <c r="V448" s="174"/>
      <c r="W448" s="510"/>
      <c r="X448" s="174"/>
      <c r="Y448" s="174"/>
      <c r="Z448" s="174"/>
      <c r="AA448" s="510"/>
      <c r="AB448" s="200"/>
      <c r="AC448" s="174"/>
      <c r="AD448" s="390"/>
      <c r="AE448" s="510"/>
      <c r="AF448" s="200"/>
      <c r="AG448" s="174"/>
      <c r="AH448" s="174"/>
      <c r="AI448" s="200"/>
      <c r="AJ448" s="548"/>
      <c r="AK448" s="200"/>
      <c r="AL448" s="174"/>
      <c r="AM448" s="390"/>
      <c r="AN448" s="510"/>
      <c r="AO448" s="200"/>
      <c r="AP448" s="174"/>
      <c r="AQ448" s="510"/>
      <c r="AR448" s="200"/>
      <c r="AS448" s="174"/>
      <c r="AT448" s="510"/>
      <c r="AU448" s="200"/>
      <c r="AV448" s="174"/>
      <c r="AW448" s="510"/>
      <c r="AX448" s="200"/>
      <c r="AY448" s="174"/>
      <c r="AZ448" s="510"/>
      <c r="BA448" s="174"/>
      <c r="BB448" s="174"/>
      <c r="BC448" s="174"/>
      <c r="BD448" s="174"/>
      <c r="BE448" s="174"/>
      <c r="BF448" s="510"/>
      <c r="BG448" s="174"/>
      <c r="BH448" s="174"/>
      <c r="BI448" s="174"/>
      <c r="BJ448" s="200"/>
      <c r="BK448" s="174"/>
      <c r="BL448" s="510"/>
      <c r="BM448" s="174"/>
      <c r="BN448" s="174"/>
      <c r="BO448" s="510"/>
      <c r="BP448" s="200"/>
      <c r="BQ448" s="447"/>
      <c r="BR448" s="510"/>
      <c r="BS448" s="174"/>
      <c r="BT448" s="174"/>
      <c r="BU448" s="510"/>
      <c r="BV448" s="200"/>
      <c r="BW448" s="174"/>
      <c r="BX448" s="510"/>
      <c r="BY448" s="174"/>
      <c r="BZ448" s="174"/>
      <c r="CA448" s="510"/>
      <c r="CB448" s="200"/>
      <c r="CC448" s="174"/>
      <c r="CD448" s="510"/>
      <c r="CE448" s="174"/>
      <c r="CF448" s="174"/>
      <c r="CG448" s="510"/>
      <c r="CH448" s="174"/>
      <c r="CI448" s="174"/>
      <c r="CJ448" s="174"/>
      <c r="CK448" s="174"/>
      <c r="CL448" s="174"/>
      <c r="CM448" s="510"/>
      <c r="CN448" s="174"/>
      <c r="CO448" s="549"/>
      <c r="CP448" s="510"/>
      <c r="CQ448" s="200"/>
      <c r="CR448" s="550"/>
      <c r="CS448" s="510"/>
      <c r="CT448" s="390"/>
      <c r="CU448" s="331"/>
      <c r="CV448" s="428"/>
      <c r="CW448" s="155"/>
      <c r="CX448" s="155"/>
      <c r="CY448" s="267"/>
      <c r="CZ448" s="323"/>
      <c r="DA448" s="323"/>
      <c r="DB448" s="423"/>
      <c r="DC448" s="155"/>
      <c r="DD448" s="155"/>
      <c r="DE448" s="267"/>
      <c r="DF448" s="323"/>
      <c r="DG448" s="323"/>
      <c r="DH448" s="428"/>
      <c r="DI448" s="155"/>
      <c r="DJ448" s="155"/>
      <c r="DK448" s="222"/>
      <c r="DL448" s="267"/>
      <c r="DM448" s="155"/>
      <c r="DN448" s="155"/>
      <c r="DO448" s="155"/>
      <c r="DP448" s="423"/>
      <c r="DQ448" s="155"/>
      <c r="DR448" s="155"/>
      <c r="DS448" s="222"/>
      <c r="DT448" s="267"/>
      <c r="DU448" s="174"/>
      <c r="DV448" s="174"/>
      <c r="DW448" s="200"/>
      <c r="DX448" s="428"/>
      <c r="DY448" s="155"/>
      <c r="DZ448" s="155"/>
      <c r="EA448" s="155"/>
      <c r="EB448" s="173"/>
      <c r="EC448" s="155"/>
      <c r="ED448" s="155"/>
      <c r="EE448" s="155"/>
      <c r="EF448" s="423"/>
      <c r="EG448" s="155"/>
      <c r="EH448" s="155"/>
      <c r="EI448" s="155"/>
      <c r="EJ448" s="267"/>
      <c r="EK448" s="155"/>
      <c r="EL448" s="155"/>
      <c r="EM448" s="155"/>
      <c r="EN448" s="428"/>
    </row>
    <row r="449" spans="1:144">
      <c r="A449" s="360"/>
      <c r="B449" s="172"/>
      <c r="C449" s="360"/>
      <c r="D449" s="172"/>
      <c r="E449" s="408"/>
      <c r="F449" s="408"/>
      <c r="G449" s="509"/>
      <c r="H449" s="546"/>
      <c r="I449" s="546"/>
      <c r="J449" s="251"/>
      <c r="K449" s="251"/>
      <c r="L449" s="509"/>
      <c r="M449" s="509"/>
      <c r="N449" s="509"/>
      <c r="O449" s="547"/>
      <c r="P449" s="200"/>
      <c r="Q449" s="174"/>
      <c r="R449" s="390"/>
      <c r="S449" s="510"/>
      <c r="T449" s="200"/>
      <c r="U449" s="174"/>
      <c r="V449" s="174"/>
      <c r="W449" s="510"/>
      <c r="X449" s="174"/>
      <c r="Y449" s="174"/>
      <c r="Z449" s="174"/>
      <c r="AA449" s="510"/>
      <c r="AB449" s="200"/>
      <c r="AC449" s="174"/>
      <c r="AD449" s="390"/>
      <c r="AE449" s="510"/>
      <c r="AF449" s="200"/>
      <c r="AG449" s="174"/>
      <c r="AH449" s="174"/>
      <c r="AI449" s="200"/>
      <c r="AJ449" s="548"/>
      <c r="AK449" s="200"/>
      <c r="AL449" s="174"/>
      <c r="AM449" s="390"/>
      <c r="AN449" s="510"/>
      <c r="AO449" s="200"/>
      <c r="AP449" s="174"/>
      <c r="AQ449" s="510"/>
      <c r="AR449" s="200"/>
      <c r="AS449" s="174"/>
      <c r="AT449" s="510"/>
      <c r="AU449" s="200"/>
      <c r="AV449" s="174"/>
      <c r="AW449" s="510"/>
      <c r="AX449" s="200"/>
      <c r="AY449" s="174"/>
      <c r="AZ449" s="510"/>
      <c r="BA449" s="174"/>
      <c r="BB449" s="174"/>
      <c r="BC449" s="174"/>
      <c r="BD449" s="174"/>
      <c r="BE449" s="174"/>
      <c r="BF449" s="510"/>
      <c r="BG449" s="174"/>
      <c r="BH449" s="174"/>
      <c r="BI449" s="174"/>
      <c r="BJ449" s="200"/>
      <c r="BK449" s="174"/>
      <c r="BL449" s="510"/>
      <c r="BM449" s="174"/>
      <c r="BN449" s="174"/>
      <c r="BO449" s="510"/>
      <c r="BP449" s="200"/>
      <c r="BQ449" s="447"/>
      <c r="BR449" s="510"/>
      <c r="BS449" s="174"/>
      <c r="BT449" s="174"/>
      <c r="BU449" s="510"/>
      <c r="BV449" s="200"/>
      <c r="BW449" s="174"/>
      <c r="BX449" s="510"/>
      <c r="BY449" s="174"/>
      <c r="BZ449" s="174"/>
      <c r="CA449" s="510"/>
      <c r="CB449" s="200"/>
      <c r="CC449" s="174"/>
      <c r="CD449" s="510"/>
      <c r="CE449" s="174"/>
      <c r="CF449" s="174"/>
      <c r="CG449" s="510"/>
      <c r="CH449" s="174"/>
      <c r="CI449" s="174"/>
      <c r="CJ449" s="174"/>
      <c r="CK449" s="174"/>
      <c r="CL449" s="174"/>
      <c r="CM449" s="510"/>
      <c r="CN449" s="174"/>
      <c r="CO449" s="549"/>
      <c r="CP449" s="510"/>
      <c r="CQ449" s="200"/>
      <c r="CR449" s="550"/>
      <c r="CS449" s="510"/>
      <c r="CT449" s="390"/>
      <c r="CU449" s="331"/>
      <c r="CV449" s="428"/>
      <c r="CW449" s="155"/>
      <c r="CX449" s="155"/>
      <c r="CY449" s="267"/>
      <c r="CZ449" s="323"/>
      <c r="DA449" s="323"/>
      <c r="DB449" s="423"/>
      <c r="DC449" s="155"/>
      <c r="DD449" s="155"/>
      <c r="DE449" s="267"/>
      <c r="DF449" s="323"/>
      <c r="DG449" s="323"/>
      <c r="DH449" s="428"/>
      <c r="DI449" s="155"/>
      <c r="DJ449" s="155"/>
      <c r="DK449" s="222"/>
      <c r="DL449" s="267"/>
      <c r="DM449" s="155"/>
      <c r="DN449" s="155"/>
      <c r="DO449" s="155"/>
      <c r="DP449" s="423"/>
      <c r="DQ449" s="155"/>
      <c r="DR449" s="155"/>
      <c r="DS449" s="222"/>
      <c r="DT449" s="267"/>
      <c r="DU449" s="174"/>
      <c r="DV449" s="174"/>
      <c r="DW449" s="200"/>
      <c r="DX449" s="428"/>
      <c r="DY449" s="155"/>
      <c r="DZ449" s="155"/>
      <c r="EA449" s="155"/>
      <c r="EB449" s="173"/>
      <c r="EC449" s="155"/>
      <c r="ED449" s="155"/>
      <c r="EE449" s="155"/>
      <c r="EF449" s="423"/>
      <c r="EG449" s="155"/>
      <c r="EH449" s="155"/>
      <c r="EI449" s="155"/>
      <c r="EJ449" s="267"/>
      <c r="EK449" s="155"/>
      <c r="EL449" s="155"/>
      <c r="EM449" s="155"/>
      <c r="EN449" s="428"/>
    </row>
    <row r="450" spans="1:144">
      <c r="A450" s="360"/>
      <c r="B450" s="172"/>
      <c r="C450" s="360"/>
      <c r="D450" s="172"/>
      <c r="E450" s="408"/>
      <c r="F450" s="408"/>
      <c r="G450" s="509"/>
      <c r="H450" s="546"/>
      <c r="I450" s="546"/>
      <c r="J450" s="251"/>
      <c r="K450" s="251"/>
      <c r="L450" s="509"/>
      <c r="M450" s="509"/>
      <c r="N450" s="509"/>
      <c r="O450" s="547"/>
      <c r="P450" s="200"/>
      <c r="Q450" s="174"/>
      <c r="R450" s="390"/>
      <c r="S450" s="510"/>
      <c r="T450" s="200"/>
      <c r="U450" s="174"/>
      <c r="V450" s="174"/>
      <c r="W450" s="510"/>
      <c r="X450" s="174"/>
      <c r="Y450" s="174"/>
      <c r="Z450" s="174"/>
      <c r="AA450" s="510"/>
      <c r="AB450" s="200"/>
      <c r="AC450" s="174"/>
      <c r="AD450" s="390"/>
      <c r="AE450" s="510"/>
      <c r="AF450" s="200"/>
      <c r="AG450" s="174"/>
      <c r="AH450" s="174"/>
      <c r="AI450" s="200"/>
      <c r="AJ450" s="548"/>
      <c r="AK450" s="200"/>
      <c r="AL450" s="174"/>
      <c r="AM450" s="390"/>
      <c r="AN450" s="510"/>
      <c r="AO450" s="200"/>
      <c r="AP450" s="174"/>
      <c r="AQ450" s="510"/>
      <c r="AR450" s="200"/>
      <c r="AS450" s="174"/>
      <c r="AT450" s="510"/>
      <c r="AU450" s="200"/>
      <c r="AV450" s="174"/>
      <c r="AW450" s="510"/>
      <c r="AX450" s="200"/>
      <c r="AY450" s="174"/>
      <c r="AZ450" s="510"/>
      <c r="BA450" s="174"/>
      <c r="BB450" s="174"/>
      <c r="BC450" s="174"/>
      <c r="BD450" s="174"/>
      <c r="BE450" s="174"/>
      <c r="BF450" s="510"/>
      <c r="BG450" s="174"/>
      <c r="BH450" s="174"/>
      <c r="BI450" s="174"/>
      <c r="BJ450" s="200"/>
      <c r="BK450" s="174"/>
      <c r="BL450" s="510"/>
      <c r="BM450" s="174"/>
      <c r="BN450" s="174"/>
      <c r="BO450" s="510"/>
      <c r="BP450" s="200"/>
      <c r="BQ450" s="447"/>
      <c r="BR450" s="510"/>
      <c r="BS450" s="174"/>
      <c r="BT450" s="174"/>
      <c r="BU450" s="510"/>
      <c r="BV450" s="200"/>
      <c r="BW450" s="174"/>
      <c r="BX450" s="510"/>
      <c r="BY450" s="174"/>
      <c r="BZ450" s="174"/>
      <c r="CA450" s="510"/>
      <c r="CB450" s="200"/>
      <c r="CC450" s="174"/>
      <c r="CD450" s="510"/>
      <c r="CE450" s="174"/>
      <c r="CF450" s="174"/>
      <c r="CG450" s="510"/>
      <c r="CH450" s="174"/>
      <c r="CI450" s="174"/>
      <c r="CJ450" s="174"/>
      <c r="CK450" s="174"/>
      <c r="CL450" s="174"/>
      <c r="CM450" s="510"/>
      <c r="CN450" s="174"/>
      <c r="CO450" s="549"/>
      <c r="CP450" s="510"/>
      <c r="CQ450" s="200"/>
      <c r="CR450" s="550"/>
      <c r="CS450" s="510"/>
      <c r="CT450" s="390"/>
      <c r="CU450" s="331"/>
      <c r="CV450" s="428"/>
      <c r="CW450" s="155"/>
      <c r="CX450" s="155"/>
      <c r="CY450" s="267"/>
      <c r="CZ450" s="323"/>
      <c r="DA450" s="323"/>
      <c r="DB450" s="423"/>
      <c r="DC450" s="155"/>
      <c r="DD450" s="155"/>
      <c r="DE450" s="267"/>
      <c r="DF450" s="323"/>
      <c r="DG450" s="323"/>
      <c r="DH450" s="428"/>
      <c r="DI450" s="155"/>
      <c r="DJ450" s="155"/>
      <c r="DK450" s="222"/>
      <c r="DL450" s="267"/>
      <c r="DM450" s="155"/>
      <c r="DN450" s="155"/>
      <c r="DO450" s="155"/>
      <c r="DP450" s="423"/>
      <c r="DQ450" s="155"/>
      <c r="DR450" s="155"/>
      <c r="DS450" s="222"/>
      <c r="DT450" s="267"/>
      <c r="DU450" s="174"/>
      <c r="DV450" s="174"/>
      <c r="DW450" s="200"/>
      <c r="DX450" s="428"/>
      <c r="DY450" s="155"/>
      <c r="DZ450" s="155"/>
      <c r="EA450" s="155"/>
      <c r="EB450" s="173"/>
      <c r="EC450" s="155"/>
      <c r="ED450" s="155"/>
      <c r="EE450" s="155"/>
      <c r="EF450" s="423"/>
      <c r="EG450" s="155"/>
      <c r="EH450" s="155"/>
      <c r="EI450" s="155"/>
      <c r="EJ450" s="267"/>
      <c r="EK450" s="155"/>
      <c r="EL450" s="155"/>
      <c r="EM450" s="155"/>
      <c r="EN450" s="428"/>
    </row>
    <row r="451" spans="1:144">
      <c r="A451" s="360"/>
      <c r="B451" s="172"/>
      <c r="C451" s="360"/>
      <c r="D451" s="172"/>
      <c r="E451" s="408"/>
      <c r="F451" s="408"/>
      <c r="G451" s="509"/>
      <c r="H451" s="546"/>
      <c r="I451" s="546"/>
      <c r="J451" s="251"/>
      <c r="K451" s="251"/>
      <c r="L451" s="509"/>
      <c r="M451" s="509"/>
      <c r="N451" s="509"/>
      <c r="O451" s="547"/>
      <c r="P451" s="200"/>
      <c r="Q451" s="174"/>
      <c r="R451" s="390"/>
      <c r="S451" s="510"/>
      <c r="T451" s="200"/>
      <c r="U451" s="174"/>
      <c r="V451" s="174"/>
      <c r="W451" s="510"/>
      <c r="X451" s="174"/>
      <c r="Y451" s="174"/>
      <c r="Z451" s="174"/>
      <c r="AA451" s="510"/>
      <c r="AB451" s="200"/>
      <c r="AC451" s="174"/>
      <c r="AD451" s="390"/>
      <c r="AE451" s="510"/>
      <c r="AF451" s="200"/>
      <c r="AG451" s="174"/>
      <c r="AH451" s="174"/>
      <c r="AI451" s="200"/>
      <c r="AJ451" s="548"/>
      <c r="AK451" s="200"/>
      <c r="AL451" s="174"/>
      <c r="AM451" s="390"/>
      <c r="AN451" s="510"/>
      <c r="AO451" s="200"/>
      <c r="AP451" s="174"/>
      <c r="AQ451" s="510"/>
      <c r="AR451" s="200"/>
      <c r="AS451" s="174"/>
      <c r="AT451" s="510"/>
      <c r="AU451" s="200"/>
      <c r="AV451" s="174"/>
      <c r="AW451" s="510"/>
      <c r="AX451" s="200"/>
      <c r="AY451" s="174"/>
      <c r="AZ451" s="510"/>
      <c r="BA451" s="174"/>
      <c r="BB451" s="174"/>
      <c r="BC451" s="174"/>
      <c r="BD451" s="174"/>
      <c r="BE451" s="174"/>
      <c r="BF451" s="510"/>
      <c r="BG451" s="174"/>
      <c r="BH451" s="174"/>
      <c r="BI451" s="174"/>
      <c r="BJ451" s="200"/>
      <c r="BK451" s="174"/>
      <c r="BL451" s="510"/>
      <c r="BM451" s="174"/>
      <c r="BN451" s="174"/>
      <c r="BO451" s="510"/>
      <c r="BP451" s="200"/>
      <c r="BQ451" s="447"/>
      <c r="BR451" s="510"/>
      <c r="BS451" s="174"/>
      <c r="BT451" s="174"/>
      <c r="BU451" s="510"/>
      <c r="BV451" s="200"/>
      <c r="BW451" s="174"/>
      <c r="BX451" s="510"/>
      <c r="BY451" s="174"/>
      <c r="BZ451" s="174"/>
      <c r="CA451" s="510"/>
      <c r="CB451" s="200"/>
      <c r="CC451" s="174"/>
      <c r="CD451" s="510"/>
      <c r="CE451" s="174"/>
      <c r="CF451" s="174"/>
      <c r="CG451" s="510"/>
      <c r="CH451" s="174"/>
      <c r="CI451" s="174"/>
      <c r="CJ451" s="174"/>
      <c r="CK451" s="174"/>
      <c r="CL451" s="174"/>
      <c r="CM451" s="510"/>
      <c r="CN451" s="174"/>
      <c r="CO451" s="549"/>
      <c r="CP451" s="510"/>
      <c r="CQ451" s="200"/>
      <c r="CR451" s="550"/>
      <c r="CS451" s="510"/>
      <c r="CT451" s="390"/>
      <c r="CU451" s="331"/>
      <c r="CV451" s="428"/>
      <c r="CW451" s="155"/>
      <c r="CX451" s="155"/>
      <c r="CY451" s="267"/>
      <c r="CZ451" s="323"/>
      <c r="DA451" s="323"/>
      <c r="DB451" s="423"/>
      <c r="DC451" s="155"/>
      <c r="DD451" s="155"/>
      <c r="DE451" s="267"/>
      <c r="DF451" s="323"/>
      <c r="DG451" s="323"/>
      <c r="DH451" s="428"/>
      <c r="DI451" s="155"/>
      <c r="DJ451" s="155"/>
      <c r="DK451" s="222"/>
      <c r="DL451" s="267"/>
      <c r="DM451" s="155"/>
      <c r="DN451" s="155"/>
      <c r="DO451" s="155"/>
      <c r="DP451" s="423"/>
      <c r="DQ451" s="155"/>
      <c r="DR451" s="155"/>
      <c r="DS451" s="222"/>
      <c r="DT451" s="267"/>
      <c r="DU451" s="174"/>
      <c r="DV451" s="174"/>
      <c r="DW451" s="200"/>
      <c r="DX451" s="428"/>
      <c r="DY451" s="155"/>
      <c r="DZ451" s="155"/>
      <c r="EA451" s="155"/>
      <c r="EB451" s="173"/>
      <c r="EC451" s="155"/>
      <c r="ED451" s="155"/>
      <c r="EE451" s="155"/>
      <c r="EF451" s="423"/>
      <c r="EG451" s="155"/>
      <c r="EH451" s="155"/>
      <c r="EI451" s="155"/>
      <c r="EJ451" s="267"/>
      <c r="EK451" s="155"/>
      <c r="EL451" s="155"/>
      <c r="EM451" s="155"/>
      <c r="EN451" s="428"/>
    </row>
    <row r="452" spans="1:144">
      <c r="A452" s="360"/>
      <c r="B452" s="172"/>
      <c r="C452" s="360"/>
      <c r="D452" s="172"/>
      <c r="E452" s="408"/>
      <c r="F452" s="408"/>
      <c r="G452" s="509"/>
      <c r="H452" s="546"/>
      <c r="I452" s="546"/>
      <c r="J452" s="251"/>
      <c r="K452" s="251"/>
      <c r="L452" s="509"/>
      <c r="M452" s="509"/>
      <c r="N452" s="509"/>
      <c r="O452" s="547"/>
      <c r="P452" s="200"/>
      <c r="Q452" s="174"/>
      <c r="R452" s="390"/>
      <c r="S452" s="510"/>
      <c r="T452" s="200"/>
      <c r="U452" s="174"/>
      <c r="V452" s="174"/>
      <c r="W452" s="510"/>
      <c r="X452" s="174"/>
      <c r="Y452" s="174"/>
      <c r="Z452" s="174"/>
      <c r="AA452" s="510"/>
      <c r="AB452" s="200"/>
      <c r="AC452" s="174"/>
      <c r="AD452" s="390"/>
      <c r="AE452" s="510"/>
      <c r="AF452" s="200"/>
      <c r="AG452" s="174"/>
      <c r="AH452" s="174"/>
      <c r="AI452" s="200"/>
      <c r="AJ452" s="548"/>
      <c r="AK452" s="200"/>
      <c r="AL452" s="174"/>
      <c r="AM452" s="390"/>
      <c r="AN452" s="510"/>
      <c r="AO452" s="200"/>
      <c r="AP452" s="174"/>
      <c r="AQ452" s="510"/>
      <c r="AR452" s="200"/>
      <c r="AS452" s="174"/>
      <c r="AT452" s="510"/>
      <c r="AU452" s="200"/>
      <c r="AV452" s="174"/>
      <c r="AW452" s="510"/>
      <c r="AX452" s="200"/>
      <c r="AY452" s="174"/>
      <c r="AZ452" s="510"/>
      <c r="BA452" s="174"/>
      <c r="BB452" s="174"/>
      <c r="BC452" s="174"/>
      <c r="BD452" s="174"/>
      <c r="BE452" s="174"/>
      <c r="BF452" s="510"/>
      <c r="BG452" s="174"/>
      <c r="BH452" s="174"/>
      <c r="BI452" s="174"/>
      <c r="BJ452" s="200"/>
      <c r="BK452" s="174"/>
      <c r="BL452" s="510"/>
      <c r="BM452" s="174"/>
      <c r="BN452" s="174"/>
      <c r="BO452" s="510"/>
      <c r="BP452" s="200"/>
      <c r="BQ452" s="447"/>
      <c r="BR452" s="510"/>
      <c r="BS452" s="174"/>
      <c r="BT452" s="174"/>
      <c r="BU452" s="510"/>
      <c r="BV452" s="200"/>
      <c r="BW452" s="174"/>
      <c r="BX452" s="510"/>
      <c r="BY452" s="174"/>
      <c r="BZ452" s="174"/>
      <c r="CA452" s="510"/>
      <c r="CB452" s="200"/>
      <c r="CC452" s="174"/>
      <c r="CD452" s="510"/>
      <c r="CE452" s="174"/>
      <c r="CF452" s="174"/>
      <c r="CG452" s="510"/>
      <c r="CH452" s="174"/>
      <c r="CI452" s="174"/>
      <c r="CJ452" s="174"/>
      <c r="CK452" s="174"/>
      <c r="CL452" s="174"/>
      <c r="CM452" s="510"/>
      <c r="CN452" s="174"/>
      <c r="CO452" s="549"/>
      <c r="CP452" s="510"/>
      <c r="CQ452" s="200"/>
      <c r="CR452" s="550"/>
      <c r="CS452" s="510"/>
      <c r="CT452" s="390"/>
      <c r="CU452" s="331"/>
      <c r="CV452" s="428"/>
      <c r="CW452" s="155"/>
      <c r="CX452" s="155"/>
      <c r="CY452" s="267"/>
      <c r="CZ452" s="323"/>
      <c r="DA452" s="323"/>
      <c r="DB452" s="423"/>
      <c r="DC452" s="155"/>
      <c r="DD452" s="155"/>
      <c r="DE452" s="267"/>
      <c r="DF452" s="323"/>
      <c r="DG452" s="323"/>
      <c r="DH452" s="428"/>
      <c r="DI452" s="155"/>
      <c r="DJ452" s="155"/>
      <c r="DK452" s="222"/>
      <c r="DL452" s="267"/>
      <c r="DM452" s="155"/>
      <c r="DN452" s="155"/>
      <c r="DO452" s="155"/>
      <c r="DP452" s="423"/>
      <c r="DQ452" s="155"/>
      <c r="DR452" s="155"/>
      <c r="DS452" s="222"/>
      <c r="DT452" s="267"/>
      <c r="DU452" s="174"/>
      <c r="DV452" s="174"/>
      <c r="DW452" s="200"/>
      <c r="DX452" s="428"/>
      <c r="DY452" s="155"/>
      <c r="DZ452" s="155"/>
      <c r="EA452" s="155"/>
      <c r="EB452" s="173"/>
      <c r="EC452" s="155"/>
      <c r="ED452" s="155"/>
      <c r="EE452" s="155"/>
      <c r="EF452" s="423"/>
      <c r="EG452" s="155"/>
      <c r="EH452" s="155"/>
      <c r="EI452" s="155"/>
      <c r="EJ452" s="267"/>
      <c r="EK452" s="155"/>
      <c r="EL452" s="155"/>
      <c r="EM452" s="155"/>
      <c r="EN452" s="428"/>
    </row>
    <row r="453" spans="1:144">
      <c r="A453" s="360"/>
      <c r="B453" s="172"/>
      <c r="C453" s="360"/>
      <c r="D453" s="172"/>
      <c r="E453" s="408"/>
      <c r="F453" s="408"/>
      <c r="G453" s="509"/>
      <c r="H453" s="546"/>
      <c r="I453" s="546"/>
      <c r="J453" s="251"/>
      <c r="K453" s="251"/>
      <c r="L453" s="509"/>
      <c r="M453" s="509"/>
      <c r="N453" s="509"/>
      <c r="O453" s="547"/>
      <c r="P453" s="200"/>
      <c r="Q453" s="174"/>
      <c r="R453" s="390"/>
      <c r="S453" s="510"/>
      <c r="T453" s="200"/>
      <c r="U453" s="174"/>
      <c r="V453" s="174"/>
      <c r="W453" s="510"/>
      <c r="X453" s="174"/>
      <c r="Y453" s="174"/>
      <c r="Z453" s="174"/>
      <c r="AA453" s="510"/>
      <c r="AB453" s="200"/>
      <c r="AC453" s="174"/>
      <c r="AD453" s="390"/>
      <c r="AE453" s="510"/>
      <c r="AF453" s="200"/>
      <c r="AG453" s="174"/>
      <c r="AH453" s="174"/>
      <c r="AI453" s="200"/>
      <c r="AJ453" s="548"/>
      <c r="AK453" s="200"/>
      <c r="AL453" s="174"/>
      <c r="AM453" s="390"/>
      <c r="AN453" s="510"/>
      <c r="AO453" s="200"/>
      <c r="AP453" s="174"/>
      <c r="AQ453" s="510"/>
      <c r="AR453" s="200"/>
      <c r="AS453" s="174"/>
      <c r="AT453" s="510"/>
      <c r="AU453" s="200"/>
      <c r="AV453" s="174"/>
      <c r="AW453" s="510"/>
      <c r="AX453" s="200"/>
      <c r="AY453" s="174"/>
      <c r="AZ453" s="510"/>
      <c r="BA453" s="174"/>
      <c r="BB453" s="174"/>
      <c r="BC453" s="174"/>
      <c r="BD453" s="174"/>
      <c r="BE453" s="174"/>
      <c r="BF453" s="510"/>
      <c r="BG453" s="174"/>
      <c r="BH453" s="174"/>
      <c r="BI453" s="174"/>
      <c r="BJ453" s="200"/>
      <c r="BK453" s="174"/>
      <c r="BL453" s="510"/>
      <c r="BM453" s="174"/>
      <c r="BN453" s="174"/>
      <c r="BO453" s="510"/>
      <c r="BP453" s="200"/>
      <c r="BQ453" s="447"/>
      <c r="BR453" s="510"/>
      <c r="BS453" s="174"/>
      <c r="BT453" s="174"/>
      <c r="BU453" s="510"/>
      <c r="BV453" s="200"/>
      <c r="BW453" s="174"/>
      <c r="BX453" s="510"/>
      <c r="BY453" s="174"/>
      <c r="BZ453" s="174"/>
      <c r="CA453" s="510"/>
      <c r="CB453" s="200"/>
      <c r="CC453" s="174"/>
      <c r="CD453" s="510"/>
      <c r="CE453" s="174"/>
      <c r="CF453" s="174"/>
      <c r="CG453" s="510"/>
      <c r="CH453" s="174"/>
      <c r="CI453" s="174"/>
      <c r="CJ453" s="174"/>
      <c r="CK453" s="174"/>
      <c r="CL453" s="174"/>
      <c r="CM453" s="510"/>
      <c r="CN453" s="174"/>
      <c r="CO453" s="549"/>
      <c r="CP453" s="510"/>
      <c r="CQ453" s="200"/>
      <c r="CR453" s="550"/>
      <c r="CS453" s="510"/>
      <c r="CT453" s="390"/>
      <c r="CU453" s="331"/>
      <c r="CV453" s="428"/>
      <c r="CW453" s="155"/>
      <c r="CX453" s="155"/>
      <c r="CY453" s="267"/>
      <c r="CZ453" s="323"/>
      <c r="DA453" s="323"/>
      <c r="DB453" s="423"/>
      <c r="DC453" s="155"/>
      <c r="DD453" s="155"/>
      <c r="DE453" s="267"/>
      <c r="DF453" s="323"/>
      <c r="DG453" s="323"/>
      <c r="DH453" s="428"/>
      <c r="DI453" s="155"/>
      <c r="DJ453" s="155"/>
      <c r="DK453" s="222"/>
      <c r="DL453" s="267"/>
      <c r="DM453" s="155"/>
      <c r="DN453" s="155"/>
      <c r="DO453" s="155"/>
      <c r="DP453" s="423"/>
      <c r="DQ453" s="155"/>
      <c r="DR453" s="155"/>
      <c r="DS453" s="222"/>
      <c r="DT453" s="267"/>
      <c r="DU453" s="174"/>
      <c r="DV453" s="174"/>
      <c r="DW453" s="200"/>
      <c r="DX453" s="428"/>
      <c r="DY453" s="155"/>
      <c r="DZ453" s="155"/>
      <c r="EA453" s="155"/>
      <c r="EB453" s="173"/>
      <c r="EC453" s="155"/>
      <c r="ED453" s="155"/>
      <c r="EE453" s="155"/>
      <c r="EF453" s="423"/>
      <c r="EG453" s="155"/>
      <c r="EH453" s="155"/>
      <c r="EI453" s="155"/>
      <c r="EJ453" s="267"/>
      <c r="EK453" s="155"/>
      <c r="EL453" s="155"/>
      <c r="EM453" s="155"/>
      <c r="EN453" s="428"/>
    </row>
    <row r="454" spans="1:144">
      <c r="A454" s="360"/>
      <c r="B454" s="172"/>
      <c r="C454" s="360"/>
      <c r="D454" s="172"/>
      <c r="E454" s="408"/>
      <c r="F454" s="408"/>
      <c r="G454" s="509"/>
      <c r="H454" s="546"/>
      <c r="I454" s="546"/>
      <c r="J454" s="251"/>
      <c r="K454" s="251"/>
      <c r="L454" s="509"/>
      <c r="M454" s="509"/>
      <c r="N454" s="509"/>
      <c r="O454" s="547"/>
      <c r="P454" s="200"/>
      <c r="Q454" s="174"/>
      <c r="R454" s="390"/>
      <c r="S454" s="510"/>
      <c r="T454" s="200"/>
      <c r="U454" s="174"/>
      <c r="V454" s="174"/>
      <c r="W454" s="510"/>
      <c r="X454" s="174"/>
      <c r="Y454" s="174"/>
      <c r="Z454" s="174"/>
      <c r="AA454" s="510"/>
      <c r="AB454" s="200"/>
      <c r="AC454" s="174"/>
      <c r="AD454" s="390"/>
      <c r="AE454" s="510"/>
      <c r="AF454" s="200"/>
      <c r="AG454" s="174"/>
      <c r="AH454" s="174"/>
      <c r="AI454" s="200"/>
      <c r="AJ454" s="548"/>
      <c r="AK454" s="200"/>
      <c r="AL454" s="174"/>
      <c r="AM454" s="390"/>
      <c r="AN454" s="510"/>
      <c r="AO454" s="200"/>
      <c r="AP454" s="174"/>
      <c r="AQ454" s="510"/>
      <c r="AR454" s="200"/>
      <c r="AS454" s="174"/>
      <c r="AT454" s="510"/>
      <c r="AU454" s="200"/>
      <c r="AV454" s="174"/>
      <c r="AW454" s="510"/>
      <c r="AX454" s="200"/>
      <c r="AY454" s="174"/>
      <c r="AZ454" s="510"/>
      <c r="BA454" s="174"/>
      <c r="BB454" s="174"/>
      <c r="BC454" s="174"/>
      <c r="BD454" s="174"/>
      <c r="BE454" s="174"/>
      <c r="BF454" s="510"/>
      <c r="BG454" s="174"/>
      <c r="BH454" s="174"/>
      <c r="BI454" s="174"/>
      <c r="BJ454" s="200"/>
      <c r="BK454" s="174"/>
      <c r="BL454" s="510"/>
      <c r="BM454" s="174"/>
      <c r="BN454" s="174"/>
      <c r="BO454" s="510"/>
      <c r="BP454" s="200"/>
      <c r="BQ454" s="447"/>
      <c r="BR454" s="510"/>
      <c r="BS454" s="174"/>
      <c r="BT454" s="174"/>
      <c r="BU454" s="510"/>
      <c r="BV454" s="200"/>
      <c r="BW454" s="174"/>
      <c r="BX454" s="510"/>
      <c r="BY454" s="174"/>
      <c r="BZ454" s="174"/>
      <c r="CA454" s="510"/>
      <c r="CB454" s="200"/>
      <c r="CC454" s="174"/>
      <c r="CD454" s="510"/>
      <c r="CE454" s="174"/>
      <c r="CF454" s="174"/>
      <c r="CG454" s="510"/>
      <c r="CH454" s="174"/>
      <c r="CI454" s="174"/>
      <c r="CJ454" s="174"/>
      <c r="CK454" s="174"/>
      <c r="CL454" s="174"/>
      <c r="CM454" s="510"/>
      <c r="CN454" s="174"/>
      <c r="CO454" s="549"/>
      <c r="CP454" s="510"/>
      <c r="CQ454" s="200"/>
      <c r="CR454" s="550"/>
      <c r="CS454" s="510"/>
      <c r="CT454" s="390"/>
      <c r="CU454" s="331"/>
      <c r="CV454" s="428"/>
      <c r="CW454" s="155"/>
      <c r="CX454" s="155"/>
      <c r="CY454" s="267"/>
      <c r="CZ454" s="323"/>
      <c r="DA454" s="323"/>
      <c r="DB454" s="423"/>
      <c r="DC454" s="155"/>
      <c r="DD454" s="155"/>
      <c r="DE454" s="267"/>
      <c r="DF454" s="323"/>
      <c r="DG454" s="323"/>
      <c r="DH454" s="428"/>
      <c r="DI454" s="155"/>
      <c r="DJ454" s="155"/>
      <c r="DK454" s="222"/>
      <c r="DL454" s="267"/>
      <c r="DM454" s="155"/>
      <c r="DN454" s="155"/>
      <c r="DO454" s="155"/>
      <c r="DP454" s="423"/>
      <c r="DQ454" s="155"/>
      <c r="DR454" s="155"/>
      <c r="DS454" s="222"/>
      <c r="DT454" s="267"/>
      <c r="DU454" s="174"/>
      <c r="DV454" s="174"/>
      <c r="DW454" s="200"/>
      <c r="DX454" s="428"/>
      <c r="DY454" s="155"/>
      <c r="DZ454" s="155"/>
      <c r="EA454" s="155"/>
      <c r="EB454" s="173"/>
      <c r="EC454" s="155"/>
      <c r="ED454" s="155"/>
      <c r="EE454" s="155"/>
      <c r="EF454" s="423"/>
      <c r="EG454" s="155"/>
      <c r="EH454" s="155"/>
      <c r="EI454" s="155"/>
      <c r="EJ454" s="267"/>
      <c r="EK454" s="155"/>
      <c r="EL454" s="155"/>
      <c r="EM454" s="155"/>
      <c r="EN454" s="428"/>
    </row>
    <row r="455" spans="1:144">
      <c r="A455" s="360"/>
      <c r="B455" s="172"/>
      <c r="C455" s="360"/>
      <c r="D455" s="172"/>
      <c r="E455" s="408"/>
      <c r="F455" s="408"/>
      <c r="G455" s="509"/>
      <c r="H455" s="546"/>
      <c r="I455" s="546"/>
      <c r="J455" s="251"/>
      <c r="K455" s="251"/>
      <c r="L455" s="509"/>
      <c r="M455" s="509"/>
      <c r="N455" s="509"/>
      <c r="O455" s="547"/>
      <c r="P455" s="200"/>
      <c r="Q455" s="174"/>
      <c r="R455" s="390"/>
      <c r="S455" s="510"/>
      <c r="T455" s="200"/>
      <c r="U455" s="174"/>
      <c r="V455" s="174"/>
      <c r="W455" s="510"/>
      <c r="X455" s="174"/>
      <c r="Y455" s="174"/>
      <c r="Z455" s="174"/>
      <c r="AA455" s="510"/>
      <c r="AB455" s="200"/>
      <c r="AC455" s="174"/>
      <c r="AD455" s="390"/>
      <c r="AE455" s="510"/>
      <c r="AF455" s="200"/>
      <c r="AG455" s="174"/>
      <c r="AH455" s="174"/>
      <c r="AI455" s="200"/>
      <c r="AJ455" s="548"/>
      <c r="AK455" s="200"/>
      <c r="AL455" s="174"/>
      <c r="AM455" s="390"/>
      <c r="AN455" s="510"/>
      <c r="AO455" s="200"/>
      <c r="AP455" s="174"/>
      <c r="AQ455" s="510"/>
      <c r="AR455" s="200"/>
      <c r="AS455" s="174"/>
      <c r="AT455" s="510"/>
      <c r="AU455" s="200"/>
      <c r="AV455" s="174"/>
      <c r="AW455" s="510"/>
      <c r="AX455" s="200"/>
      <c r="AY455" s="174"/>
      <c r="AZ455" s="510"/>
      <c r="BA455" s="174"/>
      <c r="BB455" s="174"/>
      <c r="BC455" s="174"/>
      <c r="BD455" s="174"/>
      <c r="BE455" s="174"/>
      <c r="BF455" s="510"/>
      <c r="BG455" s="174"/>
      <c r="BH455" s="174"/>
      <c r="BI455" s="174"/>
      <c r="BJ455" s="200"/>
      <c r="BK455" s="174"/>
      <c r="BL455" s="510"/>
      <c r="BM455" s="174"/>
      <c r="BN455" s="174"/>
      <c r="BO455" s="510"/>
      <c r="BP455" s="200"/>
      <c r="BQ455" s="447"/>
      <c r="BR455" s="510"/>
      <c r="BS455" s="174"/>
      <c r="BT455" s="174"/>
      <c r="BU455" s="510"/>
      <c r="BV455" s="200"/>
      <c r="BW455" s="174"/>
      <c r="BX455" s="510"/>
      <c r="BY455" s="174"/>
      <c r="BZ455" s="174"/>
      <c r="CA455" s="510"/>
      <c r="CB455" s="200"/>
      <c r="CC455" s="174"/>
      <c r="CD455" s="510"/>
      <c r="CE455" s="174"/>
      <c r="CF455" s="174"/>
      <c r="CG455" s="510"/>
      <c r="CH455" s="174"/>
      <c r="CI455" s="174"/>
      <c r="CJ455" s="174"/>
      <c r="CK455" s="174"/>
      <c r="CL455" s="174"/>
      <c r="CM455" s="510"/>
      <c r="CN455" s="174"/>
      <c r="CO455" s="549"/>
      <c r="CP455" s="510"/>
      <c r="CQ455" s="200"/>
      <c r="CR455" s="550"/>
      <c r="CS455" s="510"/>
      <c r="CT455" s="390"/>
      <c r="CU455" s="331"/>
      <c r="CV455" s="428"/>
      <c r="CW455" s="155"/>
      <c r="CX455" s="155"/>
      <c r="CY455" s="267"/>
      <c r="CZ455" s="323"/>
      <c r="DA455" s="323"/>
      <c r="DB455" s="423"/>
      <c r="DC455" s="155"/>
      <c r="DD455" s="155"/>
      <c r="DE455" s="267"/>
      <c r="DF455" s="323"/>
      <c r="DG455" s="323"/>
      <c r="DH455" s="428"/>
      <c r="DI455" s="155"/>
      <c r="DJ455" s="155"/>
      <c r="DK455" s="222"/>
      <c r="DL455" s="267"/>
      <c r="DM455" s="155"/>
      <c r="DN455" s="155"/>
      <c r="DO455" s="155"/>
      <c r="DP455" s="423"/>
      <c r="DQ455" s="155"/>
      <c r="DR455" s="155"/>
      <c r="DS455" s="222"/>
      <c r="DT455" s="267"/>
      <c r="DU455" s="174"/>
      <c r="DV455" s="174"/>
      <c r="DW455" s="200"/>
      <c r="DX455" s="428"/>
      <c r="DY455" s="155"/>
      <c r="DZ455" s="155"/>
      <c r="EA455" s="155"/>
      <c r="EB455" s="173"/>
      <c r="EC455" s="155"/>
      <c r="ED455" s="155"/>
      <c r="EE455" s="155"/>
      <c r="EF455" s="423"/>
      <c r="EG455" s="155"/>
      <c r="EH455" s="155"/>
      <c r="EI455" s="155"/>
      <c r="EJ455" s="267"/>
      <c r="EK455" s="155"/>
      <c r="EL455" s="155"/>
      <c r="EM455" s="155"/>
      <c r="EN455" s="428"/>
    </row>
    <row r="456" spans="1:144">
      <c r="A456" s="360"/>
      <c r="B456" s="172"/>
      <c r="C456" s="360"/>
      <c r="D456" s="172"/>
      <c r="E456" s="408"/>
      <c r="F456" s="408"/>
      <c r="G456" s="509"/>
      <c r="H456" s="546"/>
      <c r="I456" s="546"/>
      <c r="J456" s="251"/>
      <c r="K456" s="251"/>
      <c r="L456" s="509"/>
      <c r="M456" s="509"/>
      <c r="N456" s="509"/>
      <c r="O456" s="547"/>
      <c r="P456" s="200"/>
      <c r="Q456" s="174"/>
      <c r="R456" s="390"/>
      <c r="S456" s="510"/>
      <c r="T456" s="200"/>
      <c r="U456" s="174"/>
      <c r="V456" s="174"/>
      <c r="W456" s="510"/>
      <c r="X456" s="174"/>
      <c r="Y456" s="174"/>
      <c r="Z456" s="174"/>
      <c r="AA456" s="510"/>
      <c r="AB456" s="200"/>
      <c r="AC456" s="174"/>
      <c r="AD456" s="390"/>
      <c r="AE456" s="510"/>
      <c r="AF456" s="200"/>
      <c r="AG456" s="174"/>
      <c r="AH456" s="174"/>
      <c r="AI456" s="200"/>
      <c r="AJ456" s="548"/>
      <c r="AK456" s="200"/>
      <c r="AL456" s="174"/>
      <c r="AM456" s="390"/>
      <c r="AN456" s="510"/>
      <c r="AO456" s="200"/>
      <c r="AP456" s="174"/>
      <c r="AQ456" s="510"/>
      <c r="AR456" s="200"/>
      <c r="AS456" s="174"/>
      <c r="AT456" s="510"/>
      <c r="AU456" s="200"/>
      <c r="AV456" s="174"/>
      <c r="AW456" s="510"/>
      <c r="AX456" s="200"/>
      <c r="AY456" s="174"/>
      <c r="AZ456" s="510"/>
      <c r="BA456" s="174"/>
      <c r="BB456" s="174"/>
      <c r="BC456" s="174"/>
      <c r="BD456" s="174"/>
      <c r="BE456" s="174"/>
      <c r="BF456" s="510"/>
      <c r="BG456" s="174"/>
      <c r="BH456" s="174"/>
      <c r="BI456" s="174"/>
      <c r="BJ456" s="200"/>
      <c r="BK456" s="174"/>
      <c r="BL456" s="510"/>
      <c r="BM456" s="174"/>
      <c r="BN456" s="174"/>
      <c r="BO456" s="510"/>
      <c r="BP456" s="200"/>
      <c r="BQ456" s="447"/>
      <c r="BR456" s="510"/>
      <c r="BS456" s="174"/>
      <c r="BT456" s="174"/>
      <c r="BU456" s="510"/>
      <c r="BV456" s="200"/>
      <c r="BW456" s="174"/>
      <c r="BX456" s="510"/>
      <c r="BY456" s="174"/>
      <c r="BZ456" s="174"/>
      <c r="CA456" s="510"/>
      <c r="CB456" s="200"/>
      <c r="CC456" s="174"/>
      <c r="CD456" s="510"/>
      <c r="CE456" s="174"/>
      <c r="CF456" s="174"/>
      <c r="CG456" s="510"/>
      <c r="CH456" s="174"/>
      <c r="CI456" s="174"/>
      <c r="CJ456" s="174"/>
      <c r="CK456" s="174"/>
      <c r="CL456" s="174"/>
      <c r="CM456" s="510"/>
      <c r="CN456" s="174"/>
      <c r="CO456" s="549"/>
      <c r="CP456" s="510"/>
      <c r="CQ456" s="200"/>
      <c r="CR456" s="550"/>
      <c r="CS456" s="510"/>
      <c r="CT456" s="390"/>
      <c r="CU456" s="331"/>
      <c r="CV456" s="428"/>
      <c r="CW456" s="155"/>
      <c r="CX456" s="155"/>
      <c r="CY456" s="267"/>
      <c r="CZ456" s="323"/>
      <c r="DA456" s="323"/>
      <c r="DB456" s="423"/>
      <c r="DC456" s="155"/>
      <c r="DD456" s="155"/>
      <c r="DE456" s="267"/>
      <c r="DF456" s="323"/>
      <c r="DG456" s="323"/>
      <c r="DH456" s="428"/>
      <c r="DI456" s="155"/>
      <c r="DJ456" s="155"/>
      <c r="DK456" s="222"/>
      <c r="DL456" s="267"/>
      <c r="DM456" s="155"/>
      <c r="DN456" s="155"/>
      <c r="DO456" s="155"/>
      <c r="DP456" s="423"/>
      <c r="DQ456" s="155"/>
      <c r="DR456" s="155"/>
      <c r="DS456" s="222"/>
      <c r="DT456" s="267"/>
      <c r="DU456" s="174"/>
      <c r="DV456" s="174"/>
      <c r="DW456" s="200"/>
      <c r="DX456" s="428"/>
      <c r="DY456" s="155"/>
      <c r="DZ456" s="155"/>
      <c r="EA456" s="155"/>
      <c r="EB456" s="173"/>
      <c r="EC456" s="155"/>
      <c r="ED456" s="155"/>
      <c r="EE456" s="155"/>
      <c r="EF456" s="423"/>
      <c r="EG456" s="155"/>
      <c r="EH456" s="155"/>
      <c r="EI456" s="155"/>
      <c r="EJ456" s="267"/>
      <c r="EK456" s="155"/>
      <c r="EL456" s="155"/>
      <c r="EM456" s="155"/>
      <c r="EN456" s="428"/>
    </row>
    <row r="457" spans="1:144">
      <c r="A457" s="360"/>
      <c r="B457" s="172"/>
      <c r="C457" s="360"/>
      <c r="D457" s="172"/>
      <c r="E457" s="408"/>
      <c r="F457" s="408"/>
      <c r="G457" s="509"/>
      <c r="H457" s="546"/>
      <c r="I457" s="546"/>
      <c r="J457" s="251"/>
      <c r="K457" s="251"/>
      <c r="L457" s="509"/>
      <c r="M457" s="509"/>
      <c r="N457" s="509"/>
      <c r="O457" s="547"/>
      <c r="P457" s="200"/>
      <c r="Q457" s="174"/>
      <c r="R457" s="390"/>
      <c r="S457" s="510"/>
      <c r="T457" s="200"/>
      <c r="U457" s="174"/>
      <c r="V457" s="174"/>
      <c r="W457" s="510"/>
      <c r="X457" s="174"/>
      <c r="Y457" s="174"/>
      <c r="Z457" s="174"/>
      <c r="AA457" s="510"/>
      <c r="AB457" s="200"/>
      <c r="AC457" s="174"/>
      <c r="AD457" s="390"/>
      <c r="AE457" s="510"/>
      <c r="AF457" s="200"/>
      <c r="AG457" s="174"/>
      <c r="AH457" s="174"/>
      <c r="AI457" s="200"/>
      <c r="AJ457" s="548"/>
      <c r="AK457" s="200"/>
      <c r="AL457" s="174"/>
      <c r="AM457" s="390"/>
      <c r="AN457" s="510"/>
      <c r="AO457" s="200"/>
      <c r="AP457" s="174"/>
      <c r="AQ457" s="510"/>
      <c r="AR457" s="200"/>
      <c r="AS457" s="174"/>
      <c r="AT457" s="510"/>
      <c r="AU457" s="200"/>
      <c r="AV457" s="174"/>
      <c r="AW457" s="510"/>
      <c r="AX457" s="200"/>
      <c r="AY457" s="174"/>
      <c r="AZ457" s="510"/>
      <c r="BA457" s="174"/>
      <c r="BB457" s="174"/>
      <c r="BC457" s="174"/>
      <c r="BD457" s="174"/>
      <c r="BE457" s="174"/>
      <c r="BF457" s="510"/>
      <c r="BG457" s="174"/>
      <c r="BH457" s="174"/>
      <c r="BI457" s="174"/>
      <c r="BJ457" s="200"/>
      <c r="BK457" s="174"/>
      <c r="BL457" s="510"/>
      <c r="BM457" s="174"/>
      <c r="BN457" s="174"/>
      <c r="BO457" s="510"/>
      <c r="BP457" s="200"/>
      <c r="BQ457" s="447"/>
      <c r="BR457" s="510"/>
      <c r="BS457" s="174"/>
      <c r="BT457" s="174"/>
      <c r="BU457" s="510"/>
      <c r="BV457" s="200"/>
      <c r="BW457" s="174"/>
      <c r="BX457" s="510"/>
      <c r="BY457" s="174"/>
      <c r="BZ457" s="174"/>
      <c r="CA457" s="510"/>
      <c r="CB457" s="200"/>
      <c r="CC457" s="174"/>
      <c r="CD457" s="510"/>
      <c r="CE457" s="174"/>
      <c r="CF457" s="174"/>
      <c r="CG457" s="510"/>
      <c r="CH457" s="174"/>
      <c r="CI457" s="174"/>
      <c r="CJ457" s="174"/>
      <c r="CK457" s="174"/>
      <c r="CL457" s="174"/>
      <c r="CM457" s="510"/>
      <c r="CN457" s="174"/>
      <c r="CO457" s="549"/>
      <c r="CP457" s="510"/>
      <c r="CQ457" s="200"/>
      <c r="CR457" s="550"/>
      <c r="CS457" s="510"/>
      <c r="CT457" s="390"/>
      <c r="CU457" s="331"/>
      <c r="CV457" s="428"/>
      <c r="CW457" s="155"/>
      <c r="CX457" s="155"/>
      <c r="CY457" s="267"/>
      <c r="CZ457" s="323"/>
      <c r="DA457" s="323"/>
      <c r="DB457" s="423"/>
      <c r="DC457" s="155"/>
      <c r="DD457" s="155"/>
      <c r="DE457" s="267"/>
      <c r="DF457" s="323"/>
      <c r="DG457" s="323"/>
      <c r="DH457" s="428"/>
      <c r="DI457" s="155"/>
      <c r="DJ457" s="155"/>
      <c r="DK457" s="222"/>
      <c r="DL457" s="267"/>
      <c r="DM457" s="155"/>
      <c r="DN457" s="155"/>
      <c r="DO457" s="155"/>
      <c r="DP457" s="423"/>
      <c r="DQ457" s="155"/>
      <c r="DR457" s="155"/>
      <c r="DS457" s="222"/>
      <c r="DT457" s="267"/>
      <c r="DU457" s="174"/>
      <c r="DV457" s="174"/>
      <c r="DW457" s="200"/>
      <c r="DX457" s="428"/>
      <c r="DY457" s="155"/>
      <c r="DZ457" s="155"/>
      <c r="EA457" s="155"/>
      <c r="EB457" s="173"/>
      <c r="EC457" s="155"/>
      <c r="ED457" s="155"/>
      <c r="EE457" s="155"/>
      <c r="EF457" s="423"/>
      <c r="EG457" s="155"/>
      <c r="EH457" s="155"/>
      <c r="EI457" s="155"/>
      <c r="EJ457" s="267"/>
      <c r="EK457" s="155"/>
      <c r="EL457" s="155"/>
      <c r="EM457" s="155"/>
      <c r="EN457" s="428"/>
    </row>
    <row r="458" spans="1:144">
      <c r="A458" s="360"/>
      <c r="B458" s="172"/>
      <c r="C458" s="360"/>
      <c r="D458" s="172"/>
      <c r="E458" s="408"/>
      <c r="F458" s="408"/>
      <c r="G458" s="509"/>
      <c r="H458" s="546"/>
      <c r="I458" s="546"/>
      <c r="J458" s="251"/>
      <c r="K458" s="251"/>
      <c r="L458" s="509"/>
      <c r="M458" s="509"/>
      <c r="N458" s="509"/>
      <c r="O458" s="547"/>
      <c r="P458" s="200"/>
      <c r="Q458" s="174"/>
      <c r="R458" s="390"/>
      <c r="S458" s="510"/>
      <c r="T458" s="200"/>
      <c r="U458" s="174"/>
      <c r="V458" s="174"/>
      <c r="W458" s="510"/>
      <c r="X458" s="174"/>
      <c r="Y458" s="174"/>
      <c r="Z458" s="174"/>
      <c r="AA458" s="510"/>
      <c r="AB458" s="200"/>
      <c r="AC458" s="174"/>
      <c r="AD458" s="390"/>
      <c r="AE458" s="510"/>
      <c r="AF458" s="200"/>
      <c r="AG458" s="174"/>
      <c r="AH458" s="174"/>
      <c r="AI458" s="200"/>
      <c r="AJ458" s="548"/>
      <c r="AK458" s="200"/>
      <c r="AL458" s="174"/>
      <c r="AM458" s="390"/>
      <c r="AN458" s="510"/>
      <c r="AO458" s="200"/>
      <c r="AP458" s="174"/>
      <c r="AQ458" s="510"/>
      <c r="AR458" s="200"/>
      <c r="AS458" s="174"/>
      <c r="AT458" s="510"/>
      <c r="AU458" s="200"/>
      <c r="AV458" s="174"/>
      <c r="AW458" s="510"/>
      <c r="AX458" s="200"/>
      <c r="AY458" s="174"/>
      <c r="AZ458" s="510"/>
      <c r="BA458" s="174"/>
      <c r="BB458" s="174"/>
      <c r="BC458" s="174"/>
      <c r="BD458" s="174"/>
      <c r="BE458" s="174"/>
      <c r="BF458" s="510"/>
      <c r="BG458" s="174"/>
      <c r="BH458" s="174"/>
      <c r="BI458" s="174"/>
      <c r="BJ458" s="200"/>
      <c r="BK458" s="174"/>
      <c r="BL458" s="510"/>
      <c r="BM458" s="174"/>
      <c r="BN458" s="174"/>
      <c r="BO458" s="510"/>
      <c r="BP458" s="200"/>
      <c r="BQ458" s="447"/>
      <c r="BR458" s="510"/>
      <c r="BS458" s="174"/>
      <c r="BT458" s="174"/>
      <c r="BU458" s="510"/>
      <c r="BV458" s="200"/>
      <c r="BW458" s="174"/>
      <c r="BX458" s="510"/>
      <c r="BY458" s="174"/>
      <c r="BZ458" s="174"/>
      <c r="CA458" s="510"/>
      <c r="CB458" s="200"/>
      <c r="CC458" s="174"/>
      <c r="CD458" s="510"/>
      <c r="CE458" s="174"/>
      <c r="CF458" s="174"/>
      <c r="CG458" s="510"/>
      <c r="CH458" s="174"/>
      <c r="CI458" s="174"/>
      <c r="CJ458" s="174"/>
      <c r="CK458" s="174"/>
      <c r="CL458" s="174"/>
      <c r="CM458" s="510"/>
      <c r="CN458" s="174"/>
      <c r="CO458" s="549"/>
      <c r="CP458" s="510"/>
      <c r="CQ458" s="200"/>
      <c r="CR458" s="550"/>
      <c r="CS458" s="510"/>
      <c r="CT458" s="390"/>
      <c r="CU458" s="331"/>
      <c r="CV458" s="428"/>
      <c r="CW458" s="155"/>
      <c r="CX458" s="155"/>
      <c r="CY458" s="267"/>
      <c r="CZ458" s="323"/>
      <c r="DA458" s="323"/>
      <c r="DB458" s="423"/>
      <c r="DC458" s="155"/>
      <c r="DD458" s="155"/>
      <c r="DE458" s="267"/>
      <c r="DF458" s="323"/>
      <c r="DG458" s="323"/>
      <c r="DH458" s="428"/>
      <c r="DI458" s="155"/>
      <c r="DJ458" s="155"/>
      <c r="DK458" s="222"/>
      <c r="DL458" s="267"/>
      <c r="DM458" s="155"/>
      <c r="DN458" s="155"/>
      <c r="DO458" s="155"/>
      <c r="DP458" s="423"/>
      <c r="DQ458" s="155"/>
      <c r="DR458" s="155"/>
      <c r="DS458" s="222"/>
      <c r="DT458" s="267"/>
      <c r="DU458" s="174"/>
      <c r="DV458" s="174"/>
      <c r="DW458" s="200"/>
      <c r="DX458" s="428"/>
      <c r="DY458" s="155"/>
      <c r="DZ458" s="155"/>
      <c r="EA458" s="155"/>
      <c r="EB458" s="173"/>
      <c r="EC458" s="155"/>
      <c r="ED458" s="155"/>
      <c r="EE458" s="155"/>
      <c r="EF458" s="423"/>
      <c r="EG458" s="155"/>
      <c r="EH458" s="155"/>
      <c r="EI458" s="155"/>
      <c r="EJ458" s="267"/>
      <c r="EK458" s="155"/>
      <c r="EL458" s="155"/>
      <c r="EM458" s="155"/>
      <c r="EN458" s="428"/>
    </row>
    <row r="459" spans="1:144">
      <c r="A459" s="360"/>
      <c r="B459" s="172"/>
      <c r="C459" s="360"/>
      <c r="D459" s="172"/>
      <c r="E459" s="408"/>
      <c r="F459" s="408"/>
      <c r="G459" s="509"/>
      <c r="H459" s="546"/>
      <c r="I459" s="546"/>
      <c r="J459" s="251"/>
      <c r="K459" s="251"/>
      <c r="L459" s="509"/>
      <c r="M459" s="509"/>
      <c r="N459" s="509"/>
      <c r="O459" s="547"/>
      <c r="P459" s="200"/>
      <c r="Q459" s="174"/>
      <c r="R459" s="390"/>
      <c r="S459" s="510"/>
      <c r="T459" s="200"/>
      <c r="U459" s="174"/>
      <c r="V459" s="174"/>
      <c r="W459" s="510"/>
      <c r="X459" s="174"/>
      <c r="Y459" s="174"/>
      <c r="Z459" s="174"/>
      <c r="AA459" s="510"/>
      <c r="AB459" s="200"/>
      <c r="AC459" s="174"/>
      <c r="AD459" s="390"/>
      <c r="AE459" s="510"/>
      <c r="AF459" s="200"/>
      <c r="AG459" s="174"/>
      <c r="AH459" s="174"/>
      <c r="AI459" s="200"/>
      <c r="AJ459" s="548"/>
      <c r="AK459" s="200"/>
      <c r="AL459" s="174"/>
      <c r="AM459" s="390"/>
      <c r="AN459" s="510"/>
      <c r="AO459" s="200"/>
      <c r="AP459" s="174"/>
      <c r="AQ459" s="510"/>
      <c r="AR459" s="200"/>
      <c r="AS459" s="174"/>
      <c r="AT459" s="510"/>
      <c r="AU459" s="200"/>
      <c r="AV459" s="174"/>
      <c r="AW459" s="510"/>
      <c r="AX459" s="200"/>
      <c r="AY459" s="174"/>
      <c r="AZ459" s="510"/>
      <c r="BA459" s="174"/>
      <c r="BB459" s="174"/>
      <c r="BC459" s="174"/>
      <c r="BD459" s="174"/>
      <c r="BE459" s="174"/>
      <c r="BF459" s="510"/>
      <c r="BG459" s="174"/>
      <c r="BH459" s="174"/>
      <c r="BI459" s="174"/>
      <c r="BJ459" s="200"/>
      <c r="BK459" s="174"/>
      <c r="BL459" s="510"/>
      <c r="BM459" s="174"/>
      <c r="BN459" s="174"/>
      <c r="BO459" s="510"/>
      <c r="BP459" s="200"/>
      <c r="BQ459" s="447"/>
      <c r="BR459" s="510"/>
      <c r="BS459" s="174"/>
      <c r="BT459" s="174"/>
      <c r="BU459" s="510"/>
      <c r="BV459" s="200"/>
      <c r="BW459" s="174"/>
      <c r="BX459" s="510"/>
      <c r="BY459" s="174"/>
      <c r="BZ459" s="174"/>
      <c r="CA459" s="510"/>
      <c r="CB459" s="200"/>
      <c r="CC459" s="174"/>
      <c r="CD459" s="510"/>
      <c r="CE459" s="174"/>
      <c r="CF459" s="174"/>
      <c r="CG459" s="510"/>
      <c r="CH459" s="174"/>
      <c r="CI459" s="174"/>
      <c r="CJ459" s="174"/>
      <c r="CK459" s="174"/>
      <c r="CL459" s="174"/>
      <c r="CM459" s="510"/>
      <c r="CN459" s="174"/>
      <c r="CO459" s="549"/>
      <c r="CP459" s="510"/>
      <c r="CQ459" s="200"/>
      <c r="CR459" s="550"/>
      <c r="CS459" s="510"/>
      <c r="CT459" s="390"/>
      <c r="CU459" s="331"/>
      <c r="CV459" s="428"/>
      <c r="CW459" s="155"/>
      <c r="CX459" s="155"/>
      <c r="CY459" s="267"/>
      <c r="CZ459" s="323"/>
      <c r="DA459" s="323"/>
      <c r="DB459" s="423"/>
      <c r="DC459" s="155"/>
      <c r="DD459" s="155"/>
      <c r="DE459" s="267"/>
      <c r="DF459" s="323"/>
      <c r="DG459" s="323"/>
      <c r="DH459" s="428"/>
      <c r="DI459" s="155"/>
      <c r="DJ459" s="155"/>
      <c r="DK459" s="222"/>
      <c r="DL459" s="267"/>
      <c r="DM459" s="155"/>
      <c r="DN459" s="155"/>
      <c r="DO459" s="155"/>
      <c r="DP459" s="423"/>
      <c r="DQ459" s="155"/>
      <c r="DR459" s="155"/>
      <c r="DS459" s="222"/>
      <c r="DT459" s="267"/>
      <c r="DU459" s="174"/>
      <c r="DV459" s="174"/>
      <c r="DW459" s="200"/>
      <c r="DX459" s="428"/>
      <c r="DY459" s="155"/>
      <c r="DZ459" s="155"/>
      <c r="EA459" s="155"/>
      <c r="EB459" s="173"/>
      <c r="EC459" s="155"/>
      <c r="ED459" s="155"/>
      <c r="EE459" s="155"/>
      <c r="EF459" s="423"/>
      <c r="EG459" s="155"/>
      <c r="EH459" s="155"/>
      <c r="EI459" s="155"/>
      <c r="EJ459" s="267"/>
      <c r="EK459" s="155"/>
      <c r="EL459" s="155"/>
      <c r="EM459" s="155"/>
      <c r="EN459" s="428"/>
    </row>
    <row r="460" spans="1:144">
      <c r="A460" s="360"/>
      <c r="B460" s="172"/>
      <c r="C460" s="360"/>
      <c r="D460" s="172"/>
      <c r="E460" s="408"/>
      <c r="F460" s="408"/>
      <c r="G460" s="509"/>
      <c r="H460" s="546"/>
      <c r="I460" s="546"/>
      <c r="J460" s="251"/>
      <c r="K460" s="251"/>
      <c r="L460" s="509"/>
      <c r="M460" s="509"/>
      <c r="N460" s="509"/>
      <c r="O460" s="547"/>
      <c r="P460" s="200"/>
      <c r="Q460" s="174"/>
      <c r="R460" s="390"/>
      <c r="S460" s="510"/>
      <c r="T460" s="200"/>
      <c r="U460" s="174"/>
      <c r="V460" s="174"/>
      <c r="W460" s="510"/>
      <c r="X460" s="174"/>
      <c r="Y460" s="174"/>
      <c r="Z460" s="174"/>
      <c r="AA460" s="510"/>
      <c r="AB460" s="200"/>
      <c r="AC460" s="174"/>
      <c r="AD460" s="390"/>
      <c r="AE460" s="510"/>
      <c r="AF460" s="200"/>
      <c r="AG460" s="174"/>
      <c r="AH460" s="174"/>
      <c r="AI460" s="200"/>
      <c r="AJ460" s="548"/>
      <c r="AK460" s="200"/>
      <c r="AL460" s="174"/>
      <c r="AM460" s="390"/>
      <c r="AN460" s="510"/>
      <c r="AO460" s="200"/>
      <c r="AP460" s="174"/>
      <c r="AQ460" s="510"/>
      <c r="AR460" s="200"/>
      <c r="AS460" s="174"/>
      <c r="AT460" s="510"/>
      <c r="AU460" s="200"/>
      <c r="AV460" s="174"/>
      <c r="AW460" s="510"/>
      <c r="AX460" s="200"/>
      <c r="AY460" s="174"/>
      <c r="AZ460" s="510"/>
      <c r="BA460" s="174"/>
      <c r="BB460" s="174"/>
      <c r="BC460" s="174"/>
      <c r="BD460" s="174"/>
      <c r="BE460" s="174"/>
      <c r="BF460" s="510"/>
      <c r="BG460" s="174"/>
      <c r="BH460" s="174"/>
      <c r="BI460" s="174"/>
      <c r="BJ460" s="200"/>
      <c r="BK460" s="174"/>
      <c r="BL460" s="510"/>
      <c r="BM460" s="174"/>
      <c r="BN460" s="174"/>
      <c r="BO460" s="510"/>
      <c r="BP460" s="200"/>
      <c r="BQ460" s="447"/>
      <c r="BR460" s="510"/>
      <c r="BS460" s="174"/>
      <c r="BT460" s="174"/>
      <c r="BU460" s="510"/>
      <c r="BV460" s="200"/>
      <c r="BW460" s="174"/>
      <c r="BX460" s="510"/>
      <c r="BY460" s="174"/>
      <c r="BZ460" s="174"/>
      <c r="CA460" s="510"/>
      <c r="CB460" s="200"/>
      <c r="CC460" s="174"/>
      <c r="CD460" s="510"/>
      <c r="CE460" s="174"/>
      <c r="CF460" s="174"/>
      <c r="CG460" s="510"/>
      <c r="CH460" s="174"/>
      <c r="CI460" s="174"/>
      <c r="CJ460" s="174"/>
      <c r="CK460" s="174"/>
      <c r="CL460" s="174"/>
      <c r="CM460" s="510"/>
      <c r="CN460" s="174"/>
      <c r="CO460" s="549"/>
      <c r="CP460" s="510"/>
      <c r="CQ460" s="200"/>
      <c r="CR460" s="550"/>
      <c r="CS460" s="510"/>
      <c r="CT460" s="390"/>
      <c r="CU460" s="331"/>
      <c r="CV460" s="428"/>
      <c r="CW460" s="155"/>
      <c r="CX460" s="155"/>
      <c r="CY460" s="267"/>
      <c r="CZ460" s="323"/>
      <c r="DA460" s="323"/>
      <c r="DB460" s="423"/>
      <c r="DC460" s="155"/>
      <c r="DD460" s="155"/>
      <c r="DE460" s="267"/>
      <c r="DF460" s="323"/>
      <c r="DG460" s="323"/>
      <c r="DH460" s="428"/>
      <c r="DI460" s="155"/>
      <c r="DJ460" s="155"/>
      <c r="DK460" s="222"/>
      <c r="DL460" s="267"/>
      <c r="DM460" s="155"/>
      <c r="DN460" s="155"/>
      <c r="DO460" s="155"/>
      <c r="DP460" s="423"/>
      <c r="DQ460" s="155"/>
      <c r="DR460" s="155"/>
      <c r="DS460" s="222"/>
      <c r="DT460" s="267"/>
      <c r="DU460" s="174"/>
      <c r="DV460" s="174"/>
      <c r="DW460" s="200"/>
      <c r="DX460" s="428"/>
      <c r="DY460" s="155"/>
      <c r="DZ460" s="155"/>
      <c r="EA460" s="155"/>
      <c r="EB460" s="173"/>
      <c r="EC460" s="155"/>
      <c r="ED460" s="155"/>
      <c r="EE460" s="155"/>
      <c r="EF460" s="423"/>
      <c r="EG460" s="155"/>
      <c r="EH460" s="155"/>
      <c r="EI460" s="155"/>
      <c r="EJ460" s="267"/>
      <c r="EK460" s="155"/>
      <c r="EL460" s="155"/>
      <c r="EM460" s="155"/>
      <c r="EN460" s="428"/>
    </row>
    <row r="461" spans="1:144">
      <c r="A461" s="360"/>
      <c r="B461" s="172"/>
      <c r="C461" s="360"/>
      <c r="D461" s="172"/>
      <c r="E461" s="408"/>
      <c r="F461" s="408"/>
      <c r="G461" s="509"/>
      <c r="H461" s="546"/>
      <c r="I461" s="546"/>
      <c r="J461" s="251"/>
      <c r="K461" s="251"/>
      <c r="L461" s="509"/>
      <c r="M461" s="509"/>
      <c r="N461" s="509"/>
      <c r="O461" s="547"/>
      <c r="P461" s="200"/>
      <c r="Q461" s="174"/>
      <c r="R461" s="390"/>
      <c r="S461" s="510"/>
      <c r="T461" s="200"/>
      <c r="U461" s="174"/>
      <c r="V461" s="174"/>
      <c r="W461" s="510"/>
      <c r="X461" s="174"/>
      <c r="Y461" s="174"/>
      <c r="Z461" s="174"/>
      <c r="AA461" s="510"/>
      <c r="AB461" s="200"/>
      <c r="AC461" s="174"/>
      <c r="AD461" s="390"/>
      <c r="AE461" s="510"/>
      <c r="AF461" s="200"/>
      <c r="AG461" s="174"/>
      <c r="AH461" s="174"/>
      <c r="AI461" s="200"/>
      <c r="AJ461" s="548"/>
      <c r="AK461" s="200"/>
      <c r="AL461" s="174"/>
      <c r="AM461" s="390"/>
      <c r="AN461" s="510"/>
      <c r="AO461" s="200"/>
      <c r="AP461" s="174"/>
      <c r="AQ461" s="510"/>
      <c r="AR461" s="200"/>
      <c r="AS461" s="174"/>
      <c r="AT461" s="510"/>
      <c r="AU461" s="200"/>
      <c r="AV461" s="174"/>
      <c r="AW461" s="510"/>
      <c r="AX461" s="200"/>
      <c r="AY461" s="174"/>
      <c r="AZ461" s="510"/>
      <c r="BA461" s="174"/>
      <c r="BB461" s="174"/>
      <c r="BC461" s="174"/>
      <c r="BD461" s="174"/>
      <c r="BE461" s="174"/>
      <c r="BF461" s="510"/>
      <c r="BG461" s="174"/>
      <c r="BH461" s="174"/>
      <c r="BI461" s="174"/>
      <c r="BJ461" s="200"/>
      <c r="BK461" s="174"/>
      <c r="BL461" s="510"/>
      <c r="BM461" s="174"/>
      <c r="BN461" s="174"/>
      <c r="BO461" s="510"/>
      <c r="BP461" s="200"/>
      <c r="BQ461" s="447"/>
      <c r="BR461" s="510"/>
      <c r="BS461" s="174"/>
      <c r="BT461" s="174"/>
      <c r="BU461" s="510"/>
      <c r="BV461" s="200"/>
      <c r="BW461" s="174"/>
      <c r="BX461" s="510"/>
      <c r="BY461" s="174"/>
      <c r="BZ461" s="174"/>
      <c r="CA461" s="510"/>
      <c r="CB461" s="200"/>
      <c r="CC461" s="174"/>
      <c r="CD461" s="510"/>
      <c r="CE461" s="174"/>
      <c r="CF461" s="174"/>
      <c r="CG461" s="510"/>
      <c r="CH461" s="174"/>
      <c r="CI461" s="174"/>
      <c r="CJ461" s="174"/>
      <c r="CK461" s="174"/>
      <c r="CL461" s="174"/>
      <c r="CM461" s="510"/>
      <c r="CN461" s="174"/>
      <c r="CO461" s="549"/>
      <c r="CP461" s="510"/>
      <c r="CQ461" s="200"/>
      <c r="CR461" s="550"/>
      <c r="CS461" s="510"/>
      <c r="CT461" s="390"/>
      <c r="CU461" s="331"/>
      <c r="CV461" s="428"/>
      <c r="CW461" s="155"/>
      <c r="CX461" s="155"/>
      <c r="CY461" s="267"/>
      <c r="CZ461" s="323"/>
      <c r="DA461" s="323"/>
      <c r="DB461" s="423"/>
      <c r="DC461" s="155"/>
      <c r="DD461" s="155"/>
      <c r="DE461" s="267"/>
      <c r="DF461" s="323"/>
      <c r="DG461" s="323"/>
      <c r="DH461" s="428"/>
      <c r="DI461" s="155"/>
      <c r="DJ461" s="155"/>
      <c r="DK461" s="222"/>
      <c r="DL461" s="267"/>
      <c r="DM461" s="155"/>
      <c r="DN461" s="155"/>
      <c r="DO461" s="155"/>
      <c r="DP461" s="423"/>
      <c r="DQ461" s="155"/>
      <c r="DR461" s="155"/>
      <c r="DS461" s="222"/>
      <c r="DT461" s="267"/>
      <c r="DU461" s="174"/>
      <c r="DV461" s="174"/>
      <c r="DW461" s="200"/>
      <c r="DX461" s="428"/>
      <c r="DY461" s="155"/>
      <c r="DZ461" s="155"/>
      <c r="EA461" s="155"/>
      <c r="EB461" s="173"/>
      <c r="EC461" s="155"/>
      <c r="ED461" s="155"/>
      <c r="EE461" s="155"/>
      <c r="EF461" s="423"/>
      <c r="EG461" s="155"/>
      <c r="EH461" s="155"/>
      <c r="EI461" s="155"/>
      <c r="EJ461" s="267"/>
      <c r="EK461" s="155"/>
      <c r="EL461" s="155"/>
      <c r="EM461" s="155"/>
      <c r="EN461" s="428"/>
    </row>
    <row r="462" spans="1:144">
      <c r="A462" s="360"/>
      <c r="B462" s="172"/>
      <c r="C462" s="360"/>
      <c r="D462" s="172"/>
      <c r="E462" s="408"/>
      <c r="F462" s="408"/>
      <c r="G462" s="509"/>
      <c r="H462" s="546"/>
      <c r="I462" s="546"/>
      <c r="J462" s="251"/>
      <c r="K462" s="251"/>
      <c r="L462" s="509"/>
      <c r="M462" s="509"/>
      <c r="N462" s="509"/>
      <c r="O462" s="547"/>
      <c r="P462" s="200"/>
      <c r="Q462" s="174"/>
      <c r="R462" s="390"/>
      <c r="S462" s="510"/>
      <c r="T462" s="200"/>
      <c r="U462" s="174"/>
      <c r="V462" s="174"/>
      <c r="W462" s="510"/>
      <c r="X462" s="174"/>
      <c r="Y462" s="174"/>
      <c r="Z462" s="174"/>
      <c r="AA462" s="510"/>
      <c r="AB462" s="200"/>
      <c r="AC462" s="174"/>
      <c r="AD462" s="390"/>
      <c r="AE462" s="510"/>
      <c r="AF462" s="200"/>
      <c r="AG462" s="174"/>
      <c r="AH462" s="174"/>
      <c r="AI462" s="200"/>
      <c r="AJ462" s="548"/>
      <c r="AK462" s="200"/>
      <c r="AL462" s="174"/>
      <c r="AM462" s="390"/>
      <c r="AN462" s="510"/>
      <c r="AO462" s="200"/>
      <c r="AP462" s="174"/>
      <c r="AQ462" s="510"/>
      <c r="AR462" s="200"/>
      <c r="AS462" s="174"/>
      <c r="AT462" s="510"/>
      <c r="AU462" s="200"/>
      <c r="AV462" s="174"/>
      <c r="AW462" s="510"/>
      <c r="AX462" s="200"/>
      <c r="AY462" s="174"/>
      <c r="AZ462" s="510"/>
      <c r="BA462" s="174"/>
      <c r="BB462" s="174"/>
      <c r="BC462" s="174"/>
      <c r="BD462" s="174"/>
      <c r="BE462" s="174"/>
      <c r="BF462" s="510"/>
      <c r="BG462" s="174"/>
      <c r="BH462" s="174"/>
      <c r="BI462" s="174"/>
      <c r="BJ462" s="200"/>
      <c r="BK462" s="174"/>
      <c r="BL462" s="510"/>
      <c r="BM462" s="174"/>
      <c r="BN462" s="174"/>
      <c r="BO462" s="510"/>
      <c r="BP462" s="200"/>
      <c r="BQ462" s="447"/>
      <c r="BR462" s="510"/>
      <c r="BS462" s="174"/>
      <c r="BT462" s="174"/>
      <c r="BU462" s="510"/>
      <c r="BV462" s="200"/>
      <c r="BW462" s="174"/>
      <c r="BX462" s="510"/>
      <c r="BY462" s="174"/>
      <c r="BZ462" s="174"/>
      <c r="CA462" s="510"/>
      <c r="CB462" s="200"/>
      <c r="CC462" s="174"/>
      <c r="CD462" s="510"/>
      <c r="CE462" s="174"/>
      <c r="CF462" s="174"/>
      <c r="CG462" s="510"/>
      <c r="CH462" s="174"/>
      <c r="CI462" s="174"/>
      <c r="CJ462" s="174"/>
      <c r="CK462" s="174"/>
      <c r="CL462" s="174"/>
      <c r="CM462" s="510"/>
      <c r="CN462" s="174"/>
      <c r="CO462" s="549"/>
      <c r="CP462" s="510"/>
      <c r="CQ462" s="200"/>
      <c r="CR462" s="550"/>
      <c r="CS462" s="510"/>
      <c r="CT462" s="390"/>
      <c r="CU462" s="331"/>
      <c r="CV462" s="428"/>
      <c r="CW462" s="155"/>
      <c r="CX462" s="155"/>
      <c r="CY462" s="267"/>
      <c r="CZ462" s="323"/>
      <c r="DA462" s="323"/>
      <c r="DB462" s="423"/>
      <c r="DC462" s="155"/>
      <c r="DD462" s="155"/>
      <c r="DE462" s="267"/>
      <c r="DF462" s="323"/>
      <c r="DG462" s="323"/>
      <c r="DH462" s="428"/>
      <c r="DI462" s="155"/>
      <c r="DJ462" s="155"/>
      <c r="DK462" s="222"/>
      <c r="DL462" s="267"/>
      <c r="DM462" s="155"/>
      <c r="DN462" s="155"/>
      <c r="DO462" s="155"/>
      <c r="DP462" s="423"/>
      <c r="DQ462" s="155"/>
      <c r="DR462" s="155"/>
      <c r="DS462" s="222"/>
      <c r="DT462" s="267"/>
      <c r="DU462" s="174"/>
      <c r="DV462" s="174"/>
      <c r="DW462" s="200"/>
      <c r="DX462" s="428"/>
      <c r="DY462" s="155"/>
      <c r="DZ462" s="155"/>
      <c r="EA462" s="155"/>
      <c r="EB462" s="173"/>
      <c r="EC462" s="155"/>
      <c r="ED462" s="155"/>
      <c r="EE462" s="155"/>
      <c r="EF462" s="423"/>
      <c r="EG462" s="155"/>
      <c r="EH462" s="155"/>
      <c r="EI462" s="155"/>
      <c r="EJ462" s="267"/>
      <c r="EK462" s="155"/>
      <c r="EL462" s="155"/>
      <c r="EM462" s="155"/>
      <c r="EN462" s="428"/>
    </row>
    <row r="463" spans="1:144">
      <c r="A463" s="360"/>
      <c r="B463" s="172"/>
      <c r="C463" s="360"/>
      <c r="D463" s="172"/>
      <c r="E463" s="408"/>
      <c r="F463" s="408"/>
      <c r="G463" s="509"/>
      <c r="H463" s="546"/>
      <c r="I463" s="546"/>
      <c r="J463" s="251"/>
      <c r="K463" s="251"/>
      <c r="L463" s="509"/>
      <c r="M463" s="509"/>
      <c r="N463" s="509"/>
      <c r="O463" s="547"/>
      <c r="P463" s="200"/>
      <c r="Q463" s="174"/>
      <c r="R463" s="390"/>
      <c r="S463" s="510"/>
      <c r="T463" s="200"/>
      <c r="U463" s="174"/>
      <c r="V463" s="174"/>
      <c r="W463" s="510"/>
      <c r="X463" s="174"/>
      <c r="Y463" s="174"/>
      <c r="Z463" s="174"/>
      <c r="AA463" s="510"/>
      <c r="AB463" s="200"/>
      <c r="AC463" s="174"/>
      <c r="AD463" s="390"/>
      <c r="AE463" s="510"/>
      <c r="AF463" s="200"/>
      <c r="AG463" s="174"/>
      <c r="AH463" s="174"/>
      <c r="AI463" s="200"/>
      <c r="AJ463" s="548"/>
      <c r="AK463" s="200"/>
      <c r="AL463" s="174"/>
      <c r="AM463" s="390"/>
      <c r="AN463" s="510"/>
      <c r="AO463" s="200"/>
      <c r="AP463" s="174"/>
      <c r="AQ463" s="510"/>
      <c r="AR463" s="200"/>
      <c r="AS463" s="174"/>
      <c r="AT463" s="510"/>
      <c r="AU463" s="200"/>
      <c r="AV463" s="174"/>
      <c r="AW463" s="510"/>
      <c r="AX463" s="200"/>
      <c r="AY463" s="174"/>
      <c r="AZ463" s="510"/>
      <c r="BA463" s="174"/>
      <c r="BB463" s="174"/>
      <c r="BC463" s="174"/>
      <c r="BD463" s="174"/>
      <c r="BE463" s="174"/>
      <c r="BF463" s="510"/>
      <c r="BG463" s="174"/>
      <c r="BH463" s="174"/>
      <c r="BI463" s="174"/>
      <c r="BJ463" s="200"/>
      <c r="BK463" s="174"/>
      <c r="BL463" s="510"/>
      <c r="BM463" s="174"/>
      <c r="BN463" s="174"/>
      <c r="BO463" s="510"/>
      <c r="BP463" s="200"/>
      <c r="BQ463" s="447"/>
      <c r="BR463" s="510"/>
      <c r="BS463" s="174"/>
      <c r="BT463" s="174"/>
      <c r="BU463" s="510"/>
      <c r="BV463" s="200"/>
      <c r="BW463" s="174"/>
      <c r="BX463" s="510"/>
      <c r="BY463" s="174"/>
      <c r="BZ463" s="174"/>
      <c r="CA463" s="510"/>
      <c r="CB463" s="200"/>
      <c r="CC463" s="174"/>
      <c r="CD463" s="510"/>
      <c r="CE463" s="174"/>
      <c r="CF463" s="174"/>
      <c r="CG463" s="510"/>
      <c r="CH463" s="174"/>
      <c r="CI463" s="174"/>
      <c r="CJ463" s="174"/>
      <c r="CK463" s="174"/>
      <c r="CL463" s="174"/>
      <c r="CM463" s="510"/>
      <c r="CN463" s="174"/>
      <c r="CO463" s="549"/>
      <c r="CP463" s="510"/>
      <c r="CQ463" s="200"/>
      <c r="CR463" s="550"/>
      <c r="CS463" s="510"/>
      <c r="CT463" s="390"/>
      <c r="CU463" s="331"/>
      <c r="CV463" s="428"/>
      <c r="CW463" s="155"/>
      <c r="CX463" s="155"/>
      <c r="CY463" s="267"/>
      <c r="CZ463" s="323"/>
      <c r="DA463" s="323"/>
      <c r="DB463" s="423"/>
      <c r="DC463" s="155"/>
      <c r="DD463" s="155"/>
      <c r="DE463" s="267"/>
      <c r="DF463" s="323"/>
      <c r="DG463" s="323"/>
      <c r="DH463" s="428"/>
      <c r="DI463" s="155"/>
      <c r="DJ463" s="155"/>
      <c r="DK463" s="222"/>
      <c r="DL463" s="267"/>
      <c r="DM463" s="155"/>
      <c r="DN463" s="155"/>
      <c r="DO463" s="155"/>
      <c r="DP463" s="423"/>
      <c r="DQ463" s="155"/>
      <c r="DR463" s="155"/>
      <c r="DS463" s="222"/>
      <c r="DT463" s="267"/>
      <c r="DU463" s="174"/>
      <c r="DV463" s="174"/>
      <c r="DW463" s="200"/>
      <c r="DX463" s="428"/>
      <c r="DY463" s="155"/>
      <c r="DZ463" s="155"/>
      <c r="EA463" s="155"/>
      <c r="EB463" s="173"/>
      <c r="EC463" s="155"/>
      <c r="ED463" s="155"/>
      <c r="EE463" s="155"/>
      <c r="EF463" s="423"/>
      <c r="EG463" s="155"/>
      <c r="EH463" s="155"/>
      <c r="EI463" s="155"/>
      <c r="EJ463" s="267"/>
      <c r="EK463" s="155"/>
      <c r="EL463" s="155"/>
      <c r="EM463" s="155"/>
      <c r="EN463" s="428"/>
    </row>
    <row r="464" spans="1:144">
      <c r="A464" s="360"/>
      <c r="B464" s="172"/>
      <c r="C464" s="360"/>
      <c r="D464" s="172"/>
      <c r="E464" s="408"/>
      <c r="F464" s="408"/>
      <c r="G464" s="509"/>
      <c r="H464" s="546"/>
      <c r="I464" s="546"/>
      <c r="J464" s="251"/>
      <c r="K464" s="251"/>
      <c r="L464" s="509"/>
      <c r="M464" s="509"/>
      <c r="N464" s="509"/>
      <c r="O464" s="547"/>
      <c r="P464" s="200"/>
      <c r="Q464" s="174"/>
      <c r="R464" s="390"/>
      <c r="S464" s="510"/>
      <c r="T464" s="200"/>
      <c r="U464" s="174"/>
      <c r="V464" s="174"/>
      <c r="W464" s="510"/>
      <c r="X464" s="174"/>
      <c r="Y464" s="174"/>
      <c r="Z464" s="174"/>
      <c r="AA464" s="510"/>
      <c r="AB464" s="200"/>
      <c r="AC464" s="174"/>
      <c r="AD464" s="390"/>
      <c r="AE464" s="510"/>
      <c r="AF464" s="200"/>
      <c r="AG464" s="174"/>
      <c r="AH464" s="174"/>
      <c r="AI464" s="200"/>
      <c r="AJ464" s="548"/>
      <c r="AK464" s="200"/>
      <c r="AL464" s="174"/>
      <c r="AM464" s="390"/>
      <c r="AN464" s="510"/>
      <c r="AO464" s="200"/>
      <c r="AP464" s="174"/>
      <c r="AQ464" s="510"/>
      <c r="AR464" s="200"/>
      <c r="AS464" s="174"/>
      <c r="AT464" s="510"/>
      <c r="AU464" s="200"/>
      <c r="AV464" s="174"/>
      <c r="AW464" s="510"/>
      <c r="AX464" s="200"/>
      <c r="AY464" s="174"/>
      <c r="AZ464" s="510"/>
      <c r="BA464" s="174"/>
      <c r="BB464" s="174"/>
      <c r="BC464" s="174"/>
      <c r="BD464" s="174"/>
      <c r="BE464" s="174"/>
      <c r="BF464" s="510"/>
      <c r="BG464" s="174"/>
      <c r="BH464" s="174"/>
      <c r="BI464" s="174"/>
      <c r="BJ464" s="200"/>
      <c r="BK464" s="174"/>
      <c r="BL464" s="510"/>
      <c r="BM464" s="174"/>
      <c r="BN464" s="174"/>
      <c r="BO464" s="510"/>
      <c r="BP464" s="200"/>
      <c r="BQ464" s="447"/>
      <c r="BR464" s="510"/>
      <c r="BS464" s="174"/>
      <c r="BT464" s="174"/>
      <c r="BU464" s="510"/>
      <c r="BV464" s="200"/>
      <c r="BW464" s="174"/>
      <c r="BX464" s="510"/>
      <c r="BY464" s="174"/>
      <c r="BZ464" s="174"/>
      <c r="CA464" s="510"/>
      <c r="CB464" s="200"/>
      <c r="CC464" s="174"/>
      <c r="CD464" s="510"/>
      <c r="CE464" s="174"/>
      <c r="CF464" s="174"/>
      <c r="CG464" s="510"/>
      <c r="CH464" s="174"/>
      <c r="CI464" s="174"/>
      <c r="CJ464" s="174"/>
      <c r="CK464" s="174"/>
      <c r="CL464" s="174"/>
      <c r="CM464" s="510"/>
      <c r="CN464" s="174"/>
      <c r="CO464" s="549"/>
      <c r="CP464" s="510"/>
      <c r="CQ464" s="200"/>
      <c r="CR464" s="550"/>
      <c r="CS464" s="510"/>
      <c r="CT464" s="390"/>
      <c r="CU464" s="331"/>
      <c r="CV464" s="428"/>
      <c r="CW464" s="155"/>
      <c r="CX464" s="155"/>
      <c r="CY464" s="267"/>
      <c r="CZ464" s="323"/>
      <c r="DA464" s="323"/>
      <c r="DB464" s="423"/>
      <c r="DC464" s="155"/>
      <c r="DD464" s="155"/>
      <c r="DE464" s="267"/>
      <c r="DF464" s="323"/>
      <c r="DG464" s="323"/>
      <c r="DH464" s="428"/>
      <c r="DI464" s="155"/>
      <c r="DJ464" s="155"/>
      <c r="DK464" s="222"/>
      <c r="DL464" s="267"/>
      <c r="DM464" s="155"/>
      <c r="DN464" s="155"/>
      <c r="DO464" s="155"/>
      <c r="DP464" s="423"/>
      <c r="DQ464" s="155"/>
      <c r="DR464" s="155"/>
      <c r="DS464" s="222"/>
      <c r="DT464" s="267"/>
      <c r="DU464" s="174"/>
      <c r="DV464" s="174"/>
      <c r="DW464" s="200"/>
      <c r="DX464" s="428"/>
      <c r="DY464" s="155"/>
      <c r="DZ464" s="155"/>
      <c r="EA464" s="155"/>
      <c r="EB464" s="173"/>
      <c r="EC464" s="155"/>
      <c r="ED464" s="155"/>
      <c r="EE464" s="155"/>
      <c r="EF464" s="423"/>
      <c r="EG464" s="155"/>
      <c r="EH464" s="155"/>
      <c r="EI464" s="155"/>
      <c r="EJ464" s="267"/>
      <c r="EK464" s="155"/>
      <c r="EL464" s="155"/>
      <c r="EM464" s="155"/>
      <c r="EN464" s="428"/>
    </row>
    <row r="465" spans="1:144">
      <c r="A465" s="360"/>
      <c r="B465" s="172"/>
      <c r="C465" s="360"/>
      <c r="D465" s="172"/>
      <c r="E465" s="408"/>
      <c r="F465" s="408"/>
      <c r="G465" s="509"/>
      <c r="H465" s="546"/>
      <c r="I465" s="546"/>
      <c r="J465" s="251"/>
      <c r="K465" s="251"/>
      <c r="L465" s="509"/>
      <c r="M465" s="509"/>
      <c r="N465" s="509"/>
      <c r="O465" s="547"/>
      <c r="P465" s="200"/>
      <c r="Q465" s="174"/>
      <c r="R465" s="390"/>
      <c r="S465" s="510"/>
      <c r="T465" s="200"/>
      <c r="U465" s="174"/>
      <c r="V465" s="174"/>
      <c r="W465" s="510"/>
      <c r="X465" s="174"/>
      <c r="Y465" s="174"/>
      <c r="Z465" s="174"/>
      <c r="AA465" s="510"/>
      <c r="AB465" s="200"/>
      <c r="AC465" s="174"/>
      <c r="AD465" s="390"/>
      <c r="AE465" s="510"/>
      <c r="AF465" s="200"/>
      <c r="AG465" s="174"/>
      <c r="AH465" s="174"/>
      <c r="AI465" s="200"/>
      <c r="AJ465" s="548"/>
      <c r="AK465" s="200"/>
      <c r="AL465" s="174"/>
      <c r="AM465" s="390"/>
      <c r="AN465" s="510"/>
      <c r="AO465" s="200"/>
      <c r="AP465" s="174"/>
      <c r="AQ465" s="510"/>
      <c r="AR465" s="200"/>
      <c r="AS465" s="174"/>
      <c r="AT465" s="510"/>
      <c r="AU465" s="200"/>
      <c r="AV465" s="174"/>
      <c r="AW465" s="510"/>
      <c r="AX465" s="200"/>
      <c r="AY465" s="174"/>
      <c r="AZ465" s="510"/>
      <c r="BA465" s="174"/>
      <c r="BB465" s="174"/>
      <c r="BC465" s="174"/>
      <c r="BD465" s="174"/>
      <c r="BE465" s="174"/>
      <c r="BF465" s="510"/>
      <c r="BG465" s="174"/>
      <c r="BH465" s="174"/>
      <c r="BI465" s="174"/>
      <c r="BJ465" s="200"/>
      <c r="BK465" s="174"/>
      <c r="BL465" s="510"/>
      <c r="BM465" s="174"/>
      <c r="BN465" s="174"/>
      <c r="BO465" s="510"/>
      <c r="BP465" s="200"/>
      <c r="BQ465" s="447"/>
      <c r="BR465" s="510"/>
      <c r="BS465" s="174"/>
      <c r="BT465" s="174"/>
      <c r="BU465" s="510"/>
      <c r="BV465" s="200"/>
      <c r="BW465" s="174"/>
      <c r="BX465" s="510"/>
      <c r="BY465" s="174"/>
      <c r="BZ465" s="174"/>
      <c r="CA465" s="510"/>
      <c r="CB465" s="200"/>
      <c r="CC465" s="174"/>
      <c r="CD465" s="510"/>
      <c r="CE465" s="174"/>
      <c r="CF465" s="174"/>
      <c r="CG465" s="510"/>
      <c r="CH465" s="174"/>
      <c r="CI465" s="174"/>
      <c r="CJ465" s="174"/>
      <c r="CK465" s="174"/>
      <c r="CL465" s="174"/>
      <c r="CM465" s="510"/>
      <c r="CN465" s="174"/>
      <c r="CO465" s="549"/>
      <c r="CP465" s="510"/>
      <c r="CQ465" s="200"/>
      <c r="CR465" s="550"/>
      <c r="CS465" s="510"/>
      <c r="CT465" s="390"/>
      <c r="CU465" s="331"/>
      <c r="CV465" s="428"/>
      <c r="CW465" s="155"/>
      <c r="CX465" s="155"/>
      <c r="CY465" s="267"/>
      <c r="CZ465" s="323"/>
      <c r="DA465" s="323"/>
      <c r="DB465" s="423"/>
      <c r="DC465" s="155"/>
      <c r="DD465" s="155"/>
      <c r="DE465" s="267"/>
      <c r="DF465" s="323"/>
      <c r="DG465" s="323"/>
      <c r="DH465" s="428"/>
      <c r="DI465" s="155"/>
      <c r="DJ465" s="155"/>
      <c r="DK465" s="222"/>
      <c r="DL465" s="267"/>
      <c r="DM465" s="155"/>
      <c r="DN465" s="155"/>
      <c r="DO465" s="155"/>
      <c r="DP465" s="423"/>
      <c r="DQ465" s="155"/>
      <c r="DR465" s="155"/>
      <c r="DS465" s="222"/>
      <c r="DT465" s="267"/>
      <c r="DU465" s="174"/>
      <c r="DV465" s="174"/>
      <c r="DW465" s="200"/>
      <c r="DX465" s="428"/>
      <c r="DY465" s="155"/>
      <c r="DZ465" s="155"/>
      <c r="EA465" s="155"/>
      <c r="EB465" s="173"/>
      <c r="EC465" s="155"/>
      <c r="ED465" s="155"/>
      <c r="EE465" s="155"/>
      <c r="EF465" s="423"/>
      <c r="EG465" s="155"/>
      <c r="EH465" s="155"/>
      <c r="EI465" s="155"/>
      <c r="EJ465" s="267"/>
      <c r="EK465" s="155"/>
      <c r="EL465" s="155"/>
      <c r="EM465" s="155"/>
      <c r="EN465" s="428"/>
    </row>
    <row r="466" spans="1:144">
      <c r="A466" s="360"/>
      <c r="B466" s="172"/>
      <c r="C466" s="360"/>
      <c r="D466" s="172"/>
      <c r="E466" s="408"/>
      <c r="F466" s="408"/>
      <c r="G466" s="509"/>
      <c r="H466" s="546"/>
      <c r="I466" s="546"/>
      <c r="J466" s="251"/>
      <c r="K466" s="251"/>
      <c r="L466" s="509"/>
      <c r="M466" s="509"/>
      <c r="N466" s="509"/>
      <c r="O466" s="547"/>
      <c r="P466" s="200"/>
      <c r="Q466" s="174"/>
      <c r="R466" s="390"/>
      <c r="S466" s="510"/>
      <c r="T466" s="200"/>
      <c r="U466" s="174"/>
      <c r="V466" s="174"/>
      <c r="W466" s="510"/>
      <c r="X466" s="174"/>
      <c r="Y466" s="174"/>
      <c r="Z466" s="174"/>
      <c r="AA466" s="510"/>
      <c r="AB466" s="200"/>
      <c r="AC466" s="174"/>
      <c r="AD466" s="390"/>
      <c r="AE466" s="510"/>
      <c r="AF466" s="200"/>
      <c r="AG466" s="174"/>
      <c r="AH466" s="174"/>
      <c r="AI466" s="200"/>
      <c r="AJ466" s="548"/>
      <c r="AK466" s="200"/>
      <c r="AL466" s="174"/>
      <c r="AM466" s="390"/>
      <c r="AN466" s="510"/>
      <c r="AO466" s="200"/>
      <c r="AP466" s="174"/>
      <c r="AQ466" s="510"/>
      <c r="AR466" s="200"/>
      <c r="AS466" s="174"/>
      <c r="AT466" s="510"/>
      <c r="AU466" s="200"/>
      <c r="AV466" s="174"/>
      <c r="AW466" s="510"/>
      <c r="AX466" s="200"/>
      <c r="AY466" s="174"/>
      <c r="AZ466" s="510"/>
      <c r="BA466" s="174"/>
      <c r="BB466" s="174"/>
      <c r="BC466" s="174"/>
      <c r="BD466" s="174"/>
      <c r="BE466" s="174"/>
      <c r="BF466" s="510"/>
      <c r="BG466" s="174"/>
      <c r="BH466" s="174"/>
      <c r="BI466" s="174"/>
      <c r="BJ466" s="200"/>
      <c r="BK466" s="174"/>
      <c r="BL466" s="510"/>
      <c r="BM466" s="174"/>
      <c r="BN466" s="174"/>
      <c r="BO466" s="510"/>
      <c r="BP466" s="200"/>
      <c r="BQ466" s="447"/>
      <c r="BR466" s="510"/>
      <c r="BS466" s="174"/>
      <c r="BT466" s="174"/>
      <c r="BU466" s="510"/>
      <c r="BV466" s="200"/>
      <c r="BW466" s="174"/>
      <c r="BX466" s="510"/>
      <c r="BY466" s="174"/>
      <c r="BZ466" s="174"/>
      <c r="CA466" s="510"/>
      <c r="CB466" s="200"/>
      <c r="CC466" s="174"/>
      <c r="CD466" s="510"/>
      <c r="CE466" s="174"/>
      <c r="CF466" s="174"/>
      <c r="CG466" s="510"/>
      <c r="CH466" s="174"/>
      <c r="CI466" s="174"/>
      <c r="CJ466" s="174"/>
      <c r="CK466" s="174"/>
      <c r="CL466" s="174"/>
      <c r="CM466" s="510"/>
      <c r="CN466" s="174"/>
      <c r="CO466" s="549"/>
      <c r="CP466" s="510"/>
      <c r="CQ466" s="200"/>
      <c r="CR466" s="550"/>
      <c r="CS466" s="510"/>
      <c r="CT466" s="390"/>
      <c r="CU466" s="331"/>
      <c r="CV466" s="428"/>
      <c r="CW466" s="155"/>
      <c r="CX466" s="155"/>
      <c r="CY466" s="267"/>
      <c r="CZ466" s="323"/>
      <c r="DA466" s="323"/>
      <c r="DB466" s="423"/>
      <c r="DC466" s="155"/>
      <c r="DD466" s="155"/>
      <c r="DE466" s="267"/>
      <c r="DF466" s="323"/>
      <c r="DG466" s="323"/>
      <c r="DH466" s="428"/>
      <c r="DI466" s="155"/>
      <c r="DJ466" s="155"/>
      <c r="DK466" s="222"/>
      <c r="DL466" s="267"/>
      <c r="DM466" s="155"/>
      <c r="DN466" s="155"/>
      <c r="DO466" s="155"/>
      <c r="DP466" s="423"/>
      <c r="DQ466" s="155"/>
      <c r="DR466" s="155"/>
      <c r="DS466" s="222"/>
      <c r="DT466" s="267"/>
      <c r="DU466" s="174"/>
      <c r="DV466" s="174"/>
      <c r="DW466" s="200"/>
      <c r="DX466" s="428"/>
      <c r="DY466" s="155"/>
      <c r="DZ466" s="155"/>
      <c r="EA466" s="155"/>
      <c r="EB466" s="173"/>
      <c r="EC466" s="155"/>
      <c r="ED466" s="155"/>
      <c r="EE466" s="155"/>
      <c r="EF466" s="423"/>
      <c r="EG466" s="155"/>
      <c r="EH466" s="155"/>
      <c r="EI466" s="155"/>
      <c r="EJ466" s="267"/>
      <c r="EK466" s="155"/>
      <c r="EL466" s="155"/>
      <c r="EM466" s="155"/>
      <c r="EN466" s="428"/>
    </row>
    <row r="467" spans="1:144">
      <c r="A467" s="360"/>
      <c r="B467" s="172"/>
      <c r="C467" s="360"/>
      <c r="D467" s="172"/>
      <c r="E467" s="408"/>
      <c r="F467" s="408"/>
      <c r="G467" s="509"/>
      <c r="H467" s="546"/>
      <c r="I467" s="546"/>
      <c r="J467" s="251"/>
      <c r="K467" s="251"/>
      <c r="L467" s="509"/>
      <c r="M467" s="509"/>
      <c r="N467" s="509"/>
      <c r="O467" s="547"/>
      <c r="P467" s="200"/>
      <c r="Q467" s="174"/>
      <c r="R467" s="390"/>
      <c r="S467" s="510"/>
      <c r="T467" s="200"/>
      <c r="U467" s="174"/>
      <c r="V467" s="174"/>
      <c r="W467" s="510"/>
      <c r="X467" s="174"/>
      <c r="Y467" s="174"/>
      <c r="Z467" s="174"/>
      <c r="AA467" s="510"/>
      <c r="AB467" s="200"/>
      <c r="AC467" s="174"/>
      <c r="AD467" s="390"/>
      <c r="AE467" s="510"/>
      <c r="AF467" s="200"/>
      <c r="AG467" s="174"/>
      <c r="AH467" s="174"/>
      <c r="AI467" s="200"/>
      <c r="AJ467" s="548"/>
      <c r="AK467" s="200"/>
      <c r="AL467" s="174"/>
      <c r="AM467" s="390"/>
      <c r="AN467" s="510"/>
      <c r="AO467" s="200"/>
      <c r="AP467" s="174"/>
      <c r="AQ467" s="510"/>
      <c r="AR467" s="200"/>
      <c r="AS467" s="174"/>
      <c r="AT467" s="510"/>
      <c r="AU467" s="200"/>
      <c r="AV467" s="174"/>
      <c r="AW467" s="510"/>
      <c r="AX467" s="200"/>
      <c r="AY467" s="174"/>
      <c r="AZ467" s="510"/>
      <c r="BA467" s="174"/>
      <c r="BB467" s="174"/>
      <c r="BC467" s="174"/>
      <c r="BD467" s="174"/>
      <c r="BE467" s="174"/>
      <c r="BF467" s="510"/>
      <c r="BG467" s="174"/>
      <c r="BH467" s="174"/>
      <c r="BI467" s="174"/>
      <c r="BJ467" s="200"/>
      <c r="BK467" s="174"/>
      <c r="BL467" s="510"/>
      <c r="BM467" s="174"/>
      <c r="BN467" s="174"/>
      <c r="BO467" s="510"/>
      <c r="BP467" s="200"/>
      <c r="BQ467" s="447"/>
      <c r="BR467" s="510"/>
      <c r="BS467" s="174"/>
      <c r="BT467" s="174"/>
      <c r="BU467" s="510"/>
      <c r="BV467" s="200"/>
      <c r="BW467" s="174"/>
      <c r="BX467" s="510"/>
      <c r="BY467" s="174"/>
      <c r="BZ467" s="174"/>
      <c r="CA467" s="510"/>
      <c r="CB467" s="200"/>
      <c r="CC467" s="174"/>
      <c r="CD467" s="510"/>
      <c r="CE467" s="174"/>
      <c r="CF467" s="174"/>
      <c r="CG467" s="510"/>
      <c r="CH467" s="174"/>
      <c r="CI467" s="174"/>
      <c r="CJ467" s="174"/>
      <c r="CK467" s="174"/>
      <c r="CL467" s="174"/>
      <c r="CM467" s="510"/>
      <c r="CN467" s="174"/>
      <c r="CO467" s="549"/>
      <c r="CP467" s="510"/>
      <c r="CQ467" s="200"/>
      <c r="CR467" s="550"/>
      <c r="CS467" s="510"/>
      <c r="CT467" s="390"/>
      <c r="CU467" s="331"/>
      <c r="CV467" s="428"/>
      <c r="CW467" s="155"/>
      <c r="CX467" s="155"/>
      <c r="CY467" s="267"/>
      <c r="CZ467" s="323"/>
      <c r="DA467" s="323"/>
      <c r="DB467" s="423"/>
      <c r="DC467" s="155"/>
      <c r="DD467" s="155"/>
      <c r="DE467" s="267"/>
      <c r="DF467" s="323"/>
      <c r="DG467" s="323"/>
      <c r="DH467" s="428"/>
      <c r="DI467" s="155"/>
      <c r="DJ467" s="155"/>
      <c r="DK467" s="222"/>
      <c r="DL467" s="267"/>
      <c r="DM467" s="155"/>
      <c r="DN467" s="155"/>
      <c r="DO467" s="155"/>
      <c r="DP467" s="423"/>
      <c r="DQ467" s="155"/>
      <c r="DR467" s="155"/>
      <c r="DS467" s="222"/>
      <c r="DT467" s="267"/>
      <c r="DU467" s="174"/>
      <c r="DV467" s="174"/>
      <c r="DW467" s="200"/>
      <c r="DX467" s="428"/>
      <c r="DY467" s="155"/>
      <c r="DZ467" s="155"/>
      <c r="EA467" s="155"/>
      <c r="EB467" s="173"/>
      <c r="EC467" s="155"/>
      <c r="ED467" s="155"/>
      <c r="EE467" s="155"/>
      <c r="EF467" s="423"/>
      <c r="EG467" s="155"/>
      <c r="EH467" s="155"/>
      <c r="EI467" s="155"/>
      <c r="EJ467" s="267"/>
      <c r="EK467" s="155"/>
      <c r="EL467" s="155"/>
      <c r="EM467" s="155"/>
      <c r="EN467" s="428"/>
    </row>
    <row r="468" spans="1:144">
      <c r="A468" s="360"/>
      <c r="B468" s="172"/>
      <c r="C468" s="360"/>
      <c r="D468" s="172"/>
      <c r="E468" s="408"/>
      <c r="F468" s="408"/>
      <c r="G468" s="509"/>
      <c r="H468" s="546"/>
      <c r="I468" s="546"/>
      <c r="J468" s="251"/>
      <c r="K468" s="251"/>
      <c r="L468" s="509"/>
      <c r="M468" s="509"/>
      <c r="N468" s="509"/>
      <c r="O468" s="547"/>
      <c r="P468" s="200"/>
      <c r="Q468" s="174"/>
      <c r="R468" s="390"/>
      <c r="S468" s="510"/>
      <c r="T468" s="200"/>
      <c r="U468" s="174"/>
      <c r="V468" s="174"/>
      <c r="W468" s="510"/>
      <c r="X468" s="174"/>
      <c r="Y468" s="174"/>
      <c r="Z468" s="174"/>
      <c r="AA468" s="510"/>
      <c r="AB468" s="200"/>
      <c r="AC468" s="174"/>
      <c r="AD468" s="390"/>
      <c r="AE468" s="510"/>
      <c r="AF468" s="200"/>
      <c r="AG468" s="174"/>
      <c r="AH468" s="174"/>
      <c r="AI468" s="200"/>
      <c r="AJ468" s="548"/>
      <c r="AK468" s="200"/>
      <c r="AL468" s="174"/>
      <c r="AM468" s="390"/>
      <c r="AN468" s="510"/>
      <c r="AO468" s="200"/>
      <c r="AP468" s="174"/>
      <c r="AQ468" s="510"/>
      <c r="AR468" s="200"/>
      <c r="AS468" s="174"/>
      <c r="AT468" s="510"/>
      <c r="AU468" s="200"/>
      <c r="AV468" s="174"/>
      <c r="AW468" s="510"/>
      <c r="AX468" s="200"/>
      <c r="AY468" s="174"/>
      <c r="AZ468" s="510"/>
      <c r="BA468" s="174"/>
      <c r="BB468" s="174"/>
      <c r="BC468" s="174"/>
      <c r="BD468" s="174"/>
      <c r="BE468" s="174"/>
      <c r="BF468" s="510"/>
      <c r="BG468" s="174"/>
      <c r="BH468" s="174"/>
      <c r="BI468" s="174"/>
      <c r="BJ468" s="200"/>
      <c r="BK468" s="174"/>
      <c r="BL468" s="510"/>
      <c r="BM468" s="174"/>
      <c r="BN468" s="174"/>
      <c r="BO468" s="510"/>
      <c r="BP468" s="200"/>
      <c r="BQ468" s="447"/>
      <c r="BR468" s="510"/>
      <c r="BS468" s="174"/>
      <c r="BT468" s="174"/>
      <c r="BU468" s="510"/>
      <c r="BV468" s="200"/>
      <c r="BW468" s="174"/>
      <c r="BX468" s="510"/>
      <c r="BY468" s="174"/>
      <c r="BZ468" s="174"/>
      <c r="CA468" s="510"/>
      <c r="CB468" s="200"/>
      <c r="CC468" s="174"/>
      <c r="CD468" s="510"/>
      <c r="CE468" s="174"/>
      <c r="CF468" s="174"/>
      <c r="CG468" s="510"/>
      <c r="CH468" s="174"/>
      <c r="CI468" s="174"/>
      <c r="CJ468" s="174"/>
      <c r="CK468" s="174"/>
      <c r="CL468" s="174"/>
      <c r="CM468" s="510"/>
      <c r="CN468" s="174"/>
      <c r="CO468" s="549"/>
      <c r="CP468" s="510"/>
      <c r="CQ468" s="200"/>
      <c r="CR468" s="550"/>
      <c r="CS468" s="510"/>
      <c r="CT468" s="390"/>
      <c r="CU468" s="331"/>
      <c r="CV468" s="428"/>
      <c r="CW468" s="155"/>
      <c r="CX468" s="155"/>
      <c r="CY468" s="267"/>
      <c r="CZ468" s="323"/>
      <c r="DA468" s="323"/>
      <c r="DB468" s="423"/>
      <c r="DC468" s="155"/>
      <c r="DD468" s="155"/>
      <c r="DE468" s="267"/>
      <c r="DF468" s="323"/>
      <c r="DG468" s="323"/>
      <c r="DH468" s="428"/>
      <c r="DI468" s="155"/>
      <c r="DJ468" s="155"/>
      <c r="DK468" s="222"/>
      <c r="DL468" s="267"/>
      <c r="DM468" s="155"/>
      <c r="DN468" s="155"/>
      <c r="DO468" s="155"/>
      <c r="DP468" s="423"/>
      <c r="DQ468" s="155"/>
      <c r="DR468" s="155"/>
      <c r="DS468" s="222"/>
      <c r="DT468" s="267"/>
      <c r="DU468" s="174"/>
      <c r="DV468" s="174"/>
      <c r="DW468" s="200"/>
      <c r="DX468" s="428"/>
      <c r="DY468" s="155"/>
      <c r="DZ468" s="155"/>
      <c r="EA468" s="155"/>
      <c r="EB468" s="173"/>
      <c r="EC468" s="155"/>
      <c r="ED468" s="155"/>
      <c r="EE468" s="155"/>
      <c r="EF468" s="423"/>
      <c r="EG468" s="155"/>
      <c r="EH468" s="155"/>
      <c r="EI468" s="155"/>
      <c r="EJ468" s="267"/>
      <c r="EK468" s="155"/>
      <c r="EL468" s="155"/>
      <c r="EM468" s="155"/>
      <c r="EN468" s="428"/>
    </row>
    <row r="469" spans="1:144">
      <c r="A469" s="360"/>
      <c r="B469" s="172"/>
      <c r="C469" s="360"/>
      <c r="D469" s="172"/>
      <c r="E469" s="408"/>
      <c r="F469" s="408"/>
      <c r="G469" s="509"/>
      <c r="H469" s="546"/>
      <c r="I469" s="546"/>
      <c r="J469" s="251"/>
      <c r="K469" s="251"/>
      <c r="L469" s="509"/>
      <c r="M469" s="509"/>
      <c r="N469" s="509"/>
      <c r="O469" s="547"/>
      <c r="P469" s="200"/>
      <c r="Q469" s="174"/>
      <c r="R469" s="390"/>
      <c r="S469" s="510"/>
      <c r="T469" s="200"/>
      <c r="U469" s="174"/>
      <c r="V469" s="174"/>
      <c r="W469" s="510"/>
      <c r="X469" s="174"/>
      <c r="Y469" s="174"/>
      <c r="Z469" s="174"/>
      <c r="AA469" s="510"/>
      <c r="AB469" s="200"/>
      <c r="AC469" s="174"/>
      <c r="AD469" s="390"/>
      <c r="AE469" s="510"/>
      <c r="AF469" s="200"/>
      <c r="AG469" s="174"/>
      <c r="AH469" s="174"/>
      <c r="AI469" s="200"/>
      <c r="AJ469" s="548"/>
      <c r="AK469" s="200"/>
      <c r="AL469" s="174"/>
      <c r="AM469" s="390"/>
      <c r="AN469" s="510"/>
      <c r="AO469" s="200"/>
      <c r="AP469" s="174"/>
      <c r="AQ469" s="510"/>
      <c r="AR469" s="200"/>
      <c r="AS469" s="174"/>
      <c r="AT469" s="510"/>
      <c r="AU469" s="200"/>
      <c r="AV469" s="174"/>
      <c r="AW469" s="510"/>
      <c r="AX469" s="200"/>
      <c r="AY469" s="174"/>
      <c r="AZ469" s="510"/>
      <c r="BA469" s="174"/>
      <c r="BB469" s="174"/>
      <c r="BC469" s="174"/>
      <c r="BD469" s="174"/>
      <c r="BE469" s="174"/>
      <c r="BF469" s="510"/>
      <c r="BG469" s="174"/>
      <c r="BH469" s="174"/>
      <c r="BI469" s="174"/>
      <c r="BJ469" s="200"/>
      <c r="BK469" s="174"/>
      <c r="BL469" s="510"/>
      <c r="BM469" s="174"/>
      <c r="BN469" s="174"/>
      <c r="BO469" s="510"/>
      <c r="BP469" s="200"/>
      <c r="BQ469" s="447"/>
      <c r="BR469" s="510"/>
      <c r="BS469" s="174"/>
      <c r="BT469" s="174"/>
      <c r="BU469" s="510"/>
      <c r="BV469" s="200"/>
      <c r="BW469" s="174"/>
      <c r="BX469" s="510"/>
      <c r="BY469" s="174"/>
      <c r="BZ469" s="174"/>
      <c r="CA469" s="510"/>
      <c r="CB469" s="200"/>
      <c r="CC469" s="174"/>
      <c r="CD469" s="510"/>
      <c r="CE469" s="174"/>
      <c r="CF469" s="174"/>
      <c r="CG469" s="510"/>
      <c r="CH469" s="174"/>
      <c r="CI469" s="174"/>
      <c r="CJ469" s="174"/>
      <c r="CK469" s="174"/>
      <c r="CL469" s="174"/>
      <c r="CM469" s="510"/>
      <c r="CN469" s="174"/>
      <c r="CO469" s="549"/>
      <c r="CP469" s="510"/>
      <c r="CQ469" s="200"/>
      <c r="CR469" s="550"/>
      <c r="CS469" s="510"/>
      <c r="CT469" s="390"/>
      <c r="CU469" s="331"/>
      <c r="CV469" s="428"/>
      <c r="CW469" s="155"/>
      <c r="CX469" s="155"/>
      <c r="CY469" s="267"/>
      <c r="CZ469" s="323"/>
      <c r="DA469" s="323"/>
      <c r="DB469" s="423"/>
      <c r="DC469" s="155"/>
      <c r="DD469" s="155"/>
      <c r="DE469" s="267"/>
      <c r="DF469" s="323"/>
      <c r="DG469" s="323"/>
      <c r="DH469" s="428"/>
      <c r="DI469" s="155"/>
      <c r="DJ469" s="155"/>
      <c r="DK469" s="222"/>
      <c r="DL469" s="267"/>
      <c r="DM469" s="155"/>
      <c r="DN469" s="155"/>
      <c r="DO469" s="155"/>
      <c r="DP469" s="423"/>
      <c r="DQ469" s="155"/>
      <c r="DR469" s="155"/>
      <c r="DS469" s="222"/>
      <c r="DT469" s="267"/>
      <c r="DU469" s="174"/>
      <c r="DV469" s="174"/>
      <c r="DW469" s="200"/>
      <c r="DX469" s="428"/>
      <c r="DY469" s="155"/>
      <c r="DZ469" s="155"/>
      <c r="EA469" s="155"/>
      <c r="EB469" s="173"/>
      <c r="EC469" s="155"/>
      <c r="ED469" s="155"/>
      <c r="EE469" s="155"/>
      <c r="EF469" s="423"/>
      <c r="EG469" s="155"/>
      <c r="EH469" s="155"/>
      <c r="EI469" s="155"/>
      <c r="EJ469" s="267"/>
      <c r="EK469" s="155"/>
      <c r="EL469" s="155"/>
      <c r="EM469" s="155"/>
      <c r="EN469" s="428"/>
    </row>
    <row r="470" spans="1:144">
      <c r="A470" s="360"/>
      <c r="B470" s="172"/>
      <c r="C470" s="360"/>
      <c r="D470" s="172"/>
      <c r="E470" s="408"/>
      <c r="F470" s="408"/>
      <c r="G470" s="509"/>
      <c r="H470" s="546"/>
      <c r="I470" s="546"/>
      <c r="J470" s="251"/>
      <c r="K470" s="251"/>
      <c r="L470" s="509"/>
      <c r="M470" s="509"/>
      <c r="N470" s="509"/>
      <c r="O470" s="547"/>
      <c r="P470" s="200"/>
      <c r="Q470" s="174"/>
      <c r="R470" s="390"/>
      <c r="S470" s="510"/>
      <c r="T470" s="200"/>
      <c r="U470" s="174"/>
      <c r="V470" s="174"/>
      <c r="W470" s="510"/>
      <c r="X470" s="174"/>
      <c r="Y470" s="174"/>
      <c r="Z470" s="174"/>
      <c r="AA470" s="510"/>
      <c r="AB470" s="200"/>
      <c r="AC470" s="174"/>
      <c r="AD470" s="390"/>
      <c r="AE470" s="510"/>
      <c r="AF470" s="200"/>
      <c r="AG470" s="174"/>
      <c r="AH470" s="174"/>
      <c r="AI470" s="200"/>
      <c r="AJ470" s="548"/>
      <c r="AK470" s="200"/>
      <c r="AL470" s="174"/>
      <c r="AM470" s="390"/>
      <c r="AN470" s="510"/>
      <c r="AO470" s="200"/>
      <c r="AP470" s="174"/>
      <c r="AQ470" s="510"/>
      <c r="AR470" s="200"/>
      <c r="AS470" s="174"/>
      <c r="AT470" s="510"/>
      <c r="AU470" s="200"/>
      <c r="AV470" s="174"/>
      <c r="AW470" s="510"/>
      <c r="AX470" s="200"/>
      <c r="AY470" s="174"/>
      <c r="AZ470" s="510"/>
      <c r="BA470" s="174"/>
      <c r="BB470" s="174"/>
      <c r="BC470" s="174"/>
      <c r="BD470" s="174"/>
      <c r="BE470" s="174"/>
      <c r="BF470" s="510"/>
      <c r="BG470" s="174"/>
      <c r="BH470" s="174"/>
      <c r="BI470" s="174"/>
      <c r="BJ470" s="200"/>
      <c r="BK470" s="174"/>
      <c r="BL470" s="510"/>
      <c r="BM470" s="174"/>
      <c r="BN470" s="174"/>
      <c r="BO470" s="510"/>
      <c r="BP470" s="200"/>
      <c r="BQ470" s="447"/>
      <c r="BR470" s="510"/>
      <c r="BS470" s="174"/>
      <c r="BT470" s="174"/>
      <c r="BU470" s="510"/>
      <c r="BV470" s="200"/>
      <c r="BW470" s="174"/>
      <c r="BX470" s="510"/>
      <c r="BY470" s="174"/>
      <c r="BZ470" s="174"/>
      <c r="CA470" s="510"/>
      <c r="CB470" s="200"/>
      <c r="CC470" s="174"/>
      <c r="CD470" s="510"/>
      <c r="CE470" s="174"/>
      <c r="CF470" s="174"/>
      <c r="CG470" s="510"/>
      <c r="CH470" s="174"/>
      <c r="CI470" s="174"/>
      <c r="CJ470" s="174"/>
      <c r="CK470" s="174"/>
      <c r="CL470" s="174"/>
      <c r="CM470" s="510"/>
      <c r="CN470" s="174"/>
      <c r="CO470" s="549"/>
      <c r="CP470" s="510"/>
      <c r="CQ470" s="200"/>
      <c r="CR470" s="550"/>
      <c r="CS470" s="510"/>
      <c r="CT470" s="390"/>
      <c r="CU470" s="331"/>
      <c r="CV470" s="428"/>
      <c r="CW470" s="155"/>
      <c r="CX470" s="155"/>
      <c r="CY470" s="267"/>
      <c r="CZ470" s="323"/>
      <c r="DA470" s="323"/>
      <c r="DB470" s="423"/>
      <c r="DC470" s="155"/>
      <c r="DD470" s="155"/>
      <c r="DE470" s="267"/>
      <c r="DF470" s="323"/>
      <c r="DG470" s="323"/>
      <c r="DH470" s="428"/>
      <c r="DI470" s="155"/>
      <c r="DJ470" s="155"/>
      <c r="DK470" s="222"/>
      <c r="DL470" s="267"/>
      <c r="DM470" s="155"/>
      <c r="DN470" s="155"/>
      <c r="DO470" s="155"/>
      <c r="DP470" s="423"/>
      <c r="DQ470" s="155"/>
      <c r="DR470" s="155"/>
      <c r="DS470" s="222"/>
      <c r="DT470" s="267"/>
      <c r="DU470" s="174"/>
      <c r="DV470" s="174"/>
      <c r="DW470" s="200"/>
      <c r="DX470" s="428"/>
      <c r="DY470" s="155"/>
      <c r="DZ470" s="155"/>
      <c r="EA470" s="155"/>
      <c r="EB470" s="173"/>
      <c r="EC470" s="155"/>
      <c r="ED470" s="155"/>
      <c r="EE470" s="155"/>
      <c r="EF470" s="423"/>
      <c r="EG470" s="155"/>
      <c r="EH470" s="155"/>
      <c r="EI470" s="155"/>
      <c r="EJ470" s="267"/>
      <c r="EK470" s="155"/>
      <c r="EL470" s="155"/>
      <c r="EM470" s="155"/>
      <c r="EN470" s="428"/>
    </row>
    <row r="471" spans="1:144">
      <c r="A471" s="360"/>
      <c r="B471" s="172"/>
      <c r="C471" s="360"/>
      <c r="D471" s="172"/>
      <c r="E471" s="408"/>
      <c r="F471" s="408"/>
      <c r="G471" s="509"/>
      <c r="H471" s="546"/>
      <c r="I471" s="546"/>
      <c r="J471" s="251"/>
      <c r="K471" s="251"/>
      <c r="L471" s="509"/>
      <c r="M471" s="509"/>
      <c r="N471" s="509"/>
      <c r="O471" s="547"/>
      <c r="P471" s="200"/>
      <c r="Q471" s="174"/>
      <c r="R471" s="390"/>
      <c r="S471" s="510"/>
      <c r="T471" s="200"/>
      <c r="U471" s="174"/>
      <c r="V471" s="174"/>
      <c r="W471" s="510"/>
      <c r="X471" s="174"/>
      <c r="Y471" s="174"/>
      <c r="Z471" s="174"/>
      <c r="AA471" s="510"/>
      <c r="AB471" s="200"/>
      <c r="AC471" s="174"/>
      <c r="AD471" s="390"/>
      <c r="AE471" s="510"/>
      <c r="AF471" s="200"/>
      <c r="AG471" s="174"/>
      <c r="AH471" s="174"/>
      <c r="AI471" s="200"/>
      <c r="AJ471" s="548"/>
      <c r="AK471" s="200"/>
      <c r="AL471" s="174"/>
      <c r="AM471" s="390"/>
      <c r="AN471" s="510"/>
      <c r="AO471" s="200"/>
      <c r="AP471" s="174"/>
      <c r="AQ471" s="510"/>
      <c r="AR471" s="200"/>
      <c r="AS471" s="174"/>
      <c r="AT471" s="510"/>
      <c r="AU471" s="200"/>
      <c r="AV471" s="174"/>
      <c r="AW471" s="510"/>
      <c r="AX471" s="200"/>
      <c r="AY471" s="174"/>
      <c r="AZ471" s="510"/>
      <c r="BA471" s="174"/>
      <c r="BB471" s="174"/>
      <c r="BC471" s="174"/>
      <c r="BD471" s="174"/>
      <c r="BE471" s="174"/>
      <c r="BF471" s="510"/>
      <c r="BG471" s="174"/>
      <c r="BH471" s="174"/>
      <c r="BI471" s="174"/>
      <c r="BJ471" s="200"/>
      <c r="BK471" s="174"/>
      <c r="BL471" s="510"/>
      <c r="BM471" s="174"/>
      <c r="BN471" s="174"/>
      <c r="BO471" s="510"/>
      <c r="BP471" s="200"/>
      <c r="BQ471" s="447"/>
      <c r="BR471" s="510"/>
      <c r="BS471" s="174"/>
      <c r="BT471" s="174"/>
      <c r="BU471" s="510"/>
      <c r="BV471" s="200"/>
      <c r="BW471" s="174"/>
      <c r="BX471" s="510"/>
      <c r="BY471" s="174"/>
      <c r="BZ471" s="174"/>
      <c r="CA471" s="510"/>
      <c r="CB471" s="200"/>
      <c r="CC471" s="174"/>
      <c r="CD471" s="510"/>
      <c r="CE471" s="174"/>
      <c r="CF471" s="174"/>
      <c r="CG471" s="510"/>
      <c r="CH471" s="174"/>
      <c r="CI471" s="174"/>
      <c r="CJ471" s="174"/>
      <c r="CK471" s="174"/>
      <c r="CL471" s="174"/>
      <c r="CM471" s="510"/>
      <c r="CN471" s="174"/>
      <c r="CO471" s="549"/>
      <c r="CP471" s="510"/>
      <c r="CQ471" s="200"/>
      <c r="CR471" s="550"/>
      <c r="CS471" s="510"/>
      <c r="CT471" s="390"/>
      <c r="CU471" s="331"/>
      <c r="CV471" s="428"/>
      <c r="CW471" s="155"/>
      <c r="CX471" s="155"/>
      <c r="CY471" s="267"/>
      <c r="CZ471" s="323"/>
      <c r="DA471" s="323"/>
      <c r="DB471" s="423"/>
      <c r="DC471" s="155"/>
      <c r="DD471" s="155"/>
      <c r="DE471" s="267"/>
      <c r="DF471" s="323"/>
      <c r="DG471" s="323"/>
      <c r="DH471" s="428"/>
      <c r="DI471" s="155"/>
      <c r="DJ471" s="155"/>
      <c r="DK471" s="222"/>
      <c r="DL471" s="267"/>
      <c r="DM471" s="155"/>
      <c r="DN471" s="155"/>
      <c r="DO471" s="155"/>
      <c r="DP471" s="423"/>
      <c r="DQ471" s="155"/>
      <c r="DR471" s="155"/>
      <c r="DS471" s="222"/>
      <c r="DT471" s="267"/>
      <c r="DU471" s="174"/>
      <c r="DV471" s="174"/>
      <c r="DW471" s="200"/>
      <c r="DX471" s="428"/>
      <c r="DY471" s="155"/>
      <c r="DZ471" s="155"/>
      <c r="EA471" s="155"/>
      <c r="EB471" s="173"/>
      <c r="EC471" s="155"/>
      <c r="ED471" s="155"/>
      <c r="EE471" s="155"/>
      <c r="EF471" s="423"/>
      <c r="EG471" s="155"/>
      <c r="EH471" s="155"/>
      <c r="EI471" s="155"/>
      <c r="EJ471" s="267"/>
      <c r="EK471" s="155"/>
      <c r="EL471" s="155"/>
      <c r="EM471" s="155"/>
      <c r="EN471" s="428"/>
    </row>
    <row r="472" spans="1:144">
      <c r="A472" s="360"/>
      <c r="B472" s="172"/>
      <c r="C472" s="360"/>
      <c r="D472" s="172"/>
      <c r="E472" s="408"/>
      <c r="F472" s="408"/>
      <c r="G472" s="509"/>
      <c r="H472" s="546"/>
      <c r="I472" s="546"/>
      <c r="J472" s="251"/>
      <c r="K472" s="251"/>
      <c r="L472" s="509"/>
      <c r="M472" s="509"/>
      <c r="N472" s="509"/>
      <c r="O472" s="547"/>
      <c r="P472" s="200"/>
      <c r="Q472" s="174"/>
      <c r="R472" s="390"/>
      <c r="S472" s="510"/>
      <c r="T472" s="200"/>
      <c r="U472" s="174"/>
      <c r="V472" s="174"/>
      <c r="W472" s="510"/>
      <c r="X472" s="174"/>
      <c r="Y472" s="174"/>
      <c r="Z472" s="174"/>
      <c r="AA472" s="510"/>
      <c r="AB472" s="200"/>
      <c r="AC472" s="174"/>
      <c r="AD472" s="390"/>
      <c r="AE472" s="510"/>
      <c r="AF472" s="200"/>
      <c r="AG472" s="174"/>
      <c r="AH472" s="174"/>
      <c r="AI472" s="200"/>
      <c r="AJ472" s="548"/>
      <c r="AK472" s="200"/>
      <c r="AL472" s="174"/>
      <c r="AM472" s="390"/>
      <c r="AN472" s="510"/>
      <c r="AO472" s="200"/>
      <c r="AP472" s="174"/>
      <c r="AQ472" s="510"/>
      <c r="AR472" s="200"/>
      <c r="AS472" s="174"/>
      <c r="AT472" s="510"/>
      <c r="AU472" s="200"/>
      <c r="AV472" s="174"/>
      <c r="AW472" s="510"/>
      <c r="AX472" s="200"/>
      <c r="AY472" s="174"/>
      <c r="AZ472" s="510"/>
      <c r="BA472" s="174"/>
      <c r="BB472" s="174"/>
      <c r="BC472" s="174"/>
      <c r="BD472" s="174"/>
      <c r="BE472" s="174"/>
      <c r="BF472" s="510"/>
      <c r="BG472" s="174"/>
      <c r="BH472" s="174"/>
      <c r="BI472" s="174"/>
      <c r="BJ472" s="200"/>
      <c r="BK472" s="174"/>
      <c r="BL472" s="510"/>
      <c r="BM472" s="174"/>
      <c r="BN472" s="174"/>
      <c r="BO472" s="510"/>
      <c r="BP472" s="200"/>
      <c r="BQ472" s="447"/>
      <c r="BR472" s="510"/>
      <c r="BS472" s="174"/>
      <c r="BT472" s="174"/>
      <c r="BU472" s="510"/>
      <c r="BV472" s="200"/>
      <c r="BW472" s="174"/>
      <c r="BX472" s="510"/>
      <c r="BY472" s="174"/>
      <c r="BZ472" s="174"/>
      <c r="CA472" s="510"/>
      <c r="CB472" s="200"/>
      <c r="CC472" s="174"/>
      <c r="CD472" s="510"/>
      <c r="CE472" s="174"/>
      <c r="CF472" s="174"/>
      <c r="CG472" s="510"/>
      <c r="CH472" s="174"/>
      <c r="CI472" s="174"/>
      <c r="CJ472" s="174"/>
      <c r="CK472" s="174"/>
      <c r="CL472" s="174"/>
      <c r="CM472" s="510"/>
      <c r="CN472" s="174"/>
      <c r="CO472" s="549"/>
      <c r="CP472" s="510"/>
      <c r="CQ472" s="200"/>
      <c r="CR472" s="550"/>
      <c r="CS472" s="510"/>
      <c r="CT472" s="390"/>
      <c r="CU472" s="331"/>
      <c r="CV472" s="428"/>
      <c r="CW472" s="155"/>
      <c r="CX472" s="155"/>
      <c r="CY472" s="267"/>
      <c r="CZ472" s="323"/>
      <c r="DA472" s="323"/>
      <c r="DB472" s="423"/>
      <c r="DC472" s="155"/>
      <c r="DD472" s="155"/>
      <c r="DE472" s="267"/>
      <c r="DF472" s="323"/>
      <c r="DG472" s="323"/>
      <c r="DH472" s="428"/>
      <c r="DI472" s="155"/>
      <c r="DJ472" s="155"/>
      <c r="DK472" s="222"/>
      <c r="DL472" s="267"/>
      <c r="DM472" s="155"/>
      <c r="DN472" s="155"/>
      <c r="DO472" s="155"/>
      <c r="DP472" s="423"/>
      <c r="DQ472" s="155"/>
      <c r="DR472" s="155"/>
      <c r="DS472" s="222"/>
      <c r="DT472" s="267"/>
      <c r="DU472" s="174"/>
      <c r="DV472" s="174"/>
      <c r="DW472" s="200"/>
      <c r="DX472" s="428"/>
      <c r="DY472" s="155"/>
      <c r="DZ472" s="155"/>
      <c r="EA472" s="155"/>
      <c r="EB472" s="173"/>
      <c r="EC472" s="155"/>
      <c r="ED472" s="155"/>
      <c r="EE472" s="155"/>
      <c r="EF472" s="423"/>
      <c r="EG472" s="155"/>
      <c r="EH472" s="155"/>
      <c r="EI472" s="155"/>
      <c r="EJ472" s="267"/>
      <c r="EK472" s="155"/>
      <c r="EL472" s="155"/>
      <c r="EM472" s="155"/>
      <c r="EN472" s="428"/>
    </row>
    <row r="473" spans="1:144">
      <c r="A473" s="360"/>
      <c r="B473" s="172"/>
      <c r="C473" s="360"/>
      <c r="D473" s="172"/>
      <c r="E473" s="408"/>
      <c r="F473" s="408"/>
      <c r="G473" s="509"/>
      <c r="H473" s="546"/>
      <c r="I473" s="546"/>
      <c r="J473" s="251"/>
      <c r="K473" s="251"/>
      <c r="L473" s="509"/>
      <c r="M473" s="509"/>
      <c r="N473" s="509"/>
      <c r="O473" s="547"/>
      <c r="P473" s="200"/>
      <c r="Q473" s="174"/>
      <c r="R473" s="390"/>
      <c r="S473" s="510"/>
      <c r="T473" s="200"/>
      <c r="U473" s="174"/>
      <c r="V473" s="174"/>
      <c r="W473" s="510"/>
      <c r="X473" s="174"/>
      <c r="Y473" s="174"/>
      <c r="Z473" s="174"/>
      <c r="AA473" s="510"/>
      <c r="AB473" s="200"/>
      <c r="AC473" s="174"/>
      <c r="AD473" s="390"/>
      <c r="AE473" s="510"/>
      <c r="AF473" s="200"/>
      <c r="AG473" s="174"/>
      <c r="AH473" s="174"/>
      <c r="AI473" s="200"/>
      <c r="AJ473" s="548"/>
      <c r="AK473" s="200"/>
      <c r="AL473" s="174"/>
      <c r="AM473" s="390"/>
      <c r="AN473" s="510"/>
      <c r="AO473" s="200"/>
      <c r="AP473" s="174"/>
      <c r="AQ473" s="510"/>
      <c r="AR473" s="200"/>
      <c r="AS473" s="174"/>
      <c r="AT473" s="510"/>
      <c r="AU473" s="200"/>
      <c r="AV473" s="174"/>
      <c r="AW473" s="510"/>
      <c r="AX473" s="200"/>
      <c r="AY473" s="174"/>
      <c r="AZ473" s="510"/>
      <c r="BA473" s="174"/>
      <c r="BB473" s="174"/>
      <c r="BC473" s="174"/>
      <c r="BD473" s="174"/>
      <c r="BE473" s="174"/>
      <c r="BF473" s="510"/>
      <c r="BG473" s="174"/>
      <c r="BH473" s="174"/>
      <c r="BI473" s="174"/>
      <c r="BJ473" s="200"/>
      <c r="BK473" s="174"/>
      <c r="BL473" s="510"/>
      <c r="BM473" s="174"/>
      <c r="BN473" s="174"/>
      <c r="BO473" s="510"/>
      <c r="BP473" s="200"/>
      <c r="BQ473" s="447"/>
      <c r="BR473" s="510"/>
      <c r="BS473" s="174"/>
      <c r="BT473" s="174"/>
      <c r="BU473" s="510"/>
      <c r="BV473" s="200"/>
      <c r="BW473" s="174"/>
      <c r="BX473" s="510"/>
      <c r="BY473" s="174"/>
      <c r="BZ473" s="174"/>
      <c r="CA473" s="510"/>
      <c r="CB473" s="200"/>
      <c r="CC473" s="174"/>
      <c r="CD473" s="510"/>
      <c r="CE473" s="174"/>
      <c r="CF473" s="174"/>
      <c r="CG473" s="510"/>
      <c r="CH473" s="174"/>
      <c r="CI473" s="174"/>
      <c r="CJ473" s="174"/>
      <c r="CK473" s="174"/>
      <c r="CL473" s="174"/>
      <c r="CM473" s="510"/>
      <c r="CN473" s="174"/>
      <c r="CO473" s="549"/>
      <c r="CP473" s="510"/>
      <c r="CQ473" s="200"/>
      <c r="CR473" s="550"/>
      <c r="CS473" s="510"/>
      <c r="CT473" s="390"/>
      <c r="CU473" s="331"/>
      <c r="CV473" s="428"/>
      <c r="CW473" s="155"/>
      <c r="CX473" s="155"/>
      <c r="CY473" s="267"/>
      <c r="CZ473" s="323"/>
      <c r="DA473" s="323"/>
      <c r="DB473" s="423"/>
      <c r="DC473" s="155"/>
      <c r="DD473" s="155"/>
      <c r="DE473" s="267"/>
      <c r="DF473" s="323"/>
      <c r="DG473" s="323"/>
      <c r="DH473" s="428"/>
      <c r="DI473" s="155"/>
      <c r="DJ473" s="155"/>
      <c r="DK473" s="222"/>
      <c r="DL473" s="267"/>
      <c r="DM473" s="155"/>
      <c r="DN473" s="155"/>
      <c r="DO473" s="155"/>
      <c r="DP473" s="423"/>
      <c r="DQ473" s="155"/>
      <c r="DR473" s="155"/>
      <c r="DS473" s="222"/>
      <c r="DT473" s="267"/>
      <c r="DU473" s="174"/>
      <c r="DV473" s="174"/>
      <c r="DW473" s="200"/>
      <c r="DX473" s="428"/>
      <c r="DY473" s="155"/>
      <c r="DZ473" s="155"/>
      <c r="EA473" s="155"/>
      <c r="EB473" s="173"/>
      <c r="EC473" s="155"/>
      <c r="ED473" s="155"/>
      <c r="EE473" s="155"/>
      <c r="EF473" s="423"/>
      <c r="EG473" s="155"/>
      <c r="EH473" s="155"/>
      <c r="EI473" s="155"/>
      <c r="EJ473" s="267"/>
      <c r="EK473" s="155"/>
      <c r="EL473" s="155"/>
      <c r="EM473" s="155"/>
      <c r="EN473" s="428"/>
    </row>
    <row r="474" spans="1:144">
      <c r="A474" s="360"/>
      <c r="B474" s="172"/>
      <c r="C474" s="360"/>
      <c r="D474" s="172"/>
      <c r="E474" s="408"/>
      <c r="F474" s="408"/>
      <c r="G474" s="509"/>
      <c r="H474" s="546"/>
      <c r="I474" s="546"/>
      <c r="J474" s="251"/>
      <c r="K474" s="251"/>
      <c r="L474" s="509"/>
      <c r="M474" s="509"/>
      <c r="N474" s="509"/>
      <c r="O474" s="547"/>
      <c r="P474" s="200"/>
      <c r="Q474" s="174"/>
      <c r="R474" s="390"/>
      <c r="S474" s="510"/>
      <c r="T474" s="200"/>
      <c r="U474" s="174"/>
      <c r="V474" s="174"/>
      <c r="W474" s="510"/>
      <c r="X474" s="174"/>
      <c r="Y474" s="174"/>
      <c r="Z474" s="174"/>
      <c r="AA474" s="510"/>
      <c r="AB474" s="200"/>
      <c r="AC474" s="174"/>
      <c r="AD474" s="390"/>
      <c r="AE474" s="510"/>
      <c r="AF474" s="200"/>
      <c r="AG474" s="174"/>
      <c r="AH474" s="174"/>
      <c r="AI474" s="200"/>
      <c r="AJ474" s="548"/>
      <c r="AK474" s="200"/>
      <c r="AL474" s="174"/>
      <c r="AM474" s="390"/>
      <c r="AN474" s="510"/>
      <c r="AO474" s="200"/>
      <c r="AP474" s="174"/>
      <c r="AQ474" s="510"/>
      <c r="AR474" s="200"/>
      <c r="AS474" s="174"/>
      <c r="AT474" s="510"/>
      <c r="AU474" s="200"/>
      <c r="AV474" s="174"/>
      <c r="AW474" s="510"/>
      <c r="AX474" s="200"/>
      <c r="AY474" s="174"/>
      <c r="AZ474" s="510"/>
      <c r="BA474" s="174"/>
      <c r="BB474" s="174"/>
      <c r="BC474" s="174"/>
      <c r="BD474" s="174"/>
      <c r="BE474" s="174"/>
      <c r="BF474" s="510"/>
      <c r="BG474" s="174"/>
      <c r="BH474" s="174"/>
      <c r="BI474" s="174"/>
      <c r="BJ474" s="200"/>
      <c r="BK474" s="174"/>
      <c r="BL474" s="510"/>
      <c r="BM474" s="174"/>
      <c r="BN474" s="174"/>
      <c r="BO474" s="510"/>
      <c r="BP474" s="200"/>
      <c r="BQ474" s="447"/>
      <c r="BR474" s="510"/>
      <c r="BS474" s="174"/>
      <c r="BT474" s="174"/>
      <c r="BU474" s="510"/>
      <c r="BV474" s="200"/>
      <c r="BW474" s="174"/>
      <c r="BX474" s="510"/>
      <c r="BY474" s="174"/>
      <c r="BZ474" s="174"/>
      <c r="CA474" s="510"/>
      <c r="CB474" s="200"/>
      <c r="CC474" s="174"/>
      <c r="CD474" s="510"/>
      <c r="CE474" s="174"/>
      <c r="CF474" s="174"/>
      <c r="CG474" s="510"/>
      <c r="CH474" s="174"/>
      <c r="CI474" s="174"/>
      <c r="CJ474" s="174"/>
      <c r="CK474" s="174"/>
      <c r="CL474" s="174"/>
      <c r="CM474" s="510"/>
      <c r="CN474" s="174"/>
      <c r="CO474" s="549"/>
      <c r="CP474" s="510"/>
      <c r="CQ474" s="200"/>
      <c r="CR474" s="550"/>
      <c r="CS474" s="510"/>
      <c r="CT474" s="390"/>
      <c r="CU474" s="331"/>
      <c r="CV474" s="428"/>
      <c r="CW474" s="155"/>
      <c r="CX474" s="155"/>
      <c r="CY474" s="267"/>
      <c r="CZ474" s="323"/>
      <c r="DA474" s="323"/>
      <c r="DB474" s="423"/>
      <c r="DC474" s="155"/>
      <c r="DD474" s="155"/>
      <c r="DE474" s="267"/>
      <c r="DF474" s="323"/>
      <c r="DG474" s="323"/>
      <c r="DH474" s="428"/>
      <c r="DI474" s="155"/>
      <c r="DJ474" s="155"/>
      <c r="DK474" s="222"/>
      <c r="DL474" s="267"/>
      <c r="DM474" s="155"/>
      <c r="DN474" s="155"/>
      <c r="DO474" s="155"/>
      <c r="DP474" s="423"/>
      <c r="DQ474" s="155"/>
      <c r="DR474" s="155"/>
      <c r="DS474" s="222"/>
      <c r="DT474" s="267"/>
      <c r="DU474" s="174"/>
      <c r="DV474" s="174"/>
      <c r="DW474" s="200"/>
      <c r="DX474" s="428"/>
      <c r="DY474" s="155"/>
      <c r="DZ474" s="155"/>
      <c r="EA474" s="155"/>
      <c r="EB474" s="173"/>
      <c r="EC474" s="155"/>
      <c r="ED474" s="155"/>
      <c r="EE474" s="155"/>
      <c r="EF474" s="423"/>
      <c r="EG474" s="155"/>
      <c r="EH474" s="155"/>
      <c r="EI474" s="155"/>
      <c r="EJ474" s="267"/>
      <c r="EK474" s="155"/>
      <c r="EL474" s="155"/>
      <c r="EM474" s="155"/>
      <c r="EN474" s="428"/>
    </row>
    <row r="475" spans="1:144">
      <c r="A475" s="360"/>
      <c r="B475" s="172"/>
      <c r="C475" s="360"/>
      <c r="D475" s="172"/>
      <c r="E475" s="408"/>
      <c r="F475" s="408"/>
      <c r="G475" s="509"/>
      <c r="H475" s="546"/>
      <c r="I475" s="546"/>
      <c r="J475" s="251"/>
      <c r="K475" s="251"/>
      <c r="L475" s="509"/>
      <c r="M475" s="509"/>
      <c r="N475" s="509"/>
      <c r="O475" s="547"/>
      <c r="P475" s="200"/>
      <c r="Q475" s="174"/>
      <c r="R475" s="390"/>
      <c r="S475" s="510"/>
      <c r="T475" s="200"/>
      <c r="U475" s="174"/>
      <c r="V475" s="174"/>
      <c r="W475" s="510"/>
      <c r="X475" s="174"/>
      <c r="Y475" s="174"/>
      <c r="Z475" s="174"/>
      <c r="AA475" s="510"/>
      <c r="AB475" s="200"/>
      <c r="AC475" s="174"/>
      <c r="AD475" s="390"/>
      <c r="AE475" s="510"/>
      <c r="AF475" s="200"/>
      <c r="AG475" s="174"/>
      <c r="AH475" s="174"/>
      <c r="AI475" s="200"/>
      <c r="AJ475" s="548"/>
      <c r="AK475" s="200"/>
      <c r="AL475" s="174"/>
      <c r="AM475" s="390"/>
      <c r="AN475" s="510"/>
      <c r="AO475" s="200"/>
      <c r="AP475" s="174"/>
      <c r="AQ475" s="510"/>
      <c r="AR475" s="200"/>
      <c r="AS475" s="174"/>
      <c r="AT475" s="510"/>
      <c r="AU475" s="200"/>
      <c r="AV475" s="174"/>
      <c r="AW475" s="510"/>
      <c r="AX475" s="200"/>
      <c r="AY475" s="174"/>
      <c r="AZ475" s="510"/>
      <c r="BA475" s="174"/>
      <c r="BB475" s="174"/>
      <c r="BC475" s="174"/>
      <c r="BD475" s="174"/>
      <c r="BE475" s="174"/>
      <c r="BF475" s="510"/>
      <c r="BG475" s="174"/>
      <c r="BH475" s="174"/>
      <c r="BI475" s="174"/>
      <c r="BJ475" s="200"/>
      <c r="BK475" s="174"/>
      <c r="BL475" s="510"/>
      <c r="BM475" s="174"/>
      <c r="BN475" s="174"/>
      <c r="BO475" s="510"/>
      <c r="BP475" s="200"/>
      <c r="BQ475" s="447"/>
      <c r="BR475" s="510"/>
      <c r="BS475" s="174"/>
      <c r="BT475" s="174"/>
      <c r="BU475" s="510"/>
      <c r="BV475" s="200"/>
      <c r="BW475" s="174"/>
      <c r="BX475" s="510"/>
      <c r="BY475" s="174"/>
      <c r="BZ475" s="174"/>
      <c r="CA475" s="510"/>
      <c r="CB475" s="200"/>
      <c r="CC475" s="174"/>
      <c r="CD475" s="510"/>
      <c r="CE475" s="174"/>
      <c r="CF475" s="174"/>
      <c r="CG475" s="510"/>
      <c r="CH475" s="174"/>
      <c r="CI475" s="174"/>
      <c r="CJ475" s="174"/>
      <c r="CK475" s="174"/>
      <c r="CL475" s="174"/>
      <c r="CM475" s="510"/>
      <c r="CN475" s="174"/>
      <c r="CO475" s="549"/>
      <c r="CP475" s="510"/>
      <c r="CQ475" s="200"/>
      <c r="CR475" s="550"/>
      <c r="CS475" s="510"/>
      <c r="CT475" s="390"/>
      <c r="CU475" s="331"/>
      <c r="CV475" s="428"/>
      <c r="CW475" s="155"/>
      <c r="CX475" s="155"/>
      <c r="CY475" s="267"/>
      <c r="CZ475" s="323"/>
      <c r="DA475" s="323"/>
      <c r="DB475" s="423"/>
      <c r="DC475" s="155"/>
      <c r="DD475" s="155"/>
      <c r="DE475" s="267"/>
      <c r="DF475" s="323"/>
      <c r="DG475" s="323"/>
      <c r="DH475" s="428"/>
      <c r="DI475" s="155"/>
      <c r="DJ475" s="155"/>
      <c r="DK475" s="222"/>
      <c r="DL475" s="267"/>
      <c r="DM475" s="155"/>
      <c r="DN475" s="155"/>
      <c r="DO475" s="155"/>
      <c r="DP475" s="423"/>
      <c r="DQ475" s="155"/>
      <c r="DR475" s="155"/>
      <c r="DS475" s="222"/>
      <c r="DT475" s="267"/>
      <c r="DU475" s="174"/>
      <c r="DV475" s="174"/>
      <c r="DW475" s="200"/>
      <c r="DX475" s="428"/>
      <c r="DY475" s="155"/>
      <c r="DZ475" s="155"/>
      <c r="EA475" s="155"/>
      <c r="EB475" s="173"/>
      <c r="EC475" s="155"/>
      <c r="ED475" s="155"/>
      <c r="EE475" s="155"/>
      <c r="EF475" s="423"/>
      <c r="EG475" s="155"/>
      <c r="EH475" s="155"/>
      <c r="EI475" s="155"/>
      <c r="EJ475" s="267"/>
      <c r="EK475" s="155"/>
      <c r="EL475" s="155"/>
      <c r="EM475" s="155"/>
      <c r="EN475" s="428"/>
    </row>
    <row r="476" spans="1:144">
      <c r="A476" s="360"/>
      <c r="B476" s="172"/>
      <c r="C476" s="360"/>
      <c r="D476" s="172"/>
      <c r="E476" s="408"/>
      <c r="F476" s="408"/>
      <c r="G476" s="509"/>
      <c r="H476" s="546"/>
      <c r="I476" s="546"/>
      <c r="J476" s="251"/>
      <c r="K476" s="251"/>
      <c r="L476" s="509"/>
      <c r="M476" s="509"/>
      <c r="N476" s="509"/>
      <c r="O476" s="547"/>
      <c r="P476" s="200"/>
      <c r="Q476" s="174"/>
      <c r="R476" s="390"/>
      <c r="S476" s="510"/>
      <c r="T476" s="200"/>
      <c r="U476" s="174"/>
      <c r="V476" s="174"/>
      <c r="W476" s="510"/>
      <c r="X476" s="174"/>
      <c r="Y476" s="174"/>
      <c r="Z476" s="174"/>
      <c r="AA476" s="510"/>
      <c r="AB476" s="200"/>
      <c r="AC476" s="174"/>
      <c r="AD476" s="390"/>
      <c r="AE476" s="510"/>
      <c r="AF476" s="200"/>
      <c r="AG476" s="174"/>
      <c r="AH476" s="174"/>
      <c r="AI476" s="200"/>
      <c r="AJ476" s="548"/>
      <c r="AK476" s="200"/>
      <c r="AL476" s="174"/>
      <c r="AM476" s="390"/>
      <c r="AN476" s="510"/>
      <c r="AO476" s="200"/>
      <c r="AP476" s="174"/>
      <c r="AQ476" s="510"/>
      <c r="AR476" s="200"/>
      <c r="AS476" s="174"/>
      <c r="AT476" s="510"/>
      <c r="AU476" s="200"/>
      <c r="AV476" s="174"/>
      <c r="AW476" s="510"/>
      <c r="AX476" s="200"/>
      <c r="AY476" s="174"/>
      <c r="AZ476" s="510"/>
      <c r="BA476" s="174"/>
      <c r="BB476" s="174"/>
      <c r="BC476" s="174"/>
      <c r="BD476" s="174"/>
      <c r="BE476" s="174"/>
      <c r="BF476" s="510"/>
      <c r="BG476" s="174"/>
      <c r="BH476" s="174"/>
      <c r="BI476" s="174"/>
      <c r="BJ476" s="200"/>
      <c r="BK476" s="174"/>
      <c r="BL476" s="510"/>
      <c r="BM476" s="174"/>
      <c r="BN476" s="174"/>
      <c r="BO476" s="510"/>
      <c r="BP476" s="200"/>
      <c r="BQ476" s="447"/>
      <c r="BR476" s="510"/>
      <c r="BS476" s="174"/>
      <c r="BT476" s="174"/>
      <c r="BU476" s="510"/>
      <c r="BV476" s="200"/>
      <c r="BW476" s="174"/>
      <c r="BX476" s="510"/>
      <c r="BY476" s="174"/>
      <c r="BZ476" s="174"/>
      <c r="CA476" s="510"/>
      <c r="CB476" s="200"/>
      <c r="CC476" s="174"/>
      <c r="CD476" s="510"/>
      <c r="CE476" s="174"/>
      <c r="CF476" s="174"/>
      <c r="CG476" s="510"/>
      <c r="CH476" s="174"/>
      <c r="CI476" s="174"/>
      <c r="CJ476" s="174"/>
      <c r="CK476" s="174"/>
      <c r="CL476" s="174"/>
      <c r="CM476" s="510"/>
      <c r="CN476" s="174"/>
      <c r="CO476" s="549"/>
      <c r="CP476" s="510"/>
      <c r="CQ476" s="200"/>
      <c r="CR476" s="550"/>
      <c r="CS476" s="510"/>
      <c r="CT476" s="390"/>
      <c r="CU476" s="331"/>
      <c r="CV476" s="428"/>
      <c r="CW476" s="155"/>
      <c r="CX476" s="155"/>
      <c r="CY476" s="267"/>
      <c r="CZ476" s="323"/>
      <c r="DA476" s="323"/>
      <c r="DB476" s="423"/>
      <c r="DC476" s="155"/>
      <c r="DD476" s="155"/>
      <c r="DE476" s="267"/>
      <c r="DF476" s="323"/>
      <c r="DG476" s="323"/>
      <c r="DH476" s="428"/>
      <c r="DI476" s="155"/>
      <c r="DJ476" s="155"/>
      <c r="DK476" s="222"/>
      <c r="DL476" s="267"/>
      <c r="DM476" s="155"/>
      <c r="DN476" s="155"/>
      <c r="DO476" s="155"/>
      <c r="DP476" s="423"/>
      <c r="DQ476" s="155"/>
      <c r="DR476" s="155"/>
      <c r="DS476" s="222"/>
      <c r="DT476" s="267"/>
      <c r="DU476" s="174"/>
      <c r="DV476" s="174"/>
      <c r="DW476" s="200"/>
      <c r="DX476" s="428"/>
      <c r="DY476" s="155"/>
      <c r="DZ476" s="155"/>
      <c r="EA476" s="155"/>
      <c r="EB476" s="173"/>
      <c r="EC476" s="155"/>
      <c r="ED476" s="155"/>
      <c r="EE476" s="155"/>
      <c r="EF476" s="423"/>
      <c r="EG476" s="155"/>
      <c r="EH476" s="155"/>
      <c r="EI476" s="155"/>
      <c r="EJ476" s="267"/>
      <c r="EK476" s="155"/>
      <c r="EL476" s="155"/>
      <c r="EM476" s="155"/>
      <c r="EN476" s="428"/>
    </row>
    <row r="477" spans="1:144">
      <c r="A477" s="360"/>
      <c r="B477" s="172"/>
      <c r="C477" s="360"/>
      <c r="D477" s="172"/>
      <c r="E477" s="408"/>
      <c r="F477" s="408"/>
      <c r="G477" s="509"/>
      <c r="H477" s="546"/>
      <c r="I477" s="546"/>
      <c r="J477" s="251"/>
      <c r="K477" s="251"/>
      <c r="L477" s="509"/>
      <c r="M477" s="509"/>
      <c r="N477" s="509"/>
      <c r="O477" s="547"/>
      <c r="P477" s="200"/>
      <c r="Q477" s="174"/>
      <c r="R477" s="390"/>
      <c r="S477" s="510"/>
      <c r="T477" s="200"/>
      <c r="U477" s="174"/>
      <c r="V477" s="174"/>
      <c r="W477" s="510"/>
      <c r="X477" s="174"/>
      <c r="Y477" s="174"/>
      <c r="Z477" s="174"/>
      <c r="AA477" s="510"/>
      <c r="AB477" s="200"/>
      <c r="AC477" s="174"/>
      <c r="AD477" s="390"/>
      <c r="AE477" s="510"/>
      <c r="AF477" s="200"/>
      <c r="AG477" s="174"/>
      <c r="AH477" s="174"/>
      <c r="AI477" s="200"/>
      <c r="AJ477" s="548"/>
      <c r="AK477" s="200"/>
      <c r="AL477" s="174"/>
      <c r="AM477" s="390"/>
      <c r="AN477" s="510"/>
      <c r="AO477" s="200"/>
      <c r="AP477" s="174"/>
      <c r="AQ477" s="510"/>
      <c r="AR477" s="200"/>
      <c r="AS477" s="174"/>
      <c r="AT477" s="510"/>
      <c r="AU477" s="200"/>
      <c r="AV477" s="174"/>
      <c r="AW477" s="510"/>
      <c r="AX477" s="200"/>
      <c r="AY477" s="174"/>
      <c r="AZ477" s="510"/>
      <c r="BA477" s="174"/>
      <c r="BB477" s="174"/>
      <c r="BC477" s="174"/>
      <c r="BD477" s="174"/>
      <c r="BE477" s="174"/>
      <c r="BF477" s="510"/>
      <c r="BG477" s="174"/>
      <c r="BH477" s="174"/>
      <c r="BI477" s="174"/>
      <c r="BJ477" s="200"/>
      <c r="BK477" s="174"/>
      <c r="BL477" s="510"/>
      <c r="BM477" s="174"/>
      <c r="BN477" s="174"/>
      <c r="BO477" s="510"/>
      <c r="BP477" s="200"/>
      <c r="BQ477" s="447"/>
      <c r="BR477" s="510"/>
      <c r="BS477" s="174"/>
      <c r="BT477" s="174"/>
      <c r="BU477" s="510"/>
      <c r="BV477" s="200"/>
      <c r="BW477" s="174"/>
      <c r="BX477" s="510"/>
      <c r="BY477" s="174"/>
      <c r="BZ477" s="174"/>
      <c r="CA477" s="510"/>
      <c r="CB477" s="200"/>
      <c r="CC477" s="174"/>
      <c r="CD477" s="510"/>
      <c r="CE477" s="174"/>
      <c r="CF477" s="174"/>
      <c r="CG477" s="510"/>
      <c r="CH477" s="174"/>
      <c r="CI477" s="174"/>
      <c r="CJ477" s="174"/>
      <c r="CK477" s="174"/>
      <c r="CL477" s="174"/>
      <c r="CM477" s="510"/>
      <c r="CN477" s="174"/>
      <c r="CO477" s="549"/>
      <c r="CP477" s="510"/>
      <c r="CQ477" s="200"/>
      <c r="CR477" s="550"/>
      <c r="CS477" s="510"/>
      <c r="CT477" s="390"/>
      <c r="CU477" s="331"/>
      <c r="CV477" s="428"/>
      <c r="CW477" s="155"/>
      <c r="CX477" s="155"/>
      <c r="CY477" s="267"/>
      <c r="CZ477" s="323"/>
      <c r="DA477" s="323"/>
      <c r="DB477" s="423"/>
      <c r="DC477" s="155"/>
      <c r="DD477" s="155"/>
      <c r="DE477" s="267"/>
      <c r="DF477" s="323"/>
      <c r="DG477" s="323"/>
      <c r="DH477" s="428"/>
      <c r="DI477" s="155"/>
      <c r="DJ477" s="155"/>
      <c r="DK477" s="222"/>
      <c r="DL477" s="267"/>
      <c r="DM477" s="155"/>
      <c r="DN477" s="155"/>
      <c r="DO477" s="155"/>
      <c r="DP477" s="423"/>
      <c r="DQ477" s="155"/>
      <c r="DR477" s="155"/>
      <c r="DS477" s="222"/>
      <c r="DT477" s="267"/>
      <c r="DU477" s="174"/>
      <c r="DV477" s="174"/>
      <c r="DW477" s="200"/>
      <c r="DX477" s="428"/>
      <c r="DY477" s="155"/>
      <c r="DZ477" s="155"/>
      <c r="EA477" s="155"/>
      <c r="EB477" s="173"/>
      <c r="EC477" s="155"/>
      <c r="ED477" s="155"/>
      <c r="EE477" s="155"/>
      <c r="EF477" s="423"/>
      <c r="EG477" s="155"/>
      <c r="EH477" s="155"/>
      <c r="EI477" s="155"/>
      <c r="EJ477" s="267"/>
      <c r="EK477" s="155"/>
      <c r="EL477" s="155"/>
      <c r="EM477" s="155"/>
      <c r="EN477" s="428"/>
    </row>
    <row r="478" spans="1:144">
      <c r="A478" s="360"/>
      <c r="B478" s="172"/>
      <c r="C478" s="360"/>
      <c r="D478" s="172"/>
      <c r="E478" s="408"/>
      <c r="F478" s="408"/>
      <c r="G478" s="509"/>
      <c r="H478" s="546"/>
      <c r="I478" s="546"/>
      <c r="J478" s="251"/>
      <c r="K478" s="251"/>
      <c r="L478" s="509"/>
      <c r="M478" s="509"/>
      <c r="N478" s="509"/>
      <c r="O478" s="547"/>
      <c r="P478" s="200"/>
      <c r="Q478" s="174"/>
      <c r="R478" s="390"/>
      <c r="S478" s="510"/>
      <c r="T478" s="200"/>
      <c r="U478" s="174"/>
      <c r="V478" s="174"/>
      <c r="W478" s="510"/>
      <c r="X478" s="174"/>
      <c r="Y478" s="174"/>
      <c r="Z478" s="174"/>
      <c r="AA478" s="510"/>
      <c r="AB478" s="200"/>
      <c r="AC478" s="174"/>
      <c r="AD478" s="390"/>
      <c r="AE478" s="510"/>
      <c r="AF478" s="200"/>
      <c r="AG478" s="174"/>
      <c r="AH478" s="174"/>
      <c r="AI478" s="200"/>
      <c r="AJ478" s="548"/>
      <c r="AK478" s="200"/>
      <c r="AL478" s="174"/>
      <c r="AM478" s="390"/>
      <c r="AN478" s="510"/>
      <c r="AO478" s="200"/>
      <c r="AP478" s="174"/>
      <c r="AQ478" s="510"/>
      <c r="AR478" s="200"/>
      <c r="AS478" s="174"/>
      <c r="AT478" s="510"/>
      <c r="AU478" s="200"/>
      <c r="AV478" s="174"/>
      <c r="AW478" s="510"/>
      <c r="AX478" s="200"/>
      <c r="AY478" s="174"/>
      <c r="AZ478" s="510"/>
      <c r="BA478" s="174"/>
      <c r="BB478" s="174"/>
      <c r="BC478" s="174"/>
      <c r="BD478" s="174"/>
      <c r="BE478" s="174"/>
      <c r="BF478" s="510"/>
      <c r="BG478" s="174"/>
      <c r="BH478" s="174"/>
      <c r="BI478" s="174"/>
      <c r="BJ478" s="200"/>
      <c r="BK478" s="174"/>
      <c r="BL478" s="510"/>
      <c r="BM478" s="174"/>
      <c r="BN478" s="174"/>
      <c r="BO478" s="510"/>
      <c r="BP478" s="200"/>
      <c r="BQ478" s="447"/>
      <c r="BR478" s="510"/>
      <c r="BS478" s="174"/>
      <c r="BT478" s="174"/>
      <c r="BU478" s="510"/>
      <c r="BV478" s="200"/>
      <c r="BW478" s="174"/>
      <c r="BX478" s="510"/>
      <c r="BY478" s="174"/>
      <c r="BZ478" s="174"/>
      <c r="CA478" s="510"/>
      <c r="CB478" s="200"/>
      <c r="CC478" s="174"/>
      <c r="CD478" s="510"/>
      <c r="CE478" s="174"/>
      <c r="CF478" s="174"/>
      <c r="CG478" s="510"/>
      <c r="CH478" s="174"/>
      <c r="CI478" s="174"/>
      <c r="CJ478" s="174"/>
      <c r="CK478" s="174"/>
      <c r="CL478" s="174"/>
      <c r="CM478" s="510"/>
      <c r="CN478" s="174"/>
      <c r="CO478" s="549"/>
      <c r="CP478" s="510"/>
      <c r="CQ478" s="200"/>
      <c r="CR478" s="550"/>
      <c r="CS478" s="510"/>
      <c r="CT478" s="390"/>
      <c r="CU478" s="331"/>
      <c r="CV478" s="428"/>
      <c r="CW478" s="155"/>
      <c r="CX478" s="155"/>
      <c r="CY478" s="267"/>
      <c r="CZ478" s="323"/>
      <c r="DA478" s="323"/>
      <c r="DB478" s="423"/>
      <c r="DC478" s="155"/>
      <c r="DD478" s="155"/>
      <c r="DE478" s="267"/>
      <c r="DF478" s="323"/>
      <c r="DG478" s="323"/>
      <c r="DH478" s="428"/>
      <c r="DI478" s="155"/>
      <c r="DJ478" s="155"/>
      <c r="DK478" s="222"/>
      <c r="DL478" s="267"/>
      <c r="DM478" s="155"/>
      <c r="DN478" s="155"/>
      <c r="DO478" s="155"/>
      <c r="DP478" s="423"/>
      <c r="DQ478" s="155"/>
      <c r="DR478" s="155"/>
      <c r="DS478" s="222"/>
      <c r="DT478" s="267"/>
      <c r="DU478" s="174"/>
      <c r="DV478" s="174"/>
      <c r="DW478" s="200"/>
      <c r="DX478" s="428"/>
      <c r="DY478" s="155"/>
      <c r="DZ478" s="155"/>
      <c r="EA478" s="155"/>
      <c r="EB478" s="173"/>
      <c r="EC478" s="155"/>
      <c r="ED478" s="155"/>
      <c r="EE478" s="155"/>
      <c r="EF478" s="423"/>
      <c r="EG478" s="155"/>
      <c r="EH478" s="155"/>
      <c r="EI478" s="155"/>
      <c r="EJ478" s="267"/>
      <c r="EK478" s="155"/>
      <c r="EL478" s="155"/>
      <c r="EM478" s="155"/>
      <c r="EN478" s="428"/>
    </row>
    <row r="479" spans="1:144">
      <c r="A479" s="360"/>
      <c r="B479" s="172"/>
      <c r="C479" s="360"/>
      <c r="D479" s="172"/>
      <c r="E479" s="408"/>
      <c r="F479" s="408"/>
      <c r="G479" s="509"/>
      <c r="H479" s="546"/>
      <c r="I479" s="546"/>
      <c r="J479" s="251"/>
      <c r="K479" s="251"/>
      <c r="L479" s="509"/>
      <c r="M479" s="509"/>
      <c r="N479" s="509"/>
      <c r="O479" s="547"/>
      <c r="P479" s="200"/>
      <c r="Q479" s="174"/>
      <c r="R479" s="390"/>
      <c r="S479" s="510"/>
      <c r="T479" s="200"/>
      <c r="U479" s="174"/>
      <c r="V479" s="174"/>
      <c r="W479" s="510"/>
      <c r="X479" s="174"/>
      <c r="Y479" s="174"/>
      <c r="Z479" s="174"/>
      <c r="AA479" s="510"/>
      <c r="AB479" s="200"/>
      <c r="AC479" s="174"/>
      <c r="AD479" s="390"/>
      <c r="AE479" s="510"/>
      <c r="AF479" s="200"/>
      <c r="AG479" s="174"/>
      <c r="AH479" s="174"/>
      <c r="AI479" s="200"/>
      <c r="AJ479" s="548"/>
      <c r="AK479" s="200"/>
      <c r="AL479" s="174"/>
      <c r="AM479" s="390"/>
      <c r="AN479" s="510"/>
      <c r="AO479" s="200"/>
      <c r="AP479" s="174"/>
      <c r="AQ479" s="510"/>
      <c r="AR479" s="200"/>
      <c r="AS479" s="174"/>
      <c r="AT479" s="510"/>
      <c r="AU479" s="200"/>
      <c r="AV479" s="174"/>
      <c r="AW479" s="510"/>
      <c r="AX479" s="200"/>
      <c r="AY479" s="174"/>
      <c r="AZ479" s="510"/>
      <c r="BA479" s="174"/>
      <c r="BB479" s="174"/>
      <c r="BC479" s="174"/>
      <c r="BD479" s="174"/>
      <c r="BE479" s="174"/>
      <c r="BF479" s="510"/>
      <c r="BG479" s="174"/>
      <c r="BH479" s="174"/>
      <c r="BI479" s="174"/>
      <c r="BJ479" s="200"/>
      <c r="BK479" s="174"/>
      <c r="BL479" s="510"/>
      <c r="BM479" s="174"/>
      <c r="BN479" s="174"/>
      <c r="BO479" s="510"/>
      <c r="BP479" s="200"/>
      <c r="BQ479" s="447"/>
      <c r="BR479" s="510"/>
      <c r="BS479" s="174"/>
      <c r="BT479" s="174"/>
      <c r="BU479" s="510"/>
      <c r="BV479" s="200"/>
      <c r="BW479" s="174"/>
      <c r="BX479" s="510"/>
      <c r="BY479" s="174"/>
      <c r="BZ479" s="174"/>
      <c r="CA479" s="510"/>
      <c r="CB479" s="200"/>
      <c r="CC479" s="174"/>
      <c r="CD479" s="510"/>
      <c r="CE479" s="174"/>
      <c r="CF479" s="174"/>
      <c r="CG479" s="510"/>
      <c r="CH479" s="174"/>
      <c r="CI479" s="174"/>
      <c r="CJ479" s="174"/>
      <c r="CK479" s="174"/>
      <c r="CL479" s="174"/>
      <c r="CM479" s="510"/>
      <c r="CN479" s="174"/>
      <c r="CO479" s="549"/>
      <c r="CP479" s="510"/>
      <c r="CQ479" s="200"/>
      <c r="CR479" s="550"/>
      <c r="CS479" s="510"/>
      <c r="CT479" s="390"/>
      <c r="CU479" s="331"/>
      <c r="CV479" s="428"/>
      <c r="CW479" s="155"/>
      <c r="CX479" s="155"/>
      <c r="CY479" s="267"/>
      <c r="CZ479" s="323"/>
      <c r="DA479" s="323"/>
      <c r="DB479" s="423"/>
      <c r="DC479" s="155"/>
      <c r="DD479" s="155"/>
      <c r="DE479" s="267"/>
      <c r="DF479" s="323"/>
      <c r="DG479" s="323"/>
      <c r="DH479" s="428"/>
      <c r="DI479" s="155"/>
      <c r="DJ479" s="155"/>
      <c r="DK479" s="222"/>
      <c r="DL479" s="267"/>
      <c r="DM479" s="155"/>
      <c r="DN479" s="155"/>
      <c r="DO479" s="155"/>
      <c r="DP479" s="423"/>
      <c r="DQ479" s="155"/>
      <c r="DR479" s="155"/>
      <c r="DS479" s="222"/>
      <c r="DT479" s="267"/>
      <c r="DU479" s="174"/>
      <c r="DV479" s="174"/>
      <c r="DW479" s="200"/>
      <c r="DX479" s="428"/>
      <c r="DY479" s="155"/>
      <c r="DZ479" s="155"/>
      <c r="EA479" s="155"/>
      <c r="EB479" s="173"/>
      <c r="EC479" s="155"/>
      <c r="ED479" s="155"/>
      <c r="EE479" s="155"/>
      <c r="EF479" s="423"/>
      <c r="EG479" s="155"/>
      <c r="EH479" s="155"/>
      <c r="EI479" s="155"/>
      <c r="EJ479" s="267"/>
      <c r="EK479" s="155"/>
      <c r="EL479" s="155"/>
      <c r="EM479" s="155"/>
      <c r="EN479" s="428"/>
    </row>
    <row r="480" spans="1:144">
      <c r="A480" s="360"/>
      <c r="B480" s="172"/>
      <c r="C480" s="360"/>
      <c r="D480" s="172"/>
      <c r="E480" s="408"/>
      <c r="F480" s="408"/>
      <c r="G480" s="509"/>
      <c r="H480" s="546"/>
      <c r="I480" s="546"/>
      <c r="J480" s="251"/>
      <c r="K480" s="251"/>
      <c r="L480" s="509"/>
      <c r="M480" s="509"/>
      <c r="N480" s="509"/>
      <c r="O480" s="547"/>
      <c r="P480" s="200"/>
      <c r="Q480" s="174"/>
      <c r="R480" s="390"/>
      <c r="S480" s="510"/>
      <c r="T480" s="200"/>
      <c r="U480" s="174"/>
      <c r="V480" s="174"/>
      <c r="W480" s="510"/>
      <c r="X480" s="174"/>
      <c r="Y480" s="174"/>
      <c r="Z480" s="174"/>
      <c r="AA480" s="510"/>
      <c r="AB480" s="200"/>
      <c r="AC480" s="174"/>
      <c r="AD480" s="390"/>
      <c r="AE480" s="510"/>
      <c r="AF480" s="200"/>
      <c r="AG480" s="174"/>
      <c r="AH480" s="174"/>
      <c r="AI480" s="200"/>
      <c r="AJ480" s="548"/>
      <c r="AK480" s="200"/>
      <c r="AL480" s="174"/>
      <c r="AM480" s="390"/>
      <c r="AN480" s="510"/>
      <c r="AO480" s="200"/>
      <c r="AP480" s="174"/>
      <c r="AQ480" s="510"/>
      <c r="AR480" s="200"/>
      <c r="AS480" s="174"/>
      <c r="AT480" s="510"/>
      <c r="AU480" s="200"/>
      <c r="AV480" s="174"/>
      <c r="AW480" s="510"/>
      <c r="AX480" s="200"/>
      <c r="AY480" s="174"/>
      <c r="AZ480" s="510"/>
      <c r="BA480" s="174"/>
      <c r="BB480" s="174"/>
      <c r="BC480" s="174"/>
      <c r="BD480" s="174"/>
      <c r="BE480" s="174"/>
      <c r="BF480" s="510"/>
      <c r="BG480" s="174"/>
      <c r="BH480" s="174"/>
      <c r="BI480" s="174"/>
      <c r="BJ480" s="200"/>
      <c r="BK480" s="174"/>
      <c r="BL480" s="510"/>
      <c r="BM480" s="174"/>
      <c r="BN480" s="174"/>
      <c r="BO480" s="510"/>
      <c r="BP480" s="200"/>
      <c r="BQ480" s="447"/>
      <c r="BR480" s="510"/>
      <c r="BS480" s="174"/>
      <c r="BT480" s="174"/>
      <c r="BU480" s="510"/>
      <c r="BV480" s="200"/>
      <c r="BW480" s="174"/>
      <c r="BX480" s="510"/>
      <c r="BY480" s="174"/>
      <c r="BZ480" s="174"/>
      <c r="CA480" s="510"/>
      <c r="CB480" s="200"/>
      <c r="CC480" s="174"/>
      <c r="CD480" s="510"/>
      <c r="CE480" s="174"/>
      <c r="CF480" s="174"/>
      <c r="CG480" s="510"/>
      <c r="CH480" s="174"/>
      <c r="CI480" s="174"/>
      <c r="CJ480" s="174"/>
      <c r="CK480" s="174"/>
      <c r="CL480" s="174"/>
      <c r="CM480" s="510"/>
      <c r="CN480" s="174"/>
      <c r="CO480" s="549"/>
      <c r="CP480" s="510"/>
      <c r="CQ480" s="200"/>
      <c r="CR480" s="550"/>
      <c r="CS480" s="510"/>
      <c r="CT480" s="390"/>
      <c r="CU480" s="331"/>
      <c r="CV480" s="428"/>
      <c r="CW480" s="155"/>
      <c r="CX480" s="155"/>
      <c r="CY480" s="267"/>
      <c r="CZ480" s="323"/>
      <c r="DA480" s="323"/>
      <c r="DB480" s="423"/>
      <c r="DC480" s="155"/>
      <c r="DD480" s="155"/>
      <c r="DE480" s="267"/>
      <c r="DF480" s="323"/>
      <c r="DG480" s="323"/>
      <c r="DH480" s="428"/>
      <c r="DI480" s="155"/>
      <c r="DJ480" s="155"/>
      <c r="DK480" s="222"/>
      <c r="DL480" s="267"/>
      <c r="DM480" s="155"/>
      <c r="DN480" s="155"/>
      <c r="DO480" s="155"/>
      <c r="DP480" s="423"/>
      <c r="DQ480" s="155"/>
      <c r="DR480" s="155"/>
      <c r="DS480" s="222"/>
      <c r="DT480" s="267"/>
      <c r="DU480" s="174"/>
      <c r="DV480" s="174"/>
      <c r="DW480" s="200"/>
      <c r="DX480" s="428"/>
      <c r="DY480" s="155"/>
      <c r="DZ480" s="155"/>
      <c r="EA480" s="155"/>
      <c r="EB480" s="173"/>
      <c r="EC480" s="155"/>
      <c r="ED480" s="155"/>
      <c r="EE480" s="155"/>
      <c r="EF480" s="423"/>
      <c r="EG480" s="155"/>
      <c r="EH480" s="155"/>
      <c r="EI480" s="155"/>
      <c r="EJ480" s="267"/>
      <c r="EK480" s="155"/>
      <c r="EL480" s="155"/>
      <c r="EM480" s="155"/>
      <c r="EN480" s="428"/>
    </row>
    <row r="481" spans="1:144">
      <c r="A481" s="360"/>
      <c r="B481" s="172"/>
      <c r="C481" s="360"/>
      <c r="D481" s="172"/>
      <c r="E481" s="408"/>
      <c r="F481" s="408"/>
      <c r="G481" s="509"/>
      <c r="H481" s="546"/>
      <c r="I481" s="546"/>
      <c r="J481" s="251"/>
      <c r="K481" s="251"/>
      <c r="L481" s="509"/>
      <c r="M481" s="509"/>
      <c r="N481" s="509"/>
      <c r="O481" s="547"/>
      <c r="P481" s="200"/>
      <c r="Q481" s="174"/>
      <c r="R481" s="390"/>
      <c r="S481" s="510"/>
      <c r="T481" s="200"/>
      <c r="U481" s="174"/>
      <c r="V481" s="174"/>
      <c r="W481" s="510"/>
      <c r="X481" s="174"/>
      <c r="Y481" s="174"/>
      <c r="Z481" s="174"/>
      <c r="AA481" s="510"/>
      <c r="AB481" s="200"/>
      <c r="AC481" s="174"/>
      <c r="AD481" s="390"/>
      <c r="AE481" s="510"/>
      <c r="AF481" s="200"/>
      <c r="AG481" s="174"/>
      <c r="AH481" s="174"/>
      <c r="AI481" s="200"/>
      <c r="AJ481" s="548"/>
      <c r="AK481" s="200"/>
      <c r="AL481" s="174"/>
      <c r="AM481" s="390"/>
      <c r="AN481" s="510"/>
      <c r="AO481" s="200"/>
      <c r="AP481" s="174"/>
      <c r="AQ481" s="510"/>
      <c r="AR481" s="200"/>
      <c r="AS481" s="174"/>
      <c r="AT481" s="510"/>
      <c r="AU481" s="200"/>
      <c r="AV481" s="174"/>
      <c r="AW481" s="510"/>
      <c r="AX481" s="200"/>
      <c r="AY481" s="174"/>
      <c r="AZ481" s="510"/>
      <c r="BA481" s="174"/>
      <c r="BB481" s="174"/>
      <c r="BC481" s="174"/>
      <c r="BD481" s="174"/>
      <c r="BE481" s="174"/>
      <c r="BF481" s="510"/>
      <c r="BG481" s="174"/>
      <c r="BH481" s="174"/>
      <c r="BI481" s="174"/>
      <c r="BJ481" s="200"/>
      <c r="BK481" s="174"/>
      <c r="BL481" s="510"/>
      <c r="BM481" s="174"/>
      <c r="BN481" s="174"/>
      <c r="BO481" s="510"/>
      <c r="BP481" s="200"/>
      <c r="BQ481" s="447"/>
      <c r="BR481" s="510"/>
      <c r="BS481" s="174"/>
      <c r="BT481" s="174"/>
      <c r="BU481" s="510"/>
      <c r="BV481" s="200"/>
      <c r="BW481" s="174"/>
      <c r="BX481" s="510"/>
      <c r="BY481" s="174"/>
      <c r="BZ481" s="174"/>
      <c r="CA481" s="510"/>
      <c r="CB481" s="200"/>
      <c r="CC481" s="174"/>
      <c r="CD481" s="510"/>
      <c r="CE481" s="174"/>
      <c r="CF481" s="174"/>
      <c r="CG481" s="510"/>
      <c r="CH481" s="174"/>
      <c r="CI481" s="174"/>
      <c r="CJ481" s="174"/>
      <c r="CK481" s="174"/>
      <c r="CL481" s="174"/>
      <c r="CM481" s="510"/>
      <c r="CN481" s="174"/>
      <c r="CO481" s="549"/>
      <c r="CP481" s="510"/>
      <c r="CQ481" s="200"/>
      <c r="CR481" s="550"/>
      <c r="CS481" s="510"/>
      <c r="CT481" s="390"/>
      <c r="CU481" s="331"/>
      <c r="CV481" s="428"/>
      <c r="CW481" s="155"/>
      <c r="CX481" s="155"/>
      <c r="CY481" s="267"/>
      <c r="CZ481" s="323"/>
      <c r="DA481" s="323"/>
      <c r="DB481" s="423"/>
      <c r="DC481" s="155"/>
      <c r="DD481" s="155"/>
      <c r="DE481" s="267"/>
      <c r="DF481" s="323"/>
      <c r="DG481" s="323"/>
      <c r="DH481" s="428"/>
      <c r="DI481" s="155"/>
      <c r="DJ481" s="155"/>
      <c r="DK481" s="222"/>
      <c r="DL481" s="267"/>
      <c r="DM481" s="155"/>
      <c r="DN481" s="155"/>
      <c r="DO481" s="155"/>
      <c r="DP481" s="423"/>
      <c r="DQ481" s="155"/>
      <c r="DR481" s="155"/>
      <c r="DS481" s="222"/>
      <c r="DT481" s="267"/>
      <c r="DU481" s="174"/>
      <c r="DV481" s="174"/>
      <c r="DW481" s="200"/>
      <c r="DX481" s="428"/>
      <c r="DY481" s="155"/>
      <c r="DZ481" s="155"/>
      <c r="EA481" s="155"/>
      <c r="EB481" s="173"/>
      <c r="EC481" s="155"/>
      <c r="ED481" s="155"/>
      <c r="EE481" s="155"/>
      <c r="EF481" s="423"/>
      <c r="EG481" s="155"/>
      <c r="EH481" s="155"/>
      <c r="EI481" s="155"/>
      <c r="EJ481" s="267"/>
      <c r="EK481" s="155"/>
      <c r="EL481" s="155"/>
      <c r="EM481" s="155"/>
      <c r="EN481" s="428"/>
    </row>
    <row r="482" spans="1:144">
      <c r="A482" s="360"/>
      <c r="B482" s="172"/>
      <c r="C482" s="360"/>
      <c r="D482" s="172"/>
      <c r="E482" s="408"/>
      <c r="F482" s="408"/>
      <c r="G482" s="509"/>
      <c r="H482" s="546"/>
      <c r="I482" s="546"/>
      <c r="J482" s="251"/>
      <c r="K482" s="251"/>
      <c r="L482" s="509"/>
      <c r="M482" s="509"/>
      <c r="N482" s="509"/>
      <c r="O482" s="547"/>
      <c r="P482" s="200"/>
      <c r="Q482" s="174"/>
      <c r="R482" s="390"/>
      <c r="S482" s="510"/>
      <c r="T482" s="200"/>
      <c r="U482" s="174"/>
      <c r="V482" s="174"/>
      <c r="W482" s="510"/>
      <c r="X482" s="174"/>
      <c r="Y482" s="174"/>
      <c r="Z482" s="174"/>
      <c r="AA482" s="510"/>
      <c r="AB482" s="200"/>
      <c r="AC482" s="174"/>
      <c r="AD482" s="390"/>
      <c r="AE482" s="510"/>
      <c r="AF482" s="200"/>
      <c r="AG482" s="174"/>
      <c r="AH482" s="174"/>
      <c r="AI482" s="200"/>
      <c r="AJ482" s="548"/>
      <c r="AK482" s="200"/>
      <c r="AL482" s="174"/>
      <c r="AM482" s="390"/>
      <c r="AN482" s="510"/>
      <c r="AO482" s="200"/>
      <c r="AP482" s="174"/>
      <c r="AQ482" s="510"/>
      <c r="AR482" s="200"/>
      <c r="AS482" s="174"/>
      <c r="AT482" s="510"/>
      <c r="AU482" s="200"/>
      <c r="AV482" s="174"/>
      <c r="AW482" s="510"/>
      <c r="AX482" s="200"/>
      <c r="AY482" s="174"/>
      <c r="AZ482" s="510"/>
      <c r="BA482" s="174"/>
      <c r="BB482" s="174"/>
      <c r="BC482" s="174"/>
      <c r="BD482" s="174"/>
      <c r="BE482" s="174"/>
      <c r="BF482" s="510"/>
      <c r="BG482" s="174"/>
      <c r="BH482" s="174"/>
      <c r="BI482" s="174"/>
      <c r="BJ482" s="200"/>
      <c r="BK482" s="174"/>
      <c r="BL482" s="510"/>
      <c r="BM482" s="174"/>
      <c r="BN482" s="174"/>
      <c r="BO482" s="510"/>
      <c r="BP482" s="200"/>
      <c r="BQ482" s="447"/>
      <c r="BR482" s="510"/>
      <c r="BS482" s="174"/>
      <c r="BT482" s="174"/>
      <c r="BU482" s="510"/>
      <c r="BV482" s="200"/>
      <c r="BW482" s="174"/>
      <c r="BX482" s="510"/>
      <c r="BY482" s="174"/>
      <c r="BZ482" s="174"/>
      <c r="CA482" s="510"/>
      <c r="CB482" s="200"/>
      <c r="CC482" s="174"/>
      <c r="CD482" s="510"/>
      <c r="CE482" s="174"/>
      <c r="CF482" s="174"/>
      <c r="CG482" s="510"/>
      <c r="CH482" s="174"/>
      <c r="CI482" s="174"/>
      <c r="CJ482" s="174"/>
      <c r="CK482" s="174"/>
      <c r="CL482" s="174"/>
      <c r="CM482" s="510"/>
      <c r="CN482" s="174"/>
      <c r="CO482" s="549"/>
      <c r="CP482" s="510"/>
      <c r="CQ482" s="200"/>
      <c r="CR482" s="550"/>
      <c r="CS482" s="510"/>
      <c r="CT482" s="390"/>
      <c r="CU482" s="331"/>
      <c r="CV482" s="428"/>
      <c r="CW482" s="155"/>
      <c r="CX482" s="155"/>
      <c r="CY482" s="267"/>
      <c r="CZ482" s="323"/>
      <c r="DA482" s="323"/>
      <c r="DB482" s="423"/>
      <c r="DC482" s="155"/>
      <c r="DD482" s="155"/>
      <c r="DE482" s="267"/>
      <c r="DF482" s="323"/>
      <c r="DG482" s="323"/>
      <c r="DH482" s="428"/>
      <c r="DI482" s="155"/>
      <c r="DJ482" s="155"/>
      <c r="DK482" s="222"/>
      <c r="DL482" s="267"/>
      <c r="DM482" s="155"/>
      <c r="DN482" s="155"/>
      <c r="DO482" s="155"/>
      <c r="DP482" s="423"/>
      <c r="DQ482" s="155"/>
      <c r="DR482" s="155"/>
      <c r="DS482" s="222"/>
      <c r="DT482" s="267"/>
      <c r="DU482" s="174"/>
      <c r="DV482" s="174"/>
      <c r="DW482" s="200"/>
      <c r="DX482" s="428"/>
      <c r="DY482" s="155"/>
      <c r="DZ482" s="155"/>
      <c r="EA482" s="155"/>
      <c r="EB482" s="173"/>
      <c r="EC482" s="155"/>
      <c r="ED482" s="155"/>
      <c r="EE482" s="155"/>
      <c r="EF482" s="423"/>
      <c r="EG482" s="155"/>
      <c r="EH482" s="155"/>
      <c r="EI482" s="155"/>
      <c r="EJ482" s="267"/>
      <c r="EK482" s="155"/>
      <c r="EL482" s="155"/>
      <c r="EM482" s="155"/>
      <c r="EN482" s="428"/>
    </row>
    <row r="483" spans="1:144">
      <c r="A483" s="360"/>
      <c r="B483" s="172"/>
      <c r="C483" s="360"/>
      <c r="D483" s="172"/>
      <c r="E483" s="408"/>
      <c r="F483" s="408"/>
      <c r="G483" s="509"/>
      <c r="H483" s="546"/>
      <c r="I483" s="546"/>
      <c r="J483" s="251"/>
      <c r="K483" s="251"/>
      <c r="L483" s="509"/>
      <c r="M483" s="509"/>
      <c r="N483" s="509"/>
      <c r="O483" s="547"/>
      <c r="P483" s="200"/>
      <c r="Q483" s="174"/>
      <c r="R483" s="390"/>
      <c r="S483" s="510"/>
      <c r="T483" s="200"/>
      <c r="U483" s="174"/>
      <c r="V483" s="174"/>
      <c r="W483" s="510"/>
      <c r="X483" s="174"/>
      <c r="Y483" s="174"/>
      <c r="Z483" s="174"/>
      <c r="AA483" s="510"/>
      <c r="AB483" s="200"/>
      <c r="AC483" s="174"/>
      <c r="AD483" s="390"/>
      <c r="AE483" s="510"/>
      <c r="AF483" s="200"/>
      <c r="AG483" s="174"/>
      <c r="AH483" s="174"/>
      <c r="AI483" s="200"/>
      <c r="AJ483" s="548"/>
      <c r="AK483" s="200"/>
      <c r="AL483" s="174"/>
      <c r="AM483" s="390"/>
      <c r="AN483" s="510"/>
      <c r="AO483" s="200"/>
      <c r="AP483" s="174"/>
      <c r="AQ483" s="510"/>
      <c r="AR483" s="200"/>
      <c r="AS483" s="174"/>
      <c r="AT483" s="510"/>
      <c r="AU483" s="200"/>
      <c r="AV483" s="174"/>
      <c r="AW483" s="510"/>
      <c r="AX483" s="200"/>
      <c r="AY483" s="174"/>
      <c r="AZ483" s="510"/>
      <c r="BA483" s="174"/>
      <c r="BB483" s="174"/>
      <c r="BC483" s="174"/>
      <c r="BD483" s="174"/>
      <c r="BE483" s="174"/>
      <c r="BF483" s="510"/>
      <c r="BG483" s="174"/>
      <c r="BH483" s="174"/>
      <c r="BI483" s="174"/>
      <c r="BJ483" s="200"/>
      <c r="BK483" s="174"/>
      <c r="BL483" s="510"/>
      <c r="BM483" s="174"/>
      <c r="BN483" s="174"/>
      <c r="BO483" s="510"/>
      <c r="BP483" s="200"/>
      <c r="BQ483" s="447"/>
      <c r="BR483" s="510"/>
      <c r="BS483" s="174"/>
      <c r="BT483" s="174"/>
      <c r="BU483" s="510"/>
      <c r="BV483" s="200"/>
      <c r="BW483" s="174"/>
      <c r="BX483" s="510"/>
      <c r="BY483" s="174"/>
      <c r="BZ483" s="174"/>
      <c r="CA483" s="510"/>
      <c r="CB483" s="200"/>
      <c r="CC483" s="174"/>
      <c r="CD483" s="510"/>
      <c r="CE483" s="174"/>
      <c r="CF483" s="174"/>
      <c r="CG483" s="510"/>
      <c r="CH483" s="174"/>
      <c r="CI483" s="174"/>
      <c r="CJ483" s="174"/>
      <c r="CK483" s="174"/>
      <c r="CL483" s="174"/>
      <c r="CM483" s="510"/>
      <c r="CN483" s="174"/>
      <c r="CO483" s="549"/>
      <c r="CP483" s="510"/>
      <c r="CQ483" s="200"/>
      <c r="CR483" s="550"/>
      <c r="CS483" s="510"/>
      <c r="CT483" s="390"/>
      <c r="CU483" s="331"/>
      <c r="CV483" s="428"/>
      <c r="CW483" s="155"/>
      <c r="CX483" s="155"/>
      <c r="CY483" s="267"/>
      <c r="CZ483" s="323"/>
      <c r="DA483" s="323"/>
      <c r="DB483" s="423"/>
      <c r="DC483" s="155"/>
      <c r="DD483" s="155"/>
      <c r="DE483" s="267"/>
      <c r="DF483" s="323"/>
      <c r="DG483" s="323"/>
      <c r="DH483" s="428"/>
      <c r="DI483" s="155"/>
      <c r="DJ483" s="155"/>
      <c r="DK483" s="222"/>
      <c r="DL483" s="267"/>
      <c r="DM483" s="155"/>
      <c r="DN483" s="155"/>
      <c r="DO483" s="155"/>
      <c r="DP483" s="423"/>
      <c r="DQ483" s="155"/>
      <c r="DR483" s="155"/>
      <c r="DS483" s="222"/>
      <c r="DT483" s="267"/>
      <c r="DU483" s="174"/>
      <c r="DV483" s="174"/>
      <c r="DW483" s="200"/>
      <c r="DX483" s="428"/>
      <c r="DY483" s="155"/>
      <c r="DZ483" s="155"/>
      <c r="EA483" s="155"/>
      <c r="EB483" s="173"/>
      <c r="EC483" s="155"/>
      <c r="ED483" s="155"/>
      <c r="EE483" s="155"/>
      <c r="EF483" s="423"/>
      <c r="EG483" s="155"/>
      <c r="EH483" s="155"/>
      <c r="EI483" s="155"/>
      <c r="EJ483" s="267"/>
      <c r="EK483" s="155"/>
      <c r="EL483" s="155"/>
      <c r="EM483" s="155"/>
      <c r="EN483" s="428"/>
    </row>
    <row r="484" spans="1:144">
      <c r="A484" s="360"/>
      <c r="B484" s="172"/>
      <c r="C484" s="360"/>
      <c r="D484" s="172"/>
      <c r="E484" s="408"/>
      <c r="F484" s="408"/>
      <c r="G484" s="509"/>
      <c r="H484" s="546"/>
      <c r="I484" s="546"/>
      <c r="J484" s="251"/>
      <c r="K484" s="251"/>
      <c r="L484" s="509"/>
      <c r="M484" s="509"/>
      <c r="N484" s="509"/>
      <c r="O484" s="547"/>
      <c r="P484" s="200"/>
      <c r="Q484" s="174"/>
      <c r="R484" s="390"/>
      <c r="S484" s="510"/>
      <c r="T484" s="200"/>
      <c r="U484" s="174"/>
      <c r="V484" s="174"/>
      <c r="W484" s="510"/>
      <c r="X484" s="174"/>
      <c r="Y484" s="174"/>
      <c r="Z484" s="174"/>
      <c r="AA484" s="510"/>
      <c r="AB484" s="200"/>
      <c r="AC484" s="174"/>
      <c r="AD484" s="390"/>
      <c r="AE484" s="510"/>
      <c r="AF484" s="200"/>
      <c r="AG484" s="174"/>
      <c r="AH484" s="174"/>
      <c r="AI484" s="200"/>
      <c r="AJ484" s="548"/>
      <c r="AK484" s="200"/>
      <c r="AL484" s="174"/>
      <c r="AM484" s="390"/>
      <c r="AN484" s="510"/>
      <c r="AO484" s="200"/>
      <c r="AP484" s="174"/>
      <c r="AQ484" s="510"/>
      <c r="AR484" s="200"/>
      <c r="AS484" s="174"/>
      <c r="AT484" s="510"/>
      <c r="AU484" s="200"/>
      <c r="AV484" s="174"/>
      <c r="AW484" s="510"/>
      <c r="AX484" s="200"/>
      <c r="AY484" s="174"/>
      <c r="AZ484" s="510"/>
      <c r="BA484" s="174"/>
      <c r="BB484" s="174"/>
      <c r="BC484" s="174"/>
      <c r="BD484" s="174"/>
      <c r="BE484" s="174"/>
      <c r="BF484" s="510"/>
      <c r="BG484" s="174"/>
      <c r="BH484" s="174"/>
      <c r="BI484" s="174"/>
      <c r="BJ484" s="200"/>
      <c r="BK484" s="174"/>
      <c r="BL484" s="510"/>
      <c r="BM484" s="174"/>
      <c r="BN484" s="174"/>
      <c r="BO484" s="510"/>
      <c r="BP484" s="200"/>
      <c r="BQ484" s="447"/>
      <c r="BR484" s="510"/>
      <c r="BS484" s="174"/>
      <c r="BT484" s="174"/>
      <c r="BU484" s="510"/>
      <c r="BV484" s="200"/>
      <c r="BW484" s="174"/>
      <c r="BX484" s="510"/>
      <c r="BY484" s="174"/>
      <c r="BZ484" s="174"/>
      <c r="CA484" s="510"/>
      <c r="CB484" s="200"/>
      <c r="CC484" s="174"/>
      <c r="CD484" s="510"/>
      <c r="CE484" s="174"/>
      <c r="CF484" s="174"/>
      <c r="CG484" s="510"/>
      <c r="CH484" s="174"/>
      <c r="CI484" s="174"/>
      <c r="CJ484" s="174"/>
      <c r="CK484" s="174"/>
      <c r="CL484" s="174"/>
      <c r="CM484" s="510"/>
      <c r="CN484" s="174"/>
      <c r="CO484" s="549"/>
      <c r="CP484" s="510"/>
      <c r="CQ484" s="200"/>
      <c r="CR484" s="550"/>
      <c r="CS484" s="510"/>
      <c r="CT484" s="390"/>
      <c r="CU484" s="331"/>
      <c r="CV484" s="428"/>
      <c r="CW484" s="155"/>
      <c r="CX484" s="155"/>
      <c r="CY484" s="267"/>
      <c r="CZ484" s="323"/>
      <c r="DA484" s="323"/>
      <c r="DB484" s="423"/>
      <c r="DC484" s="155"/>
      <c r="DD484" s="155"/>
      <c r="DE484" s="267"/>
      <c r="DF484" s="323"/>
      <c r="DG484" s="323"/>
      <c r="DH484" s="428"/>
      <c r="DI484" s="155"/>
      <c r="DJ484" s="155"/>
      <c r="DK484" s="222"/>
      <c r="DL484" s="267"/>
      <c r="DM484" s="155"/>
      <c r="DN484" s="155"/>
      <c r="DO484" s="155"/>
      <c r="DP484" s="423"/>
      <c r="DQ484" s="155"/>
      <c r="DR484" s="155"/>
      <c r="DS484" s="222"/>
      <c r="DT484" s="267"/>
      <c r="DU484" s="174"/>
      <c r="DV484" s="174"/>
      <c r="DW484" s="200"/>
      <c r="DX484" s="428"/>
      <c r="DY484" s="155"/>
      <c r="DZ484" s="155"/>
      <c r="EA484" s="155"/>
      <c r="EB484" s="173"/>
      <c r="EC484" s="155"/>
      <c r="ED484" s="155"/>
      <c r="EE484" s="155"/>
      <c r="EF484" s="423"/>
      <c r="EG484" s="155"/>
      <c r="EH484" s="155"/>
      <c r="EI484" s="155"/>
      <c r="EJ484" s="267"/>
      <c r="EK484" s="155"/>
      <c r="EL484" s="155"/>
      <c r="EM484" s="155"/>
      <c r="EN484" s="428"/>
    </row>
    <row r="485" spans="1:144">
      <c r="A485" s="360"/>
      <c r="B485" s="172"/>
      <c r="C485" s="360"/>
      <c r="D485" s="172"/>
      <c r="E485" s="408"/>
      <c r="F485" s="408"/>
      <c r="G485" s="509"/>
      <c r="H485" s="546"/>
      <c r="I485" s="546"/>
      <c r="J485" s="251"/>
      <c r="K485" s="251"/>
      <c r="L485" s="509"/>
      <c r="M485" s="509"/>
      <c r="N485" s="509"/>
      <c r="O485" s="547"/>
      <c r="P485" s="200"/>
      <c r="Q485" s="174"/>
      <c r="R485" s="390"/>
      <c r="S485" s="510"/>
      <c r="T485" s="200"/>
      <c r="U485" s="174"/>
      <c r="V485" s="174"/>
      <c r="W485" s="510"/>
      <c r="X485" s="174"/>
      <c r="Y485" s="174"/>
      <c r="Z485" s="174"/>
      <c r="AA485" s="510"/>
      <c r="AB485" s="200"/>
      <c r="AC485" s="174"/>
      <c r="AD485" s="390"/>
      <c r="AE485" s="510"/>
      <c r="AF485" s="200"/>
      <c r="AG485" s="174"/>
      <c r="AH485" s="174"/>
      <c r="AI485" s="200"/>
      <c r="AJ485" s="548"/>
      <c r="AK485" s="200"/>
      <c r="AL485" s="174"/>
      <c r="AM485" s="390"/>
      <c r="AN485" s="510"/>
      <c r="AO485" s="200"/>
      <c r="AP485" s="174"/>
      <c r="AQ485" s="510"/>
      <c r="AR485" s="200"/>
      <c r="AS485" s="174"/>
      <c r="AT485" s="510"/>
      <c r="AU485" s="200"/>
      <c r="AV485" s="174"/>
      <c r="AW485" s="510"/>
      <c r="AX485" s="200"/>
      <c r="AY485" s="174"/>
      <c r="AZ485" s="510"/>
      <c r="BA485" s="174"/>
      <c r="BB485" s="174"/>
      <c r="BC485" s="174"/>
      <c r="BD485" s="174"/>
      <c r="BE485" s="174"/>
      <c r="BF485" s="510"/>
      <c r="BG485" s="174"/>
      <c r="BH485" s="174"/>
      <c r="BI485" s="174"/>
      <c r="BJ485" s="200"/>
      <c r="BK485" s="174"/>
      <c r="BL485" s="510"/>
      <c r="BM485" s="174"/>
      <c r="BN485" s="174"/>
      <c r="BO485" s="510"/>
      <c r="BP485" s="200"/>
      <c r="BQ485" s="447"/>
      <c r="BR485" s="510"/>
      <c r="BS485" s="174"/>
      <c r="BT485" s="174"/>
      <c r="BU485" s="510"/>
      <c r="BV485" s="200"/>
      <c r="BW485" s="174"/>
      <c r="BX485" s="510"/>
      <c r="BY485" s="174"/>
      <c r="BZ485" s="174"/>
      <c r="CA485" s="510"/>
      <c r="CB485" s="200"/>
      <c r="CC485" s="174"/>
      <c r="CD485" s="510"/>
      <c r="CE485" s="174"/>
      <c r="CF485" s="174"/>
      <c r="CG485" s="510"/>
      <c r="CH485" s="174"/>
      <c r="CI485" s="174"/>
      <c r="CJ485" s="174"/>
      <c r="CK485" s="174"/>
      <c r="CL485" s="174"/>
      <c r="CM485" s="510"/>
      <c r="CN485" s="174"/>
      <c r="CO485" s="549"/>
      <c r="CP485" s="510"/>
      <c r="CQ485" s="200"/>
      <c r="CR485" s="550"/>
      <c r="CS485" s="510"/>
      <c r="CT485" s="390"/>
      <c r="CU485" s="331"/>
      <c r="CV485" s="428"/>
      <c r="CW485" s="155"/>
      <c r="CX485" s="155"/>
      <c r="CY485" s="267"/>
      <c r="CZ485" s="323"/>
      <c r="DA485" s="323"/>
      <c r="DB485" s="423"/>
      <c r="DC485" s="155"/>
      <c r="DD485" s="155"/>
      <c r="DE485" s="267"/>
      <c r="DF485" s="323"/>
      <c r="DG485" s="323"/>
      <c r="DH485" s="428"/>
      <c r="DI485" s="155"/>
      <c r="DJ485" s="155"/>
      <c r="DK485" s="222"/>
      <c r="DL485" s="267"/>
      <c r="DM485" s="155"/>
      <c r="DN485" s="155"/>
      <c r="DO485" s="155"/>
      <c r="DP485" s="423"/>
      <c r="DQ485" s="155"/>
      <c r="DR485" s="155"/>
      <c r="DS485" s="222"/>
      <c r="DT485" s="267"/>
      <c r="DU485" s="174"/>
      <c r="DV485" s="174"/>
      <c r="DW485" s="200"/>
      <c r="DX485" s="428"/>
      <c r="DY485" s="155"/>
      <c r="DZ485" s="155"/>
      <c r="EA485" s="155"/>
      <c r="EB485" s="173"/>
      <c r="EC485" s="155"/>
      <c r="ED485" s="155"/>
      <c r="EE485" s="155"/>
      <c r="EF485" s="423"/>
      <c r="EG485" s="155"/>
      <c r="EH485" s="155"/>
      <c r="EI485" s="155"/>
      <c r="EJ485" s="267"/>
      <c r="EK485" s="155"/>
      <c r="EL485" s="155"/>
      <c r="EM485" s="155"/>
      <c r="EN485" s="428"/>
    </row>
    <row r="486" spans="1:144">
      <c r="A486" s="360"/>
      <c r="B486" s="172"/>
      <c r="C486" s="360"/>
      <c r="D486" s="172"/>
      <c r="E486" s="408"/>
      <c r="F486" s="408"/>
      <c r="G486" s="509"/>
      <c r="H486" s="546"/>
      <c r="I486" s="546"/>
      <c r="J486" s="251"/>
      <c r="K486" s="251"/>
      <c r="L486" s="509"/>
      <c r="M486" s="509"/>
      <c r="N486" s="509"/>
      <c r="O486" s="547"/>
      <c r="P486" s="200"/>
      <c r="Q486" s="174"/>
      <c r="R486" s="390"/>
      <c r="S486" s="510"/>
      <c r="T486" s="200"/>
      <c r="U486" s="174"/>
      <c r="V486" s="174"/>
      <c r="W486" s="510"/>
      <c r="X486" s="174"/>
      <c r="Y486" s="174"/>
      <c r="Z486" s="174"/>
      <c r="AA486" s="510"/>
      <c r="AB486" s="200"/>
      <c r="AC486" s="174"/>
      <c r="AD486" s="390"/>
      <c r="AE486" s="510"/>
      <c r="AF486" s="200"/>
      <c r="AG486" s="174"/>
      <c r="AH486" s="174"/>
      <c r="AI486" s="200"/>
      <c r="AJ486" s="548"/>
      <c r="AK486" s="200"/>
      <c r="AL486" s="174"/>
      <c r="AM486" s="390"/>
      <c r="AN486" s="510"/>
      <c r="AO486" s="200"/>
      <c r="AP486" s="174"/>
      <c r="AQ486" s="510"/>
      <c r="AR486" s="200"/>
      <c r="AS486" s="174"/>
      <c r="AT486" s="510"/>
      <c r="AU486" s="200"/>
      <c r="AV486" s="174"/>
      <c r="AW486" s="510"/>
      <c r="AX486" s="200"/>
      <c r="AY486" s="174"/>
      <c r="AZ486" s="510"/>
      <c r="BA486" s="174"/>
      <c r="BB486" s="174"/>
      <c r="BC486" s="174"/>
      <c r="BD486" s="174"/>
      <c r="BE486" s="174"/>
      <c r="BF486" s="510"/>
      <c r="BG486" s="174"/>
      <c r="BH486" s="174"/>
      <c r="BI486" s="174"/>
      <c r="BJ486" s="200"/>
      <c r="BK486" s="174"/>
      <c r="BL486" s="510"/>
      <c r="BM486" s="174"/>
      <c r="BN486" s="174"/>
      <c r="BO486" s="510"/>
      <c r="BP486" s="200"/>
      <c r="BQ486" s="447"/>
      <c r="BR486" s="510"/>
      <c r="BS486" s="174"/>
      <c r="BT486" s="174"/>
      <c r="BU486" s="510"/>
      <c r="BV486" s="200"/>
      <c r="BW486" s="174"/>
      <c r="BX486" s="510"/>
      <c r="BY486" s="174"/>
      <c r="BZ486" s="174"/>
      <c r="CA486" s="510"/>
      <c r="CB486" s="200"/>
      <c r="CC486" s="174"/>
      <c r="CD486" s="510"/>
      <c r="CE486" s="174"/>
      <c r="CF486" s="174"/>
      <c r="CG486" s="510"/>
      <c r="CH486" s="174"/>
      <c r="CI486" s="174"/>
      <c r="CJ486" s="174"/>
      <c r="CK486" s="174"/>
      <c r="CL486" s="174"/>
      <c r="CM486" s="510"/>
      <c r="CN486" s="174"/>
      <c r="CO486" s="549"/>
      <c r="CP486" s="510"/>
      <c r="CQ486" s="200"/>
      <c r="CR486" s="550"/>
      <c r="CS486" s="510"/>
      <c r="CT486" s="390"/>
      <c r="CU486" s="331"/>
      <c r="CV486" s="428"/>
      <c r="CW486" s="155"/>
      <c r="CX486" s="155"/>
      <c r="CY486" s="267"/>
      <c r="CZ486" s="323"/>
      <c r="DA486" s="323"/>
      <c r="DB486" s="423"/>
      <c r="DC486" s="155"/>
      <c r="DD486" s="155"/>
      <c r="DE486" s="267"/>
      <c r="DF486" s="323"/>
      <c r="DG486" s="323"/>
      <c r="DH486" s="428"/>
      <c r="DI486" s="155"/>
      <c r="DJ486" s="155"/>
      <c r="DK486" s="222"/>
      <c r="DL486" s="267"/>
      <c r="DM486" s="155"/>
      <c r="DN486" s="155"/>
      <c r="DO486" s="155"/>
      <c r="DP486" s="423"/>
      <c r="DQ486" s="155"/>
      <c r="DR486" s="155"/>
      <c r="DS486" s="222"/>
      <c r="DT486" s="267"/>
      <c r="DU486" s="174"/>
      <c r="DV486" s="174"/>
      <c r="DW486" s="200"/>
      <c r="DX486" s="428"/>
      <c r="DY486" s="155"/>
      <c r="DZ486" s="155"/>
      <c r="EA486" s="155"/>
      <c r="EB486" s="173"/>
      <c r="EC486" s="155"/>
      <c r="ED486" s="155"/>
      <c r="EE486" s="155"/>
      <c r="EF486" s="423"/>
      <c r="EG486" s="155"/>
      <c r="EH486" s="155"/>
      <c r="EI486" s="155"/>
      <c r="EJ486" s="267"/>
      <c r="EK486" s="155"/>
      <c r="EL486" s="155"/>
      <c r="EM486" s="155"/>
      <c r="EN486" s="428"/>
    </row>
    <row r="487" spans="1:144">
      <c r="A487" s="360"/>
      <c r="B487" s="172"/>
      <c r="C487" s="360"/>
      <c r="D487" s="172"/>
      <c r="E487" s="408"/>
      <c r="F487" s="408"/>
      <c r="G487" s="509"/>
      <c r="H487" s="546"/>
      <c r="I487" s="546"/>
      <c r="J487" s="251"/>
      <c r="K487" s="251"/>
      <c r="L487" s="509"/>
      <c r="M487" s="509"/>
      <c r="N487" s="509"/>
      <c r="O487" s="547"/>
      <c r="P487" s="200"/>
      <c r="Q487" s="174"/>
      <c r="R487" s="390"/>
      <c r="S487" s="510"/>
      <c r="T487" s="200"/>
      <c r="U487" s="174"/>
      <c r="V487" s="174"/>
      <c r="W487" s="510"/>
      <c r="X487" s="174"/>
      <c r="Y487" s="174"/>
      <c r="Z487" s="174"/>
      <c r="AA487" s="510"/>
      <c r="AB487" s="200"/>
      <c r="AC487" s="174"/>
      <c r="AD487" s="390"/>
      <c r="AE487" s="510"/>
      <c r="AF487" s="200"/>
      <c r="AG487" s="174"/>
      <c r="AH487" s="174"/>
      <c r="AI487" s="200"/>
      <c r="AJ487" s="548"/>
      <c r="AK487" s="200"/>
      <c r="AL487" s="174"/>
      <c r="AM487" s="390"/>
      <c r="AN487" s="510"/>
      <c r="AO487" s="200"/>
      <c r="AP487" s="174"/>
      <c r="AQ487" s="510"/>
      <c r="AR487" s="200"/>
      <c r="AS487" s="174"/>
      <c r="AT487" s="510"/>
      <c r="AU487" s="200"/>
      <c r="AV487" s="174"/>
      <c r="AW487" s="510"/>
      <c r="AX487" s="200"/>
      <c r="AY487" s="174"/>
      <c r="AZ487" s="510"/>
      <c r="BA487" s="174"/>
      <c r="BB487" s="174"/>
      <c r="BC487" s="174"/>
      <c r="BD487" s="174"/>
      <c r="BE487" s="174"/>
      <c r="BF487" s="510"/>
      <c r="BG487" s="174"/>
      <c r="BH487" s="174"/>
      <c r="BI487" s="174"/>
      <c r="BJ487" s="200"/>
      <c r="BK487" s="174"/>
      <c r="BL487" s="510"/>
      <c r="BM487" s="174"/>
      <c r="BN487" s="174"/>
      <c r="BO487" s="510"/>
      <c r="BP487" s="200"/>
      <c r="BQ487" s="447"/>
      <c r="BR487" s="510"/>
      <c r="BS487" s="174"/>
      <c r="BT487" s="174"/>
      <c r="BU487" s="510"/>
      <c r="BV487" s="200"/>
      <c r="BW487" s="174"/>
      <c r="BX487" s="510"/>
      <c r="BY487" s="174"/>
      <c r="BZ487" s="174"/>
      <c r="CA487" s="510"/>
      <c r="CB487" s="200"/>
      <c r="CC487" s="174"/>
      <c r="CD487" s="510"/>
      <c r="CE487" s="174"/>
      <c r="CF487" s="174"/>
      <c r="CG487" s="510"/>
      <c r="CH487" s="174"/>
      <c r="CI487" s="174"/>
      <c r="CJ487" s="174"/>
      <c r="CK487" s="174"/>
      <c r="CL487" s="174"/>
      <c r="CM487" s="510"/>
      <c r="CN487" s="174"/>
      <c r="CO487" s="549"/>
      <c r="CP487" s="510"/>
      <c r="CQ487" s="200"/>
      <c r="CR487" s="550"/>
      <c r="CS487" s="510"/>
      <c r="CT487" s="390"/>
      <c r="CU487" s="331"/>
      <c r="CV487" s="428"/>
      <c r="CW487" s="155"/>
      <c r="CX487" s="155"/>
      <c r="CY487" s="267"/>
      <c r="CZ487" s="323"/>
      <c r="DA487" s="323"/>
      <c r="DB487" s="423"/>
      <c r="DC487" s="155"/>
      <c r="DD487" s="155"/>
      <c r="DE487" s="267"/>
      <c r="DF487" s="323"/>
      <c r="DG487" s="323"/>
      <c r="DH487" s="428"/>
      <c r="DI487" s="155"/>
      <c r="DJ487" s="155"/>
      <c r="DK487" s="222"/>
      <c r="DL487" s="267"/>
      <c r="DM487" s="155"/>
      <c r="DN487" s="155"/>
      <c r="DO487" s="155"/>
      <c r="DP487" s="423"/>
      <c r="DQ487" s="155"/>
      <c r="DR487" s="155"/>
      <c r="DS487" s="222"/>
      <c r="DT487" s="267"/>
      <c r="DU487" s="174"/>
      <c r="DV487" s="174"/>
      <c r="DW487" s="200"/>
      <c r="DX487" s="428"/>
      <c r="DY487" s="155"/>
      <c r="DZ487" s="155"/>
      <c r="EA487" s="155"/>
      <c r="EB487" s="173"/>
      <c r="EC487" s="155"/>
      <c r="ED487" s="155"/>
      <c r="EE487" s="155"/>
      <c r="EF487" s="423"/>
      <c r="EG487" s="155"/>
      <c r="EH487" s="155"/>
      <c r="EI487" s="155"/>
      <c r="EJ487" s="267"/>
      <c r="EK487" s="155"/>
      <c r="EL487" s="155"/>
      <c r="EM487" s="155"/>
      <c r="EN487" s="428"/>
    </row>
    <row r="488" spans="1:144">
      <c r="A488" s="360"/>
      <c r="B488" s="172"/>
      <c r="C488" s="360"/>
      <c r="D488" s="172"/>
      <c r="E488" s="408"/>
      <c r="F488" s="408"/>
      <c r="G488" s="509"/>
      <c r="H488" s="546"/>
      <c r="I488" s="546"/>
      <c r="J488" s="251"/>
      <c r="K488" s="251"/>
      <c r="L488" s="509"/>
      <c r="M488" s="509"/>
      <c r="N488" s="509"/>
      <c r="O488" s="547"/>
      <c r="P488" s="200"/>
      <c r="Q488" s="174"/>
      <c r="R488" s="390"/>
      <c r="S488" s="510"/>
      <c r="T488" s="200"/>
      <c r="U488" s="174"/>
      <c r="V488" s="174"/>
      <c r="W488" s="510"/>
      <c r="X488" s="174"/>
      <c r="Y488" s="174"/>
      <c r="Z488" s="174"/>
      <c r="AA488" s="510"/>
      <c r="AB488" s="200"/>
      <c r="AC488" s="174"/>
      <c r="AD488" s="390"/>
      <c r="AE488" s="510"/>
      <c r="AF488" s="200"/>
      <c r="AG488" s="174"/>
      <c r="AH488" s="174"/>
      <c r="AI488" s="200"/>
      <c r="AJ488" s="548"/>
      <c r="AK488" s="200"/>
      <c r="AL488" s="174"/>
      <c r="AM488" s="390"/>
      <c r="AN488" s="510"/>
      <c r="AO488" s="200"/>
      <c r="AP488" s="174"/>
      <c r="AQ488" s="510"/>
      <c r="AR488" s="200"/>
      <c r="AS488" s="174"/>
      <c r="AT488" s="510"/>
      <c r="AU488" s="200"/>
      <c r="AV488" s="174"/>
      <c r="AW488" s="510"/>
      <c r="AX488" s="200"/>
      <c r="AY488" s="174"/>
      <c r="AZ488" s="510"/>
      <c r="BA488" s="174"/>
      <c r="BB488" s="174"/>
      <c r="BC488" s="174"/>
      <c r="BD488" s="174"/>
      <c r="BE488" s="174"/>
      <c r="BF488" s="510"/>
      <c r="BG488" s="174"/>
      <c r="BH488" s="174"/>
      <c r="BI488" s="174"/>
      <c r="BJ488" s="200"/>
      <c r="BK488" s="174"/>
      <c r="BL488" s="510"/>
      <c r="BM488" s="174"/>
      <c r="BN488" s="174"/>
      <c r="BO488" s="510"/>
      <c r="BP488" s="200"/>
      <c r="BQ488" s="447"/>
      <c r="BR488" s="510"/>
      <c r="BS488" s="174"/>
      <c r="BT488" s="174"/>
      <c r="BU488" s="510"/>
      <c r="BV488" s="200"/>
      <c r="BW488" s="174"/>
      <c r="BX488" s="510"/>
      <c r="BY488" s="174"/>
      <c r="BZ488" s="174"/>
      <c r="CA488" s="510"/>
      <c r="CB488" s="200"/>
      <c r="CC488" s="174"/>
      <c r="CD488" s="510"/>
      <c r="CE488" s="174"/>
      <c r="CF488" s="174"/>
      <c r="CG488" s="510"/>
      <c r="CH488" s="174"/>
      <c r="CI488" s="174"/>
      <c r="CJ488" s="174"/>
      <c r="CK488" s="174"/>
      <c r="CL488" s="174"/>
      <c r="CM488" s="510"/>
      <c r="CN488" s="174"/>
      <c r="CO488" s="549"/>
      <c r="CP488" s="510"/>
      <c r="CQ488" s="200"/>
      <c r="CR488" s="550"/>
      <c r="CS488" s="510"/>
      <c r="CT488" s="390"/>
      <c r="CU488" s="331"/>
      <c r="CV488" s="428"/>
      <c r="CW488" s="155"/>
      <c r="CX488" s="155"/>
      <c r="CY488" s="267"/>
      <c r="CZ488" s="323"/>
      <c r="DA488" s="323"/>
      <c r="DB488" s="423"/>
      <c r="DC488" s="155"/>
      <c r="DD488" s="155"/>
      <c r="DE488" s="267"/>
      <c r="DF488" s="323"/>
      <c r="DG488" s="323"/>
      <c r="DH488" s="428"/>
      <c r="DI488" s="155"/>
      <c r="DJ488" s="155"/>
      <c r="DK488" s="222"/>
      <c r="DL488" s="267"/>
      <c r="DM488" s="155"/>
      <c r="DN488" s="155"/>
      <c r="DO488" s="155"/>
      <c r="DP488" s="423"/>
      <c r="DQ488" s="155"/>
      <c r="DR488" s="155"/>
      <c r="DS488" s="222"/>
      <c r="DT488" s="267"/>
      <c r="DU488" s="174"/>
      <c r="DV488" s="174"/>
      <c r="DW488" s="200"/>
      <c r="DX488" s="428"/>
      <c r="DY488" s="155"/>
      <c r="DZ488" s="155"/>
      <c r="EA488" s="155"/>
      <c r="EB488" s="173"/>
      <c r="EC488" s="155"/>
      <c r="ED488" s="155"/>
      <c r="EE488" s="155"/>
      <c r="EF488" s="423"/>
      <c r="EG488" s="155"/>
      <c r="EH488" s="155"/>
      <c r="EI488" s="155"/>
      <c r="EJ488" s="267"/>
      <c r="EK488" s="155"/>
      <c r="EL488" s="155"/>
      <c r="EM488" s="155"/>
      <c r="EN488" s="428"/>
    </row>
    <row r="489" spans="1:144">
      <c r="A489" s="360"/>
      <c r="B489" s="172"/>
      <c r="C489" s="360"/>
      <c r="D489" s="172"/>
      <c r="E489" s="408"/>
      <c r="F489" s="408"/>
      <c r="G489" s="509"/>
      <c r="H489" s="546"/>
      <c r="I489" s="546"/>
      <c r="J489" s="251"/>
      <c r="K489" s="251"/>
      <c r="L489" s="509"/>
      <c r="M489" s="509"/>
      <c r="N489" s="509"/>
      <c r="O489" s="547"/>
      <c r="P489" s="200"/>
      <c r="Q489" s="174"/>
      <c r="R489" s="390"/>
      <c r="S489" s="510"/>
      <c r="T489" s="200"/>
      <c r="U489" s="174"/>
      <c r="V489" s="174"/>
      <c r="W489" s="510"/>
      <c r="X489" s="174"/>
      <c r="Y489" s="174"/>
      <c r="Z489" s="174"/>
      <c r="AA489" s="510"/>
      <c r="AB489" s="200"/>
      <c r="AC489" s="174"/>
      <c r="AD489" s="390"/>
      <c r="AE489" s="510"/>
      <c r="AF489" s="200"/>
      <c r="AG489" s="174"/>
      <c r="AH489" s="174"/>
      <c r="AI489" s="200"/>
      <c r="AJ489" s="548"/>
      <c r="AK489" s="200"/>
      <c r="AL489" s="174"/>
      <c r="AM489" s="390"/>
      <c r="AN489" s="510"/>
      <c r="AO489" s="200"/>
      <c r="AP489" s="174"/>
      <c r="AQ489" s="510"/>
      <c r="AR489" s="200"/>
      <c r="AS489" s="174"/>
      <c r="AT489" s="510"/>
      <c r="AU489" s="200"/>
      <c r="AV489" s="174"/>
      <c r="AW489" s="510"/>
      <c r="AX489" s="200"/>
      <c r="AY489" s="174"/>
      <c r="AZ489" s="510"/>
      <c r="BA489" s="174"/>
      <c r="BB489" s="174"/>
      <c r="BC489" s="174"/>
      <c r="BD489" s="174"/>
      <c r="BE489" s="174"/>
      <c r="BF489" s="510"/>
      <c r="BG489" s="174"/>
      <c r="BH489" s="174"/>
      <c r="BI489" s="174"/>
      <c r="BJ489" s="200"/>
      <c r="BK489" s="174"/>
      <c r="BL489" s="510"/>
      <c r="BM489" s="174"/>
      <c r="BN489" s="174"/>
      <c r="BO489" s="510"/>
      <c r="BP489" s="200"/>
      <c r="BQ489" s="447"/>
      <c r="BR489" s="510"/>
      <c r="BS489" s="174"/>
      <c r="BT489" s="174"/>
      <c r="BU489" s="510"/>
      <c r="BV489" s="200"/>
      <c r="BW489" s="174"/>
      <c r="BX489" s="510"/>
      <c r="BY489" s="174"/>
      <c r="BZ489" s="174"/>
      <c r="CA489" s="510"/>
      <c r="CB489" s="200"/>
      <c r="CC489" s="174"/>
      <c r="CD489" s="510"/>
      <c r="CE489" s="174"/>
      <c r="CF489" s="174"/>
      <c r="CG489" s="510"/>
      <c r="CH489" s="174"/>
      <c r="CI489" s="174"/>
      <c r="CJ489" s="174"/>
      <c r="CK489" s="174"/>
      <c r="CL489" s="174"/>
      <c r="CM489" s="510"/>
      <c r="CN489" s="174"/>
      <c r="CO489" s="549"/>
      <c r="CP489" s="510"/>
      <c r="CQ489" s="200"/>
      <c r="CR489" s="550"/>
      <c r="CS489" s="510"/>
      <c r="CT489" s="390"/>
      <c r="CU489" s="331"/>
      <c r="CV489" s="428"/>
      <c r="CW489" s="155"/>
      <c r="CX489" s="155"/>
      <c r="CY489" s="267"/>
      <c r="CZ489" s="323"/>
      <c r="DA489" s="323"/>
      <c r="DB489" s="423"/>
      <c r="DC489" s="155"/>
      <c r="DD489" s="155"/>
      <c r="DE489" s="267"/>
      <c r="DF489" s="323"/>
      <c r="DG489" s="323"/>
      <c r="DH489" s="428"/>
      <c r="DI489" s="155"/>
      <c r="DJ489" s="155"/>
      <c r="DK489" s="222"/>
      <c r="DL489" s="267"/>
      <c r="DM489" s="155"/>
      <c r="DN489" s="155"/>
      <c r="DO489" s="155"/>
      <c r="DP489" s="423"/>
      <c r="DQ489" s="155"/>
      <c r="DR489" s="155"/>
      <c r="DS489" s="222"/>
      <c r="DT489" s="267"/>
      <c r="DU489" s="174"/>
      <c r="DV489" s="174"/>
      <c r="DW489" s="200"/>
      <c r="DX489" s="428"/>
      <c r="DY489" s="155"/>
      <c r="DZ489" s="155"/>
      <c r="EA489" s="155"/>
      <c r="EB489" s="173"/>
      <c r="EC489" s="155"/>
      <c r="ED489" s="155"/>
      <c r="EE489" s="155"/>
      <c r="EF489" s="423"/>
      <c r="EG489" s="155"/>
      <c r="EH489" s="155"/>
      <c r="EI489" s="155"/>
      <c r="EJ489" s="267"/>
      <c r="EK489" s="155"/>
      <c r="EL489" s="155"/>
      <c r="EM489" s="155"/>
      <c r="EN489" s="428"/>
    </row>
    <row r="490" spans="1:144">
      <c r="A490" s="360"/>
      <c r="B490" s="172"/>
      <c r="C490" s="360"/>
      <c r="D490" s="172"/>
      <c r="E490" s="408"/>
      <c r="F490" s="408"/>
      <c r="G490" s="509"/>
      <c r="H490" s="546"/>
      <c r="I490" s="546"/>
      <c r="J490" s="251"/>
      <c r="K490" s="251"/>
      <c r="L490" s="509"/>
      <c r="M490" s="509"/>
      <c r="N490" s="509"/>
      <c r="O490" s="547"/>
      <c r="P490" s="200"/>
      <c r="Q490" s="174"/>
      <c r="R490" s="390"/>
      <c r="S490" s="510"/>
      <c r="T490" s="200"/>
      <c r="U490" s="174"/>
      <c r="V490" s="174"/>
      <c r="W490" s="510"/>
      <c r="X490" s="174"/>
      <c r="Y490" s="174"/>
      <c r="Z490" s="174"/>
      <c r="AA490" s="510"/>
      <c r="AB490" s="200"/>
      <c r="AC490" s="174"/>
      <c r="AD490" s="390"/>
      <c r="AE490" s="510"/>
      <c r="AF490" s="200"/>
      <c r="AG490" s="174"/>
      <c r="AH490" s="174"/>
      <c r="AI490" s="200"/>
      <c r="AJ490" s="548"/>
      <c r="AK490" s="200"/>
      <c r="AL490" s="174"/>
      <c r="AM490" s="390"/>
      <c r="AN490" s="510"/>
      <c r="AO490" s="200"/>
      <c r="AP490" s="174"/>
      <c r="AQ490" s="510"/>
      <c r="AR490" s="200"/>
      <c r="AS490" s="174"/>
      <c r="AT490" s="510"/>
      <c r="AU490" s="200"/>
      <c r="AV490" s="174"/>
      <c r="AW490" s="510"/>
      <c r="AX490" s="200"/>
      <c r="AY490" s="174"/>
      <c r="AZ490" s="510"/>
      <c r="BA490" s="174"/>
      <c r="BB490" s="174"/>
      <c r="BC490" s="174"/>
      <c r="BD490" s="174"/>
      <c r="BE490" s="174"/>
      <c r="BF490" s="510"/>
      <c r="BG490" s="174"/>
      <c r="BH490" s="174"/>
      <c r="BI490" s="174"/>
      <c r="BJ490" s="200"/>
      <c r="BK490" s="174"/>
      <c r="BL490" s="510"/>
      <c r="BM490" s="174"/>
      <c r="BN490" s="174"/>
      <c r="BO490" s="510"/>
      <c r="BP490" s="200"/>
      <c r="BQ490" s="447"/>
      <c r="BR490" s="510"/>
      <c r="BS490" s="174"/>
      <c r="BT490" s="174"/>
      <c r="BU490" s="510"/>
      <c r="BV490" s="200"/>
      <c r="BW490" s="174"/>
      <c r="BX490" s="510"/>
      <c r="BY490" s="174"/>
      <c r="BZ490" s="174"/>
      <c r="CA490" s="510"/>
      <c r="CB490" s="200"/>
      <c r="CC490" s="174"/>
      <c r="CD490" s="510"/>
      <c r="CE490" s="174"/>
      <c r="CF490" s="174"/>
      <c r="CG490" s="510"/>
      <c r="CH490" s="174"/>
      <c r="CI490" s="174"/>
      <c r="CJ490" s="174"/>
      <c r="CK490" s="174"/>
      <c r="CL490" s="174"/>
      <c r="CM490" s="510"/>
      <c r="CN490" s="174"/>
      <c r="CO490" s="549"/>
      <c r="CP490" s="510"/>
      <c r="CQ490" s="200"/>
      <c r="CR490" s="550"/>
      <c r="CS490" s="510"/>
      <c r="CT490" s="390"/>
      <c r="CU490" s="331"/>
      <c r="CV490" s="428"/>
      <c r="CW490" s="155"/>
      <c r="CX490" s="155"/>
      <c r="CY490" s="267"/>
      <c r="CZ490" s="323"/>
      <c r="DA490" s="323"/>
      <c r="DB490" s="423"/>
      <c r="DC490" s="155"/>
      <c r="DD490" s="155"/>
      <c r="DE490" s="267"/>
      <c r="DF490" s="323"/>
      <c r="DG490" s="323"/>
      <c r="DH490" s="428"/>
      <c r="DI490" s="155"/>
      <c r="DJ490" s="155"/>
      <c r="DK490" s="222"/>
      <c r="DL490" s="267"/>
      <c r="DM490" s="155"/>
      <c r="DN490" s="155"/>
      <c r="DO490" s="155"/>
      <c r="DP490" s="423"/>
      <c r="DQ490" s="155"/>
      <c r="DR490" s="155"/>
      <c r="DS490" s="222"/>
      <c r="DT490" s="267"/>
      <c r="DU490" s="174"/>
      <c r="DV490" s="174"/>
      <c r="DW490" s="200"/>
      <c r="DX490" s="428"/>
      <c r="DY490" s="155"/>
      <c r="DZ490" s="155"/>
      <c r="EA490" s="155"/>
      <c r="EB490" s="173"/>
      <c r="EC490" s="155"/>
      <c r="ED490" s="155"/>
      <c r="EE490" s="155"/>
      <c r="EF490" s="423"/>
      <c r="EG490" s="155"/>
      <c r="EH490" s="155"/>
      <c r="EI490" s="155"/>
      <c r="EJ490" s="267"/>
      <c r="EK490" s="155"/>
      <c r="EL490" s="155"/>
      <c r="EM490" s="155"/>
      <c r="EN490" s="428"/>
    </row>
    <row r="491" spans="1:144">
      <c r="A491" s="360"/>
      <c r="B491" s="172"/>
      <c r="C491" s="360"/>
      <c r="D491" s="172"/>
      <c r="E491" s="408"/>
      <c r="F491" s="408"/>
      <c r="G491" s="509"/>
      <c r="H491" s="546"/>
      <c r="I491" s="546"/>
      <c r="J491" s="251"/>
      <c r="K491" s="251"/>
      <c r="L491" s="509"/>
      <c r="M491" s="509"/>
      <c r="N491" s="509"/>
      <c r="O491" s="547"/>
      <c r="P491" s="200"/>
      <c r="Q491" s="174"/>
      <c r="R491" s="390"/>
      <c r="S491" s="510"/>
      <c r="T491" s="200"/>
      <c r="U491" s="174"/>
      <c r="V491" s="174"/>
      <c r="W491" s="510"/>
      <c r="X491" s="174"/>
      <c r="Y491" s="174"/>
      <c r="Z491" s="174"/>
      <c r="AA491" s="510"/>
      <c r="AB491" s="200"/>
      <c r="AC491" s="174"/>
      <c r="AD491" s="390"/>
      <c r="AE491" s="510"/>
      <c r="AF491" s="200"/>
      <c r="AG491" s="174"/>
      <c r="AH491" s="174"/>
      <c r="AI491" s="200"/>
      <c r="AJ491" s="548"/>
      <c r="AK491" s="200"/>
      <c r="AL491" s="174"/>
      <c r="AM491" s="390"/>
      <c r="AN491" s="510"/>
      <c r="AO491" s="200"/>
      <c r="AP491" s="174"/>
      <c r="AQ491" s="510"/>
      <c r="AR491" s="200"/>
      <c r="AS491" s="174"/>
      <c r="AT491" s="510"/>
      <c r="AU491" s="200"/>
      <c r="AV491" s="174"/>
      <c r="AW491" s="510"/>
      <c r="AX491" s="200"/>
      <c r="AY491" s="174"/>
      <c r="AZ491" s="510"/>
      <c r="BA491" s="174"/>
      <c r="BB491" s="174"/>
      <c r="BC491" s="174"/>
      <c r="BD491" s="174"/>
      <c r="BE491" s="174"/>
      <c r="BF491" s="510"/>
      <c r="BG491" s="174"/>
      <c r="BH491" s="174"/>
      <c r="BI491" s="174"/>
      <c r="BJ491" s="200"/>
      <c r="BK491" s="174"/>
      <c r="BL491" s="510"/>
      <c r="BM491" s="174"/>
      <c r="BN491" s="174"/>
      <c r="BO491" s="510"/>
      <c r="BP491" s="200"/>
      <c r="BQ491" s="447"/>
      <c r="BR491" s="510"/>
      <c r="BS491" s="174"/>
      <c r="BT491" s="174"/>
      <c r="BU491" s="510"/>
      <c r="BV491" s="200"/>
      <c r="BW491" s="174"/>
      <c r="BX491" s="510"/>
      <c r="BY491" s="174"/>
      <c r="BZ491" s="174"/>
      <c r="CA491" s="510"/>
      <c r="CB491" s="200"/>
      <c r="CC491" s="174"/>
      <c r="CD491" s="510"/>
      <c r="CE491" s="174"/>
      <c r="CF491" s="174"/>
      <c r="CG491" s="510"/>
      <c r="CH491" s="174"/>
      <c r="CI491" s="174"/>
      <c r="CJ491" s="174"/>
      <c r="CK491" s="174"/>
      <c r="CL491" s="174"/>
      <c r="CM491" s="510"/>
      <c r="CN491" s="174"/>
      <c r="CO491" s="549"/>
      <c r="CP491" s="510"/>
      <c r="CQ491" s="200"/>
      <c r="CR491" s="550"/>
      <c r="CS491" s="510"/>
      <c r="CT491" s="390"/>
      <c r="CU491" s="331"/>
      <c r="CV491" s="428"/>
      <c r="CW491" s="155"/>
      <c r="CX491" s="155"/>
      <c r="CY491" s="267"/>
      <c r="CZ491" s="323"/>
      <c r="DA491" s="323"/>
      <c r="DB491" s="423"/>
      <c r="DC491" s="155"/>
      <c r="DD491" s="155"/>
      <c r="DE491" s="267"/>
      <c r="DF491" s="323"/>
      <c r="DG491" s="323"/>
      <c r="DH491" s="428"/>
      <c r="DI491" s="155"/>
      <c r="DJ491" s="155"/>
      <c r="DK491" s="222"/>
      <c r="DL491" s="267"/>
      <c r="DM491" s="155"/>
      <c r="DN491" s="155"/>
      <c r="DO491" s="155"/>
      <c r="DP491" s="423"/>
      <c r="DQ491" s="155"/>
      <c r="DR491" s="155"/>
      <c r="DS491" s="222"/>
      <c r="DT491" s="267"/>
      <c r="DU491" s="174"/>
      <c r="DV491" s="174"/>
      <c r="DW491" s="200"/>
      <c r="DX491" s="428"/>
      <c r="DY491" s="155"/>
      <c r="DZ491" s="155"/>
      <c r="EA491" s="155"/>
      <c r="EB491" s="173"/>
      <c r="EC491" s="155"/>
      <c r="ED491" s="155"/>
      <c r="EE491" s="155"/>
      <c r="EF491" s="423"/>
      <c r="EG491" s="155"/>
      <c r="EH491" s="155"/>
      <c r="EI491" s="155"/>
      <c r="EJ491" s="267"/>
      <c r="EK491" s="155"/>
      <c r="EL491" s="155"/>
      <c r="EM491" s="155"/>
      <c r="EN491" s="428"/>
    </row>
    <row r="492" spans="1:144">
      <c r="A492" s="360"/>
      <c r="B492" s="172"/>
      <c r="C492" s="360"/>
      <c r="D492" s="172"/>
      <c r="E492" s="408"/>
      <c r="F492" s="408"/>
      <c r="G492" s="509"/>
      <c r="H492" s="546"/>
      <c r="I492" s="546"/>
      <c r="J492" s="251"/>
      <c r="K492" s="251"/>
      <c r="L492" s="509"/>
      <c r="M492" s="509"/>
      <c r="N492" s="509"/>
      <c r="O492" s="547"/>
      <c r="P492" s="200"/>
      <c r="Q492" s="174"/>
      <c r="R492" s="390"/>
      <c r="S492" s="510"/>
      <c r="T492" s="200"/>
      <c r="U492" s="174"/>
      <c r="V492" s="174"/>
      <c r="W492" s="510"/>
      <c r="X492" s="174"/>
      <c r="Y492" s="174"/>
      <c r="Z492" s="174"/>
      <c r="AA492" s="510"/>
      <c r="AB492" s="200"/>
      <c r="AC492" s="174"/>
      <c r="AD492" s="390"/>
      <c r="AE492" s="510"/>
      <c r="AF492" s="200"/>
      <c r="AG492" s="174"/>
      <c r="AH492" s="174"/>
      <c r="AI492" s="200"/>
      <c r="AJ492" s="548"/>
      <c r="AK492" s="200"/>
      <c r="AL492" s="174"/>
      <c r="AM492" s="390"/>
      <c r="AN492" s="510"/>
      <c r="AO492" s="200"/>
      <c r="AP492" s="174"/>
      <c r="AQ492" s="510"/>
      <c r="AR492" s="200"/>
      <c r="AS492" s="174"/>
      <c r="AT492" s="510"/>
      <c r="AU492" s="200"/>
      <c r="AV492" s="174"/>
      <c r="AW492" s="510"/>
      <c r="AX492" s="200"/>
      <c r="AY492" s="174"/>
      <c r="AZ492" s="510"/>
      <c r="BA492" s="174"/>
      <c r="BB492" s="174"/>
      <c r="BC492" s="174"/>
      <c r="BD492" s="174"/>
      <c r="BE492" s="174"/>
      <c r="BF492" s="510"/>
      <c r="BG492" s="174"/>
      <c r="BH492" s="174"/>
      <c r="BI492" s="174"/>
      <c r="BJ492" s="200"/>
      <c r="BK492" s="174"/>
      <c r="BL492" s="510"/>
      <c r="BM492" s="174"/>
      <c r="BN492" s="174"/>
      <c r="BO492" s="510"/>
      <c r="BP492" s="200"/>
      <c r="BQ492" s="447"/>
      <c r="BR492" s="510"/>
      <c r="BS492" s="174"/>
      <c r="BT492" s="174"/>
      <c r="BU492" s="510"/>
      <c r="BV492" s="200"/>
      <c r="BW492" s="174"/>
      <c r="BX492" s="510"/>
      <c r="BY492" s="174"/>
      <c r="BZ492" s="174"/>
      <c r="CA492" s="510"/>
      <c r="CB492" s="200"/>
      <c r="CC492" s="174"/>
      <c r="CD492" s="510"/>
      <c r="CE492" s="174"/>
      <c r="CF492" s="174"/>
      <c r="CG492" s="510"/>
      <c r="CH492" s="174"/>
      <c r="CI492" s="174"/>
      <c r="CJ492" s="174"/>
      <c r="CK492" s="174"/>
      <c r="CL492" s="174"/>
      <c r="CM492" s="510"/>
      <c r="CN492" s="174"/>
      <c r="CO492" s="549"/>
      <c r="CP492" s="510"/>
      <c r="CQ492" s="200"/>
      <c r="CR492" s="550"/>
      <c r="CS492" s="510"/>
      <c r="CT492" s="390"/>
      <c r="CU492" s="331"/>
      <c r="CV492" s="428"/>
      <c r="CW492" s="155"/>
      <c r="CX492" s="155"/>
      <c r="CY492" s="267"/>
      <c r="CZ492" s="323"/>
      <c r="DA492" s="323"/>
      <c r="DB492" s="423"/>
      <c r="DC492" s="155"/>
      <c r="DD492" s="155"/>
      <c r="DE492" s="267"/>
      <c r="DF492" s="323"/>
      <c r="DG492" s="323"/>
      <c r="DH492" s="428"/>
      <c r="DI492" s="155"/>
      <c r="DJ492" s="155"/>
      <c r="DK492" s="222"/>
      <c r="DL492" s="267"/>
      <c r="DM492" s="155"/>
      <c r="DN492" s="155"/>
      <c r="DO492" s="155"/>
      <c r="DP492" s="423"/>
      <c r="DQ492" s="155"/>
      <c r="DR492" s="155"/>
      <c r="DS492" s="222"/>
      <c r="DT492" s="267"/>
      <c r="DU492" s="174"/>
      <c r="DV492" s="174"/>
      <c r="DW492" s="200"/>
      <c r="DX492" s="428"/>
      <c r="DY492" s="155"/>
      <c r="DZ492" s="155"/>
      <c r="EA492" s="155"/>
      <c r="EB492" s="173"/>
      <c r="EC492" s="155"/>
      <c r="ED492" s="155"/>
      <c r="EE492" s="155"/>
      <c r="EF492" s="423"/>
      <c r="EG492" s="155"/>
      <c r="EH492" s="155"/>
      <c r="EI492" s="155"/>
      <c r="EJ492" s="267"/>
      <c r="EK492" s="155"/>
      <c r="EL492" s="155"/>
      <c r="EM492" s="155"/>
      <c r="EN492" s="428"/>
    </row>
    <row r="493" spans="1:144">
      <c r="A493" s="360"/>
      <c r="B493" s="172"/>
      <c r="C493" s="360"/>
      <c r="D493" s="172"/>
      <c r="E493" s="408"/>
      <c r="F493" s="408"/>
      <c r="G493" s="509"/>
      <c r="H493" s="546"/>
      <c r="I493" s="546"/>
      <c r="J493" s="251"/>
      <c r="K493" s="251"/>
      <c r="L493" s="509"/>
      <c r="M493" s="509"/>
      <c r="N493" s="509"/>
      <c r="O493" s="547"/>
      <c r="P493" s="200"/>
      <c r="Q493" s="174"/>
      <c r="R493" s="390"/>
      <c r="S493" s="510"/>
      <c r="T493" s="200"/>
      <c r="U493" s="174"/>
      <c r="V493" s="174"/>
      <c r="W493" s="510"/>
      <c r="X493" s="174"/>
      <c r="Y493" s="174"/>
      <c r="Z493" s="174"/>
      <c r="AA493" s="510"/>
      <c r="AB493" s="200"/>
      <c r="AC493" s="174"/>
      <c r="AD493" s="390"/>
      <c r="AE493" s="510"/>
      <c r="AF493" s="200"/>
      <c r="AG493" s="174"/>
      <c r="AH493" s="174"/>
      <c r="AI493" s="200"/>
      <c r="AJ493" s="548"/>
      <c r="AK493" s="200"/>
      <c r="AL493" s="174"/>
      <c r="AM493" s="390"/>
      <c r="AN493" s="510"/>
      <c r="AO493" s="200"/>
      <c r="AP493" s="174"/>
      <c r="AQ493" s="510"/>
      <c r="AR493" s="200"/>
      <c r="AS493" s="174"/>
      <c r="AT493" s="510"/>
      <c r="AU493" s="200"/>
      <c r="AV493" s="174"/>
      <c r="AW493" s="510"/>
      <c r="AX493" s="200"/>
      <c r="AY493" s="174"/>
      <c r="AZ493" s="510"/>
      <c r="BA493" s="174"/>
      <c r="BB493" s="174"/>
      <c r="BC493" s="174"/>
      <c r="BD493" s="174"/>
      <c r="BE493" s="174"/>
      <c r="BF493" s="510"/>
      <c r="BG493" s="174"/>
      <c r="BH493" s="174"/>
      <c r="BI493" s="174"/>
      <c r="BJ493" s="200"/>
      <c r="BK493" s="174"/>
      <c r="BL493" s="510"/>
      <c r="BM493" s="174"/>
      <c r="BN493" s="174"/>
      <c r="BO493" s="510"/>
      <c r="BP493" s="200"/>
      <c r="BQ493" s="447"/>
      <c r="BR493" s="510"/>
      <c r="BS493" s="174"/>
      <c r="BT493" s="174"/>
      <c r="BU493" s="510"/>
      <c r="BV493" s="200"/>
      <c r="BW493" s="174"/>
      <c r="BX493" s="510"/>
      <c r="BY493" s="174"/>
      <c r="BZ493" s="174"/>
      <c r="CA493" s="510"/>
      <c r="CB493" s="200"/>
      <c r="CC493" s="174"/>
      <c r="CD493" s="510"/>
      <c r="CE493" s="174"/>
      <c r="CF493" s="174"/>
      <c r="CG493" s="510"/>
      <c r="CH493" s="174"/>
      <c r="CI493" s="174"/>
      <c r="CJ493" s="174"/>
      <c r="CK493" s="174"/>
      <c r="CL493" s="174"/>
      <c r="CM493" s="510"/>
      <c r="CN493" s="174"/>
      <c r="CO493" s="549"/>
      <c r="CP493" s="510"/>
      <c r="CQ493" s="200"/>
      <c r="CR493" s="550"/>
      <c r="CS493" s="510"/>
      <c r="CT493" s="390"/>
      <c r="CU493" s="331"/>
      <c r="CV493" s="428"/>
      <c r="CW493" s="155"/>
      <c r="CX493" s="155"/>
      <c r="CY493" s="267"/>
      <c r="CZ493" s="323"/>
      <c r="DA493" s="323"/>
      <c r="DB493" s="423"/>
      <c r="DC493" s="155"/>
      <c r="DD493" s="155"/>
      <c r="DE493" s="267"/>
      <c r="DF493" s="323"/>
      <c r="DG493" s="323"/>
      <c r="DH493" s="428"/>
      <c r="DI493" s="155"/>
      <c r="DJ493" s="155"/>
      <c r="DK493" s="222"/>
      <c r="DL493" s="267"/>
      <c r="DM493" s="155"/>
      <c r="DN493" s="155"/>
      <c r="DO493" s="155"/>
      <c r="DP493" s="423"/>
      <c r="DQ493" s="155"/>
      <c r="DR493" s="155"/>
      <c r="DS493" s="222"/>
      <c r="DT493" s="267"/>
      <c r="DU493" s="174"/>
      <c r="DV493" s="174"/>
      <c r="DW493" s="200"/>
      <c r="DX493" s="428"/>
      <c r="DY493" s="155"/>
      <c r="DZ493" s="155"/>
      <c r="EA493" s="155"/>
      <c r="EB493" s="173"/>
      <c r="EC493" s="155"/>
      <c r="ED493" s="155"/>
      <c r="EE493" s="155"/>
      <c r="EF493" s="423"/>
      <c r="EG493" s="155"/>
      <c r="EH493" s="155"/>
      <c r="EI493" s="155"/>
      <c r="EJ493" s="267"/>
      <c r="EK493" s="155"/>
      <c r="EL493" s="155"/>
      <c r="EM493" s="155"/>
      <c r="EN493" s="428"/>
    </row>
    <row r="494" spans="1:144">
      <c r="A494" s="360"/>
      <c r="B494" s="172"/>
      <c r="C494" s="360"/>
      <c r="D494" s="172"/>
      <c r="E494" s="408"/>
      <c r="F494" s="408"/>
      <c r="G494" s="509"/>
      <c r="H494" s="546"/>
      <c r="I494" s="546"/>
      <c r="J494" s="251"/>
      <c r="K494" s="251"/>
      <c r="L494" s="509"/>
      <c r="M494" s="509"/>
      <c r="N494" s="509"/>
      <c r="O494" s="547"/>
      <c r="P494" s="200"/>
      <c r="Q494" s="174"/>
      <c r="R494" s="390"/>
      <c r="S494" s="510"/>
      <c r="T494" s="200"/>
      <c r="U494" s="174"/>
      <c r="V494" s="174"/>
      <c r="W494" s="510"/>
      <c r="X494" s="174"/>
      <c r="Y494" s="174"/>
      <c r="Z494" s="174"/>
      <c r="AA494" s="510"/>
      <c r="AB494" s="200"/>
      <c r="AC494" s="174"/>
      <c r="AD494" s="390"/>
      <c r="AE494" s="510"/>
      <c r="AF494" s="200"/>
      <c r="AG494" s="174"/>
      <c r="AH494" s="174"/>
      <c r="AI494" s="200"/>
      <c r="AJ494" s="548"/>
      <c r="AK494" s="200"/>
      <c r="AL494" s="174"/>
      <c r="AM494" s="390"/>
      <c r="AN494" s="510"/>
      <c r="AO494" s="200"/>
      <c r="AP494" s="174"/>
      <c r="AQ494" s="510"/>
      <c r="AR494" s="200"/>
      <c r="AS494" s="174"/>
      <c r="AT494" s="510"/>
      <c r="AU494" s="200"/>
      <c r="AV494" s="174"/>
      <c r="AW494" s="510"/>
      <c r="AX494" s="200"/>
      <c r="AY494" s="174"/>
      <c r="AZ494" s="510"/>
      <c r="BA494" s="174"/>
      <c r="BB494" s="174"/>
      <c r="BC494" s="174"/>
      <c r="BD494" s="174"/>
      <c r="BE494" s="174"/>
      <c r="BF494" s="510"/>
      <c r="BG494" s="174"/>
      <c r="BH494" s="174"/>
      <c r="BI494" s="174"/>
      <c r="BJ494" s="200"/>
      <c r="BK494" s="174"/>
      <c r="BL494" s="510"/>
      <c r="BM494" s="174"/>
      <c r="BN494" s="174"/>
      <c r="BO494" s="510"/>
      <c r="BP494" s="200"/>
      <c r="BQ494" s="447"/>
      <c r="BR494" s="510"/>
      <c r="BS494" s="174"/>
      <c r="BT494" s="174"/>
      <c r="BU494" s="510"/>
      <c r="BV494" s="200"/>
      <c r="BW494" s="174"/>
      <c r="BX494" s="510"/>
      <c r="BY494" s="174"/>
      <c r="BZ494" s="174"/>
      <c r="CA494" s="510"/>
      <c r="CB494" s="200"/>
      <c r="CC494" s="174"/>
      <c r="CD494" s="510"/>
      <c r="CE494" s="174"/>
      <c r="CF494" s="174"/>
      <c r="CG494" s="510"/>
      <c r="CH494" s="174"/>
      <c r="CI494" s="174"/>
      <c r="CJ494" s="174"/>
      <c r="CK494" s="174"/>
      <c r="CL494" s="174"/>
      <c r="CM494" s="510"/>
      <c r="CN494" s="174"/>
      <c r="CO494" s="549"/>
      <c r="CP494" s="510"/>
      <c r="CQ494" s="200"/>
      <c r="CR494" s="550"/>
      <c r="CS494" s="510"/>
      <c r="CT494" s="390"/>
      <c r="CU494" s="331"/>
      <c r="CV494" s="428"/>
      <c r="CW494" s="155"/>
      <c r="CX494" s="155"/>
      <c r="CY494" s="267"/>
      <c r="CZ494" s="323"/>
      <c r="DA494" s="323"/>
      <c r="DB494" s="423"/>
      <c r="DC494" s="155"/>
      <c r="DD494" s="155"/>
      <c r="DE494" s="267"/>
      <c r="DF494" s="323"/>
      <c r="DG494" s="323"/>
      <c r="DH494" s="428"/>
      <c r="DI494" s="155"/>
      <c r="DJ494" s="155"/>
      <c r="DK494" s="222"/>
      <c r="DL494" s="267"/>
      <c r="DM494" s="155"/>
      <c r="DN494" s="155"/>
      <c r="DO494" s="155"/>
      <c r="DP494" s="423"/>
      <c r="DQ494" s="155"/>
      <c r="DR494" s="155"/>
      <c r="DS494" s="222"/>
      <c r="DT494" s="267"/>
      <c r="DU494" s="174"/>
      <c r="DV494" s="174"/>
      <c r="DW494" s="200"/>
      <c r="DX494" s="428"/>
      <c r="DY494" s="155"/>
      <c r="DZ494" s="155"/>
      <c r="EA494" s="155"/>
      <c r="EB494" s="173"/>
      <c r="EC494" s="155"/>
      <c r="ED494" s="155"/>
      <c r="EE494" s="155"/>
      <c r="EF494" s="423"/>
      <c r="EG494" s="155"/>
      <c r="EH494" s="155"/>
      <c r="EI494" s="155"/>
      <c r="EJ494" s="267"/>
      <c r="EK494" s="155"/>
      <c r="EL494" s="155"/>
      <c r="EM494" s="155"/>
      <c r="EN494" s="428"/>
    </row>
    <row r="495" spans="1:144">
      <c r="A495" s="360"/>
      <c r="B495" s="172"/>
      <c r="C495" s="360"/>
      <c r="D495" s="172"/>
      <c r="E495" s="408"/>
      <c r="F495" s="408"/>
      <c r="G495" s="509"/>
      <c r="H495" s="546"/>
      <c r="I495" s="546"/>
      <c r="J495" s="251"/>
      <c r="K495" s="251"/>
      <c r="L495" s="509"/>
      <c r="M495" s="509"/>
      <c r="N495" s="509"/>
      <c r="O495" s="547"/>
      <c r="P495" s="200"/>
      <c r="Q495" s="174"/>
      <c r="R495" s="390"/>
      <c r="S495" s="510"/>
      <c r="T495" s="200"/>
      <c r="U495" s="174"/>
      <c r="V495" s="174"/>
      <c r="W495" s="510"/>
      <c r="X495" s="174"/>
      <c r="Y495" s="174"/>
      <c r="Z495" s="174"/>
      <c r="AA495" s="510"/>
      <c r="AB495" s="200"/>
      <c r="AC495" s="174"/>
      <c r="AD495" s="390"/>
      <c r="AE495" s="510"/>
      <c r="AF495" s="200"/>
      <c r="AG495" s="174"/>
      <c r="AH495" s="174"/>
      <c r="AI495" s="200"/>
      <c r="AJ495" s="548"/>
      <c r="AK495" s="200"/>
      <c r="AL495" s="174"/>
      <c r="AM495" s="390"/>
      <c r="AN495" s="510"/>
      <c r="AO495" s="200"/>
      <c r="AP495" s="174"/>
      <c r="AQ495" s="510"/>
      <c r="AR495" s="200"/>
      <c r="AS495" s="174"/>
      <c r="AT495" s="510"/>
      <c r="AU495" s="200"/>
      <c r="AV495" s="174"/>
      <c r="AW495" s="510"/>
      <c r="AX495" s="200"/>
      <c r="AY495" s="174"/>
      <c r="AZ495" s="510"/>
      <c r="BA495" s="174"/>
      <c r="BB495" s="174"/>
      <c r="BC495" s="174"/>
      <c r="BD495" s="174"/>
      <c r="BE495" s="174"/>
      <c r="BF495" s="510"/>
      <c r="BG495" s="174"/>
      <c r="BH495" s="174"/>
      <c r="BI495" s="174"/>
      <c r="BJ495" s="200"/>
      <c r="BK495" s="174"/>
      <c r="BL495" s="510"/>
      <c r="BM495" s="174"/>
      <c r="BN495" s="174"/>
      <c r="BO495" s="510"/>
      <c r="BP495" s="200"/>
      <c r="BQ495" s="447"/>
      <c r="BR495" s="510"/>
      <c r="BS495" s="174"/>
      <c r="BT495" s="174"/>
      <c r="BU495" s="510"/>
      <c r="BV495" s="200"/>
      <c r="BW495" s="174"/>
      <c r="BX495" s="510"/>
      <c r="BY495" s="174"/>
      <c r="BZ495" s="174"/>
      <c r="CA495" s="510"/>
      <c r="CB495" s="200"/>
      <c r="CC495" s="174"/>
      <c r="CD495" s="510"/>
      <c r="CE495" s="174"/>
      <c r="CF495" s="174"/>
      <c r="CG495" s="510"/>
      <c r="CH495" s="174"/>
      <c r="CI495" s="174"/>
      <c r="CJ495" s="174"/>
      <c r="CK495" s="174"/>
      <c r="CL495" s="174"/>
      <c r="CM495" s="510"/>
      <c r="CN495" s="174"/>
      <c r="CO495" s="549"/>
      <c r="CP495" s="510"/>
      <c r="CQ495" s="200"/>
      <c r="CR495" s="550"/>
      <c r="CS495" s="510"/>
      <c r="CT495" s="390"/>
      <c r="CU495" s="331"/>
      <c r="CV495" s="428"/>
      <c r="CW495" s="155"/>
      <c r="CX495" s="155"/>
      <c r="CY495" s="267"/>
      <c r="CZ495" s="323"/>
      <c r="DA495" s="323"/>
      <c r="DB495" s="423"/>
      <c r="DC495" s="155"/>
      <c r="DD495" s="155"/>
      <c r="DE495" s="267"/>
      <c r="DF495" s="323"/>
      <c r="DG495" s="323"/>
      <c r="DH495" s="428"/>
      <c r="DI495" s="155"/>
      <c r="DJ495" s="155"/>
      <c r="DK495" s="222"/>
      <c r="DL495" s="267"/>
      <c r="DM495" s="155"/>
      <c r="DN495" s="155"/>
      <c r="DO495" s="155"/>
      <c r="DP495" s="423"/>
      <c r="DQ495" s="155"/>
      <c r="DR495" s="155"/>
      <c r="DS495" s="222"/>
      <c r="DT495" s="267"/>
      <c r="DU495" s="174"/>
      <c r="DV495" s="174"/>
      <c r="DW495" s="200"/>
      <c r="DX495" s="428"/>
      <c r="DY495" s="155"/>
      <c r="DZ495" s="155"/>
      <c r="EA495" s="155"/>
      <c r="EB495" s="173"/>
      <c r="EC495" s="155"/>
      <c r="ED495" s="155"/>
      <c r="EE495" s="155"/>
      <c r="EF495" s="423"/>
      <c r="EG495" s="155"/>
      <c r="EH495" s="155"/>
      <c r="EI495" s="155"/>
      <c r="EJ495" s="267"/>
      <c r="EK495" s="155"/>
      <c r="EL495" s="155"/>
      <c r="EM495" s="155"/>
      <c r="EN495" s="428"/>
    </row>
    <row r="496" spans="1:144">
      <c r="A496" s="360"/>
      <c r="B496" s="172"/>
      <c r="C496" s="360"/>
      <c r="D496" s="172"/>
      <c r="E496" s="408"/>
      <c r="F496" s="408"/>
      <c r="G496" s="509"/>
      <c r="H496" s="546"/>
      <c r="I496" s="546"/>
      <c r="J496" s="251"/>
      <c r="K496" s="251"/>
      <c r="L496" s="509"/>
      <c r="M496" s="509"/>
      <c r="N496" s="509"/>
      <c r="O496" s="547"/>
      <c r="P496" s="200"/>
      <c r="Q496" s="174"/>
      <c r="R496" s="390"/>
      <c r="S496" s="510"/>
      <c r="T496" s="200"/>
      <c r="U496" s="174"/>
      <c r="V496" s="174"/>
      <c r="W496" s="510"/>
      <c r="X496" s="174"/>
      <c r="Y496" s="174"/>
      <c r="Z496" s="174"/>
      <c r="AA496" s="510"/>
      <c r="AB496" s="200"/>
      <c r="AC496" s="174"/>
      <c r="AD496" s="390"/>
      <c r="AE496" s="510"/>
      <c r="AF496" s="200"/>
      <c r="AG496" s="174"/>
      <c r="AH496" s="174"/>
      <c r="AI496" s="200"/>
      <c r="AJ496" s="548"/>
      <c r="AK496" s="200"/>
      <c r="AL496" s="174"/>
      <c r="AM496" s="390"/>
      <c r="AN496" s="510"/>
      <c r="AO496" s="200"/>
      <c r="AP496" s="174"/>
      <c r="AQ496" s="510"/>
      <c r="AR496" s="200"/>
      <c r="AS496" s="174"/>
      <c r="AT496" s="510"/>
      <c r="AU496" s="200"/>
      <c r="AV496" s="174"/>
      <c r="AW496" s="510"/>
      <c r="AX496" s="200"/>
      <c r="AY496" s="174"/>
      <c r="AZ496" s="510"/>
      <c r="BA496" s="174"/>
      <c r="BB496" s="174"/>
      <c r="BC496" s="174"/>
      <c r="BD496" s="174"/>
      <c r="BE496" s="174"/>
      <c r="BF496" s="510"/>
      <c r="BG496" s="174"/>
      <c r="BH496" s="174"/>
      <c r="BI496" s="174"/>
      <c r="BJ496" s="200"/>
      <c r="BK496" s="174"/>
      <c r="BL496" s="510"/>
      <c r="BM496" s="174"/>
      <c r="BN496" s="174"/>
      <c r="BO496" s="510"/>
      <c r="BP496" s="200"/>
      <c r="BQ496" s="447"/>
      <c r="BR496" s="510"/>
      <c r="BS496" s="174"/>
      <c r="BT496" s="174"/>
      <c r="BU496" s="510"/>
      <c r="BV496" s="200"/>
      <c r="BW496" s="174"/>
      <c r="BX496" s="510"/>
      <c r="BY496" s="174"/>
      <c r="BZ496" s="174"/>
      <c r="CA496" s="510"/>
      <c r="CB496" s="200"/>
      <c r="CC496" s="174"/>
      <c r="CD496" s="510"/>
      <c r="CE496" s="174"/>
      <c r="CF496" s="174"/>
      <c r="CG496" s="510"/>
      <c r="CH496" s="174"/>
      <c r="CI496" s="174"/>
      <c r="CJ496" s="174"/>
      <c r="CK496" s="174"/>
      <c r="CL496" s="174"/>
      <c r="CM496" s="510"/>
      <c r="CN496" s="174"/>
      <c r="CO496" s="549"/>
      <c r="CP496" s="510"/>
      <c r="CQ496" s="200"/>
      <c r="CR496" s="550"/>
      <c r="CS496" s="510"/>
      <c r="CT496" s="390"/>
      <c r="CU496" s="331"/>
      <c r="CV496" s="428"/>
      <c r="CW496" s="155"/>
      <c r="CX496" s="155"/>
      <c r="CY496" s="267"/>
      <c r="CZ496" s="323"/>
      <c r="DA496" s="323"/>
      <c r="DB496" s="423"/>
      <c r="DC496" s="155"/>
      <c r="DD496" s="155"/>
      <c r="DE496" s="267"/>
      <c r="DF496" s="323"/>
      <c r="DG496" s="323"/>
      <c r="DH496" s="428"/>
      <c r="DI496" s="155"/>
      <c r="DJ496" s="155"/>
      <c r="DK496" s="222"/>
      <c r="DL496" s="267"/>
      <c r="DM496" s="155"/>
      <c r="DN496" s="155"/>
      <c r="DO496" s="155"/>
      <c r="DP496" s="423"/>
      <c r="DQ496" s="155"/>
      <c r="DR496" s="155"/>
      <c r="DS496" s="222"/>
      <c r="DT496" s="267"/>
      <c r="DU496" s="174"/>
      <c r="DV496" s="174"/>
      <c r="DW496" s="200"/>
      <c r="DX496" s="428"/>
      <c r="DY496" s="155"/>
      <c r="DZ496" s="155"/>
      <c r="EA496" s="155"/>
      <c r="EB496" s="173"/>
      <c r="EC496" s="155"/>
      <c r="ED496" s="155"/>
      <c r="EE496" s="155"/>
      <c r="EF496" s="423"/>
      <c r="EG496" s="155"/>
      <c r="EH496" s="155"/>
      <c r="EI496" s="155"/>
      <c r="EJ496" s="267"/>
      <c r="EK496" s="155"/>
      <c r="EL496" s="155"/>
      <c r="EM496" s="155"/>
      <c r="EN496" s="428"/>
    </row>
    <row r="497" spans="1:144">
      <c r="A497" s="360"/>
      <c r="B497" s="172"/>
      <c r="C497" s="360"/>
      <c r="D497" s="172"/>
      <c r="E497" s="408"/>
      <c r="F497" s="408"/>
      <c r="G497" s="509"/>
      <c r="H497" s="546"/>
      <c r="I497" s="546"/>
      <c r="J497" s="251"/>
      <c r="K497" s="251"/>
      <c r="L497" s="509"/>
      <c r="M497" s="509"/>
      <c r="N497" s="509"/>
      <c r="O497" s="547"/>
      <c r="P497" s="200"/>
      <c r="Q497" s="174"/>
      <c r="R497" s="390"/>
      <c r="S497" s="510"/>
      <c r="T497" s="200"/>
      <c r="U497" s="174"/>
      <c r="V497" s="174"/>
      <c r="W497" s="510"/>
      <c r="X497" s="174"/>
      <c r="Y497" s="174"/>
      <c r="Z497" s="174"/>
      <c r="AA497" s="510"/>
      <c r="AB497" s="200"/>
      <c r="AC497" s="174"/>
      <c r="AD497" s="390"/>
      <c r="AE497" s="510"/>
      <c r="AF497" s="200"/>
      <c r="AG497" s="174"/>
      <c r="AH497" s="174"/>
      <c r="AI497" s="200"/>
      <c r="AJ497" s="548"/>
      <c r="AK497" s="200"/>
      <c r="AL497" s="174"/>
      <c r="AM497" s="390"/>
      <c r="AN497" s="510"/>
      <c r="AO497" s="200"/>
      <c r="AP497" s="174"/>
      <c r="AQ497" s="510"/>
      <c r="AR497" s="200"/>
      <c r="AS497" s="174"/>
      <c r="AT497" s="510"/>
      <c r="AU497" s="200"/>
      <c r="AV497" s="174"/>
      <c r="AW497" s="510"/>
      <c r="AX497" s="200"/>
      <c r="AY497" s="174"/>
      <c r="AZ497" s="510"/>
      <c r="BA497" s="174"/>
      <c r="BB497" s="174"/>
      <c r="BC497" s="174"/>
      <c r="BD497" s="174"/>
      <c r="BE497" s="174"/>
      <c r="BF497" s="510"/>
      <c r="BG497" s="174"/>
      <c r="BH497" s="174"/>
      <c r="BI497" s="174"/>
      <c r="BJ497" s="200"/>
      <c r="BK497" s="174"/>
      <c r="BL497" s="510"/>
      <c r="BM497" s="174"/>
      <c r="BN497" s="174"/>
      <c r="BO497" s="510"/>
      <c r="BP497" s="200"/>
      <c r="BQ497" s="447"/>
      <c r="BR497" s="510"/>
      <c r="BS497" s="174"/>
      <c r="BT497" s="174"/>
      <c r="BU497" s="510"/>
      <c r="BV497" s="200"/>
      <c r="BW497" s="174"/>
      <c r="BX497" s="510"/>
      <c r="BY497" s="174"/>
      <c r="BZ497" s="174"/>
      <c r="CA497" s="510"/>
      <c r="CB497" s="200"/>
      <c r="CC497" s="174"/>
      <c r="CD497" s="510"/>
      <c r="CE497" s="174"/>
      <c r="CF497" s="174"/>
      <c r="CG497" s="510"/>
      <c r="CH497" s="174"/>
      <c r="CI497" s="174"/>
      <c r="CJ497" s="174"/>
      <c r="CK497" s="174"/>
      <c r="CL497" s="174"/>
      <c r="CM497" s="510"/>
      <c r="CN497" s="174"/>
      <c r="CO497" s="549"/>
      <c r="CP497" s="510"/>
      <c r="CQ497" s="200"/>
      <c r="CR497" s="550"/>
      <c r="CS497" s="510"/>
      <c r="CT497" s="390"/>
      <c r="CU497" s="331"/>
      <c r="CV497" s="428"/>
      <c r="CW497" s="155"/>
      <c r="CX497" s="155"/>
      <c r="CY497" s="267"/>
      <c r="CZ497" s="323"/>
      <c r="DA497" s="323"/>
      <c r="DB497" s="423"/>
      <c r="DC497" s="155"/>
      <c r="DD497" s="155"/>
      <c r="DE497" s="267"/>
      <c r="DF497" s="323"/>
      <c r="DG497" s="323"/>
      <c r="DH497" s="428"/>
      <c r="DI497" s="155"/>
      <c r="DJ497" s="155"/>
      <c r="DK497" s="222"/>
      <c r="DL497" s="267"/>
      <c r="DM497" s="155"/>
      <c r="DN497" s="155"/>
      <c r="DO497" s="155"/>
      <c r="DP497" s="423"/>
      <c r="DQ497" s="155"/>
      <c r="DR497" s="155"/>
      <c r="DS497" s="222"/>
      <c r="DT497" s="267"/>
      <c r="DU497" s="174"/>
      <c r="DV497" s="174"/>
      <c r="DW497" s="200"/>
      <c r="DX497" s="428"/>
      <c r="DY497" s="155"/>
      <c r="DZ497" s="155"/>
      <c r="EA497" s="155"/>
      <c r="EB497" s="173"/>
      <c r="EC497" s="155"/>
      <c r="ED497" s="155"/>
      <c r="EE497" s="155"/>
      <c r="EF497" s="423"/>
      <c r="EG497" s="155"/>
      <c r="EH497" s="155"/>
      <c r="EI497" s="155"/>
      <c r="EJ497" s="267"/>
      <c r="EK497" s="155"/>
      <c r="EL497" s="155"/>
      <c r="EM497" s="155"/>
      <c r="EN497" s="428"/>
    </row>
    <row r="498" spans="1:144">
      <c r="A498" s="360"/>
      <c r="B498" s="172"/>
      <c r="C498" s="360"/>
      <c r="D498" s="172"/>
      <c r="E498" s="408"/>
      <c r="F498" s="408"/>
      <c r="G498" s="509"/>
      <c r="H498" s="546"/>
      <c r="I498" s="546"/>
      <c r="J498" s="251"/>
      <c r="K498" s="251"/>
      <c r="L498" s="509"/>
      <c r="M498" s="509"/>
      <c r="N498" s="509"/>
      <c r="O498" s="547"/>
      <c r="P498" s="200"/>
      <c r="Q498" s="174"/>
      <c r="R498" s="390"/>
      <c r="S498" s="510"/>
      <c r="T498" s="200"/>
      <c r="U498" s="174"/>
      <c r="V498" s="174"/>
      <c r="W498" s="510"/>
      <c r="X498" s="174"/>
      <c r="Y498" s="174"/>
      <c r="Z498" s="174"/>
      <c r="AA498" s="510"/>
      <c r="AB498" s="200"/>
      <c r="AC498" s="174"/>
      <c r="AD498" s="390"/>
      <c r="AE498" s="510"/>
      <c r="AF498" s="200"/>
      <c r="AG498" s="174"/>
      <c r="AH498" s="174"/>
      <c r="AI498" s="200"/>
      <c r="AJ498" s="548"/>
      <c r="AK498" s="200"/>
      <c r="AL498" s="174"/>
      <c r="AM498" s="390"/>
      <c r="AN498" s="510"/>
      <c r="AO498" s="200"/>
      <c r="AP498" s="174"/>
      <c r="AQ498" s="510"/>
      <c r="AR498" s="200"/>
      <c r="AS498" s="174"/>
      <c r="AT498" s="510"/>
      <c r="AU498" s="200"/>
      <c r="AV498" s="174"/>
      <c r="AW498" s="510"/>
      <c r="AX498" s="200"/>
      <c r="AY498" s="174"/>
      <c r="AZ498" s="510"/>
      <c r="BA498" s="174"/>
      <c r="BB498" s="174"/>
      <c r="BC498" s="174"/>
      <c r="BD498" s="174"/>
      <c r="BE498" s="174"/>
      <c r="BF498" s="510"/>
      <c r="BG498" s="174"/>
      <c r="BH498" s="174"/>
      <c r="BI498" s="174"/>
      <c r="BJ498" s="200"/>
      <c r="BK498" s="174"/>
      <c r="BL498" s="510"/>
      <c r="BM498" s="174"/>
      <c r="BN498" s="174"/>
      <c r="BO498" s="510"/>
      <c r="BP498" s="200"/>
      <c r="BQ498" s="447"/>
      <c r="BR498" s="510"/>
      <c r="BS498" s="174"/>
      <c r="BT498" s="174"/>
      <c r="BU498" s="510"/>
      <c r="BV498" s="200"/>
      <c r="BW498" s="174"/>
      <c r="BX498" s="510"/>
      <c r="BY498" s="174"/>
      <c r="BZ498" s="174"/>
      <c r="CA498" s="510"/>
      <c r="CB498" s="200"/>
      <c r="CC498" s="174"/>
      <c r="CD498" s="510"/>
      <c r="CE498" s="174"/>
      <c r="CF498" s="174"/>
      <c r="CG498" s="510"/>
      <c r="CH498" s="174"/>
      <c r="CI498" s="174"/>
      <c r="CJ498" s="174"/>
      <c r="CK498" s="174"/>
      <c r="CL498" s="174"/>
      <c r="CM498" s="510"/>
      <c r="CN498" s="174"/>
      <c r="CO498" s="549"/>
      <c r="CP498" s="510"/>
      <c r="CQ498" s="200"/>
      <c r="CR498" s="550"/>
      <c r="CS498" s="510"/>
      <c r="CT498" s="390"/>
      <c r="CU498" s="331"/>
      <c r="CV498" s="428"/>
      <c r="CW498" s="155"/>
      <c r="CX498" s="155"/>
      <c r="CY498" s="267"/>
      <c r="CZ498" s="323"/>
      <c r="DA498" s="323"/>
      <c r="DB498" s="423"/>
      <c r="DC498" s="155"/>
      <c r="DD498" s="155"/>
      <c r="DE498" s="267"/>
      <c r="DF498" s="323"/>
      <c r="DG498" s="323"/>
      <c r="DH498" s="428"/>
      <c r="DI498" s="155"/>
      <c r="DJ498" s="155"/>
      <c r="DK498" s="222"/>
      <c r="DL498" s="267"/>
      <c r="DM498" s="155"/>
      <c r="DN498" s="155"/>
      <c r="DO498" s="155"/>
      <c r="DP498" s="423"/>
      <c r="DQ498" s="155"/>
      <c r="DR498" s="155"/>
      <c r="DS498" s="222"/>
      <c r="DT498" s="267"/>
      <c r="DU498" s="174"/>
      <c r="DV498" s="174"/>
      <c r="DW498" s="200"/>
      <c r="DX498" s="428"/>
      <c r="DY498" s="155"/>
      <c r="DZ498" s="155"/>
      <c r="EA498" s="155"/>
      <c r="EB498" s="173"/>
      <c r="EC498" s="155"/>
      <c r="ED498" s="155"/>
      <c r="EE498" s="155"/>
      <c r="EF498" s="423"/>
      <c r="EG498" s="155"/>
      <c r="EH498" s="155"/>
      <c r="EI498" s="155"/>
      <c r="EJ498" s="267"/>
      <c r="EK498" s="155"/>
      <c r="EL498" s="155"/>
      <c r="EM498" s="155"/>
      <c r="EN498" s="428"/>
    </row>
    <row r="499" spans="1:144">
      <c r="A499" s="360"/>
      <c r="B499" s="172"/>
      <c r="C499" s="360"/>
      <c r="D499" s="172"/>
      <c r="E499" s="408"/>
      <c r="F499" s="408"/>
      <c r="G499" s="509"/>
      <c r="H499" s="546"/>
      <c r="I499" s="546"/>
      <c r="J499" s="251"/>
      <c r="K499" s="251"/>
      <c r="L499" s="509"/>
      <c r="M499" s="509"/>
      <c r="N499" s="509"/>
      <c r="O499" s="547"/>
      <c r="P499" s="200"/>
      <c r="Q499" s="174"/>
      <c r="R499" s="390"/>
      <c r="S499" s="510"/>
      <c r="T499" s="200"/>
      <c r="U499" s="174"/>
      <c r="V499" s="174"/>
      <c r="W499" s="510"/>
      <c r="X499" s="174"/>
      <c r="Y499" s="174"/>
      <c r="Z499" s="174"/>
      <c r="AA499" s="510"/>
      <c r="AB499" s="200"/>
      <c r="AC499" s="174"/>
      <c r="AD499" s="390"/>
      <c r="AE499" s="510"/>
      <c r="AF499" s="200"/>
      <c r="AG499" s="174"/>
      <c r="AH499" s="174"/>
      <c r="AI499" s="200"/>
      <c r="AJ499" s="548"/>
      <c r="AK499" s="200"/>
      <c r="AL499" s="174"/>
      <c r="AM499" s="390"/>
      <c r="AN499" s="510"/>
      <c r="AO499" s="200"/>
      <c r="AP499" s="174"/>
      <c r="AQ499" s="510"/>
      <c r="AR499" s="200"/>
      <c r="AS499" s="174"/>
      <c r="AT499" s="510"/>
      <c r="AU499" s="200"/>
      <c r="AV499" s="174"/>
      <c r="AW499" s="510"/>
      <c r="AX499" s="200"/>
      <c r="AY499" s="174"/>
      <c r="AZ499" s="510"/>
      <c r="BA499" s="174"/>
      <c r="BB499" s="174"/>
      <c r="BC499" s="174"/>
      <c r="BD499" s="174"/>
      <c r="BE499" s="174"/>
      <c r="BF499" s="510"/>
      <c r="BG499" s="174"/>
      <c r="BH499" s="174"/>
      <c r="BI499" s="174"/>
      <c r="BJ499" s="200"/>
      <c r="BK499" s="174"/>
      <c r="BL499" s="510"/>
      <c r="BM499" s="174"/>
      <c r="BN499" s="174"/>
      <c r="BO499" s="510"/>
      <c r="BP499" s="200"/>
      <c r="BQ499" s="447"/>
      <c r="BR499" s="510"/>
      <c r="BS499" s="174"/>
      <c r="BT499" s="174"/>
      <c r="BU499" s="510"/>
      <c r="BV499" s="200"/>
      <c r="BW499" s="174"/>
      <c r="BX499" s="510"/>
      <c r="BY499" s="174"/>
      <c r="BZ499" s="174"/>
      <c r="CA499" s="510"/>
      <c r="CB499" s="200"/>
      <c r="CC499" s="174"/>
      <c r="CD499" s="510"/>
      <c r="CE499" s="174"/>
      <c r="CF499" s="174"/>
      <c r="CG499" s="510"/>
      <c r="CH499" s="174"/>
      <c r="CI499" s="174"/>
      <c r="CJ499" s="174"/>
      <c r="CK499" s="174"/>
      <c r="CL499" s="174"/>
      <c r="CM499" s="510"/>
      <c r="CN499" s="174"/>
      <c r="CO499" s="549"/>
      <c r="CP499" s="510"/>
      <c r="CQ499" s="200"/>
      <c r="CR499" s="550"/>
      <c r="CS499" s="510"/>
      <c r="CT499" s="390"/>
      <c r="CU499" s="331"/>
      <c r="CV499" s="428"/>
      <c r="CW499" s="155"/>
      <c r="CX499" s="155"/>
      <c r="CY499" s="267"/>
      <c r="CZ499" s="323"/>
      <c r="DA499" s="323"/>
      <c r="DB499" s="423"/>
      <c r="DC499" s="155"/>
      <c r="DD499" s="155"/>
      <c r="DE499" s="267"/>
      <c r="DF499" s="323"/>
      <c r="DG499" s="323"/>
      <c r="DH499" s="428"/>
      <c r="DI499" s="155"/>
      <c r="DJ499" s="155"/>
      <c r="DK499" s="222"/>
      <c r="DL499" s="267"/>
      <c r="DM499" s="155"/>
      <c r="DN499" s="155"/>
      <c r="DO499" s="155"/>
      <c r="DP499" s="423"/>
      <c r="DQ499" s="155"/>
      <c r="DR499" s="155"/>
      <c r="DS499" s="222"/>
      <c r="DT499" s="267"/>
      <c r="DU499" s="174"/>
      <c r="DV499" s="174"/>
      <c r="DW499" s="200"/>
      <c r="DX499" s="428"/>
      <c r="DY499" s="155"/>
      <c r="DZ499" s="155"/>
      <c r="EA499" s="155"/>
      <c r="EB499" s="173"/>
      <c r="EC499" s="155"/>
      <c r="ED499" s="155"/>
      <c r="EE499" s="155"/>
      <c r="EF499" s="423"/>
      <c r="EG499" s="155"/>
      <c r="EH499" s="155"/>
      <c r="EI499" s="155"/>
      <c r="EJ499" s="267"/>
      <c r="EK499" s="155"/>
      <c r="EL499" s="155"/>
      <c r="EM499" s="155"/>
      <c r="EN499" s="428"/>
    </row>
  </sheetData>
  <autoFilter ref="A6:EN263"/>
  <mergeCells count="183">
    <mergeCell ref="C1:O1"/>
    <mergeCell ref="G3:I3"/>
    <mergeCell ref="L3:L6"/>
    <mergeCell ref="N3:N6"/>
    <mergeCell ref="O3:O6"/>
    <mergeCell ref="AE5:AE6"/>
    <mergeCell ref="AG5:AG6"/>
    <mergeCell ref="AH5:AH6"/>
    <mergeCell ref="AI5:AI6"/>
    <mergeCell ref="A3:A6"/>
    <mergeCell ref="B3:B6"/>
    <mergeCell ref="C3:C6"/>
    <mergeCell ref="D3:D6"/>
    <mergeCell ref="E3:E6"/>
    <mergeCell ref="K3:K6"/>
    <mergeCell ref="AF5:AF6"/>
    <mergeCell ref="AC5:AC6"/>
    <mergeCell ref="M3:M6"/>
    <mergeCell ref="Z5:Z6"/>
    <mergeCell ref="BD3:BI3"/>
    <mergeCell ref="CH3:CM3"/>
    <mergeCell ref="CU5:CU6"/>
    <mergeCell ref="CV5:CV6"/>
    <mergeCell ref="CI5:CI6"/>
    <mergeCell ref="CJ5:CJ6"/>
    <mergeCell ref="CK5:CK6"/>
    <mergeCell ref="CL5:CL6"/>
    <mergeCell ref="CM5:CM6"/>
    <mergeCell ref="CN5:CN6"/>
    <mergeCell ref="CC5:CC6"/>
    <mergeCell ref="CD5:CD6"/>
    <mergeCell ref="CE5:CE6"/>
    <mergeCell ref="CF5:CF6"/>
    <mergeCell ref="CG5:CG6"/>
    <mergeCell ref="CH5:CH6"/>
    <mergeCell ref="BW5:BW6"/>
    <mergeCell ref="BX5:BX6"/>
    <mergeCell ref="BY5:BY6"/>
    <mergeCell ref="BZ5:BZ6"/>
    <mergeCell ref="CA5:CA6"/>
    <mergeCell ref="CB5:CB6"/>
    <mergeCell ref="BR5:BR6"/>
    <mergeCell ref="BS5:BS6"/>
    <mergeCell ref="DS5:DS6"/>
    <mergeCell ref="DT5:DT6"/>
    <mergeCell ref="DU5:DU6"/>
    <mergeCell ref="DV5:DV6"/>
    <mergeCell ref="DW5:DW6"/>
    <mergeCell ref="DX5:DX6"/>
    <mergeCell ref="DM5:DM6"/>
    <mergeCell ref="DN5:DN6"/>
    <mergeCell ref="DO5:DO6"/>
    <mergeCell ref="DP5:DP6"/>
    <mergeCell ref="DQ5:DQ6"/>
    <mergeCell ref="DR5:DR6"/>
    <mergeCell ref="DI5:DI6"/>
    <mergeCell ref="DJ5:DJ6"/>
    <mergeCell ref="DK5:DK6"/>
    <mergeCell ref="DL5:DL6"/>
    <mergeCell ref="DG5:DG6"/>
    <mergeCell ref="DH5:DH6"/>
    <mergeCell ref="DA5:DA6"/>
    <mergeCell ref="DB5:DB6"/>
    <mergeCell ref="DC5:DC6"/>
    <mergeCell ref="DD5:DD6"/>
    <mergeCell ref="DE5:DE6"/>
    <mergeCell ref="DF5:DF6"/>
    <mergeCell ref="EN5:EN6"/>
    <mergeCell ref="EG5:EG6"/>
    <mergeCell ref="EH5:EH6"/>
    <mergeCell ref="EJ5:EJ6"/>
    <mergeCell ref="EK5:EK6"/>
    <mergeCell ref="EL5:EL6"/>
    <mergeCell ref="EM5:EM6"/>
    <mergeCell ref="DY5:DY6"/>
    <mergeCell ref="DZ5:DZ6"/>
    <mergeCell ref="EB5:EB6"/>
    <mergeCell ref="EC5:EC6"/>
    <mergeCell ref="ED5:ED6"/>
    <mergeCell ref="EF5:EF6"/>
    <mergeCell ref="CW5:CW6"/>
    <mergeCell ref="CX5:CX6"/>
    <mergeCell ref="CY5:CY6"/>
    <mergeCell ref="CZ5:CZ6"/>
    <mergeCell ref="CO5:CO6"/>
    <mergeCell ref="CP5:CP6"/>
    <mergeCell ref="CQ5:CQ6"/>
    <mergeCell ref="CR5:CR6"/>
    <mergeCell ref="CS5:CS6"/>
    <mergeCell ref="CT5:CT6"/>
    <mergeCell ref="BT5:BT6"/>
    <mergeCell ref="BU5:BU6"/>
    <mergeCell ref="BV5:BV6"/>
    <mergeCell ref="BK5:BK6"/>
    <mergeCell ref="BL5:BL6"/>
    <mergeCell ref="BM5:BM6"/>
    <mergeCell ref="BN5:BN6"/>
    <mergeCell ref="BO5:BO6"/>
    <mergeCell ref="BP5:BP6"/>
    <mergeCell ref="BQ5:BQ6"/>
    <mergeCell ref="AU5:AU6"/>
    <mergeCell ref="AQ5:AQ6"/>
    <mergeCell ref="AR5:AR6"/>
    <mergeCell ref="BF5:BF6"/>
    <mergeCell ref="BG5:BG6"/>
    <mergeCell ref="BH5:BH6"/>
    <mergeCell ref="BI5:BI6"/>
    <mergeCell ref="BJ5:BJ6"/>
    <mergeCell ref="BB5:BB6"/>
    <mergeCell ref="BC5:BC6"/>
    <mergeCell ref="BD5:BD6"/>
    <mergeCell ref="EK4:EN4"/>
    <mergeCell ref="H5:H6"/>
    <mergeCell ref="I5:I6"/>
    <mergeCell ref="P5:P6"/>
    <mergeCell ref="Q5:Q6"/>
    <mergeCell ref="R5:R6"/>
    <mergeCell ref="S5:S6"/>
    <mergeCell ref="DI4:DL4"/>
    <mergeCell ref="DM4:DP4"/>
    <mergeCell ref="DQ4:DT4"/>
    <mergeCell ref="DU4:DX4"/>
    <mergeCell ref="DY4:EB4"/>
    <mergeCell ref="EC4:EF4"/>
    <mergeCell ref="CW4:CY4"/>
    <mergeCell ref="CZ4:DB4"/>
    <mergeCell ref="DF4:DH4"/>
    <mergeCell ref="CH4:CJ4"/>
    <mergeCell ref="AA5:AA6"/>
    <mergeCell ref="CQ4:CS4"/>
    <mergeCell ref="CT4:CV4"/>
    <mergeCell ref="BM4:BO4"/>
    <mergeCell ref="AM5:AM6"/>
    <mergeCell ref="AP5:AP6"/>
    <mergeCell ref="AX5:AX6"/>
    <mergeCell ref="CN4:CP4"/>
    <mergeCell ref="DC4:DE4"/>
    <mergeCell ref="G4:G6"/>
    <mergeCell ref="H4:I4"/>
    <mergeCell ref="P4:S4"/>
    <mergeCell ref="T4:W4"/>
    <mergeCell ref="EG4:EJ4"/>
    <mergeCell ref="AB4:AE4"/>
    <mergeCell ref="AF4:AJ4"/>
    <mergeCell ref="AK4:AN4"/>
    <mergeCell ref="AO4:AQ4"/>
    <mergeCell ref="BA4:BC4"/>
    <mergeCell ref="BP4:BR4"/>
    <mergeCell ref="BS4:BU4"/>
    <mergeCell ref="BV4:BX4"/>
    <mergeCell ref="AU4:AW4"/>
    <mergeCell ref="CB4:CD4"/>
    <mergeCell ref="BD4:BF4"/>
    <mergeCell ref="BG4:BI4"/>
    <mergeCell ref="BJ4:BL4"/>
    <mergeCell ref="AB5:AB6"/>
    <mergeCell ref="CK4:CM4"/>
    <mergeCell ref="BE5:BE6"/>
    <mergeCell ref="AN5:AN6"/>
    <mergeCell ref="AO3:AQ3"/>
    <mergeCell ref="F3:F6"/>
    <mergeCell ref="J3:J6"/>
    <mergeCell ref="BY4:CA4"/>
    <mergeCell ref="BA5:BA6"/>
    <mergeCell ref="AV5:AV6"/>
    <mergeCell ref="AW5:AW6"/>
    <mergeCell ref="T5:T6"/>
    <mergeCell ref="U5:U6"/>
    <mergeCell ref="V5:V6"/>
    <mergeCell ref="W5:W6"/>
    <mergeCell ref="X5:X6"/>
    <mergeCell ref="Y5:Y6"/>
    <mergeCell ref="AD5:AD6"/>
    <mergeCell ref="AR4:AT4"/>
    <mergeCell ref="AX4:AZ4"/>
    <mergeCell ref="AJ5:AJ6"/>
    <mergeCell ref="AK5:AK6"/>
    <mergeCell ref="AL5:AL6"/>
    <mergeCell ref="AO5:AO6"/>
    <mergeCell ref="AY5:AY6"/>
    <mergeCell ref="AZ5:AZ6"/>
    <mergeCell ref="AS5:AS6"/>
    <mergeCell ref="AT5:AT6"/>
  </mergeCells>
  <pageMargins left="0.15748031496062992" right="0.23622047244094491" top="0.35433070866141736" bottom="0.31496062992125984" header="0.31496062992125984" footer="0.31496062992125984"/>
  <pageSetup paperSize="9" scale="85" orientation="portrait" horizontalDpi="180" verticalDpi="180" r:id="rId1"/>
  <rowBreaks count="1" manualBreakCount="1">
    <brk id="263" max="16383" man="1"/>
  </rowBreaks>
  <colBreaks count="8" manualBreakCount="8">
    <brk id="19" max="1048575" man="1"/>
    <brk id="27" max="1048575" man="1"/>
    <brk id="31" max="1048575" man="1"/>
    <brk id="40" max="1048575" man="1"/>
    <brk id="43" max="1048575" man="1"/>
    <brk id="46" max="1048575" man="1"/>
    <brk id="97" max="1048575" man="1"/>
    <brk id="100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M637"/>
  <sheetViews>
    <sheetView zoomScaleNormal="100" zoomScaleSheetLayoutView="50" workbookViewId="0">
      <pane xSplit="12" ySplit="7" topLeftCell="X8" activePane="bottomRight" state="frozen"/>
      <selection pane="topRight" activeCell="T1" sqref="T1"/>
      <selection pane="bottomLeft" activeCell="A8" sqref="A8"/>
      <selection pane="bottomRight" activeCell="K2" sqref="K1:K1048576"/>
    </sheetView>
  </sheetViews>
  <sheetFormatPr defaultRowHeight="15"/>
  <cols>
    <col min="1" max="1" width="4.7109375" style="28" customWidth="1"/>
    <col min="2" max="2" width="13.5703125" style="28" bestFit="1" customWidth="1"/>
    <col min="3" max="3" width="7.5703125" style="28" customWidth="1"/>
    <col min="4" max="4" width="13.85546875" style="28" customWidth="1"/>
    <col min="5" max="5" width="5.7109375" style="28" customWidth="1"/>
    <col min="6" max="6" width="8.7109375" style="28" customWidth="1"/>
    <col min="7" max="7" width="12.28515625" style="492" hidden="1" customWidth="1"/>
    <col min="8" max="8" width="13.42578125" style="28" hidden="1" customWidth="1"/>
    <col min="9" max="9" width="13.5703125" style="28" hidden="1" customWidth="1"/>
    <col min="10" max="10" width="10.85546875" style="492" hidden="1" customWidth="1"/>
    <col min="11" max="11" width="12.7109375" style="492" hidden="1" customWidth="1"/>
    <col min="12" max="12" width="18.42578125" style="28" customWidth="1"/>
    <col min="13" max="20" width="7.5703125" style="28" hidden="1" customWidth="1"/>
    <col min="21" max="21" width="5.28515625" style="28" hidden="1" customWidth="1"/>
    <col min="22" max="23" width="5" style="28" hidden="1" customWidth="1"/>
    <col min="24" max="24" width="5.42578125" style="28" customWidth="1"/>
    <col min="25" max="25" width="8.5703125" style="28" customWidth="1"/>
    <col min="26" max="26" width="6.7109375" style="28" bestFit="1" customWidth="1"/>
    <col min="27" max="27" width="8.140625" style="28" bestFit="1" customWidth="1"/>
    <col min="28" max="28" width="10.42578125" style="28" bestFit="1" customWidth="1"/>
    <col min="29" max="29" width="5.28515625" style="28" customWidth="1"/>
    <col min="30" max="30" width="5.5703125" style="28" bestFit="1" customWidth="1"/>
    <col min="31" max="31" width="9.5703125" style="28" bestFit="1" customWidth="1"/>
    <col min="32" max="32" width="5.28515625" style="28" customWidth="1"/>
    <col min="33" max="33" width="5.5703125" style="28" bestFit="1" customWidth="1"/>
    <col min="34" max="34" width="9.5703125" style="28" bestFit="1" customWidth="1"/>
    <col min="35" max="35" width="5.42578125" style="28" hidden="1" customWidth="1"/>
    <col min="36" max="36" width="8.42578125" style="28" hidden="1" customWidth="1"/>
    <col min="37" max="37" width="9.5703125" style="28" hidden="1" customWidth="1"/>
    <col min="38" max="38" width="5.42578125" style="28" hidden="1" customWidth="1"/>
    <col min="39" max="40" width="5" style="28" hidden="1" customWidth="1"/>
    <col min="41" max="41" width="5.140625" style="28" hidden="1" customWidth="1"/>
    <col min="42" max="43" width="5" style="28" hidden="1" customWidth="1"/>
    <col min="44" max="44" width="5.28515625" style="28" hidden="1" customWidth="1"/>
    <col min="45" max="46" width="5" style="28" hidden="1" customWidth="1"/>
    <col min="47" max="47" width="5.28515625" style="28" hidden="1" customWidth="1"/>
    <col min="48" max="49" width="5" style="28" hidden="1" customWidth="1"/>
    <col min="50" max="50" width="5.28515625" style="28" hidden="1" customWidth="1"/>
    <col min="51" max="51" width="11.28515625" style="28" hidden="1" customWidth="1"/>
    <col min="52" max="52" width="8.28515625" style="28" hidden="1" customWidth="1"/>
    <col min="53" max="53" width="5.28515625" style="28" hidden="1" customWidth="1"/>
    <col min="54" max="54" width="5" style="28" hidden="1" customWidth="1"/>
    <col min="55" max="55" width="8.28515625" style="28" hidden="1" customWidth="1"/>
    <col min="56" max="56" width="5.28515625" style="28" hidden="1" customWidth="1"/>
    <col min="57" max="58" width="5" style="28" hidden="1" customWidth="1"/>
    <col min="59" max="67" width="8.7109375" style="28" hidden="1" customWidth="1"/>
    <col min="68" max="68" width="5.42578125" style="28" customWidth="1"/>
    <col min="69" max="69" width="14.7109375" style="28" customWidth="1"/>
    <col min="70" max="70" width="10.42578125" style="28" bestFit="1" customWidth="1"/>
    <col min="71" max="71" width="5.7109375" hidden="1" customWidth="1"/>
    <col min="72" max="72" width="19.42578125" hidden="1" customWidth="1"/>
    <col min="73" max="73" width="9.42578125" hidden="1" customWidth="1"/>
    <col min="74" max="81" width="0" hidden="1" customWidth="1"/>
    <col min="82" max="82" width="9.28515625" hidden="1" customWidth="1"/>
    <col min="83" max="84" width="0" hidden="1" customWidth="1"/>
    <col min="85" max="85" width="9.42578125" style="23" hidden="1" customWidth="1"/>
    <col min="86" max="100" width="0" hidden="1" customWidth="1"/>
    <col min="101" max="101" width="9.28515625" hidden="1" customWidth="1"/>
    <col min="102" max="117" width="0" hidden="1" customWidth="1"/>
  </cols>
  <sheetData>
    <row r="1" spans="1:117" s="15" customFormat="1" ht="29.1" customHeight="1">
      <c r="A1" s="644" t="s">
        <v>1014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3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2"/>
      <c r="BV1" s="13"/>
      <c r="BW1" s="14"/>
      <c r="BX1" s="24"/>
      <c r="BY1" s="14"/>
      <c r="BZ1" s="14"/>
      <c r="CA1" s="26"/>
      <c r="CB1" s="14"/>
      <c r="CC1" s="14"/>
      <c r="CD1" s="24"/>
      <c r="CE1" s="14"/>
      <c r="CF1" s="14"/>
      <c r="CG1" s="26"/>
      <c r="CH1" s="14"/>
      <c r="CI1" s="14"/>
      <c r="CJ1" s="14"/>
      <c r="CK1" s="24"/>
      <c r="CL1" s="14"/>
      <c r="CM1" s="14"/>
      <c r="CN1" s="14"/>
      <c r="CO1" s="26"/>
      <c r="CP1" s="14"/>
      <c r="CQ1" s="14"/>
      <c r="CR1" s="14"/>
      <c r="CS1" s="24"/>
      <c r="CT1" s="14"/>
      <c r="CU1" s="14"/>
      <c r="CV1" s="14"/>
      <c r="CW1" s="26"/>
      <c r="CX1" s="14"/>
      <c r="CY1" s="14"/>
      <c r="CZ1" s="14"/>
      <c r="DA1" s="24"/>
      <c r="DB1" s="14"/>
      <c r="DC1" s="14"/>
      <c r="DD1" s="14"/>
      <c r="DE1" s="26"/>
      <c r="DF1" s="14"/>
      <c r="DG1" s="14"/>
      <c r="DH1" s="14"/>
      <c r="DI1" s="24"/>
      <c r="DJ1" s="14"/>
      <c r="DK1" s="14"/>
      <c r="DL1" s="14"/>
      <c r="DM1" s="26"/>
    </row>
    <row r="2" spans="1:117" s="18" customFormat="1">
      <c r="A2" s="1"/>
      <c r="B2" s="189"/>
      <c r="C2" s="1"/>
      <c r="D2" s="1"/>
      <c r="E2" s="1"/>
      <c r="F2" s="1"/>
      <c r="G2" s="225"/>
      <c r="H2" s="1"/>
      <c r="I2" s="1"/>
      <c r="J2" s="225"/>
      <c r="K2" s="225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3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2"/>
      <c r="BV2" s="2"/>
      <c r="BW2" s="2"/>
      <c r="BX2" s="19"/>
      <c r="BY2" s="2"/>
      <c r="BZ2" s="2"/>
      <c r="CA2" s="22"/>
      <c r="CB2" s="2"/>
      <c r="CC2" s="2"/>
      <c r="CD2" s="19"/>
      <c r="CE2" s="2"/>
      <c r="CF2" s="2"/>
      <c r="CG2" s="22"/>
      <c r="CH2" s="2"/>
      <c r="CI2" s="2"/>
      <c r="CJ2" s="2"/>
      <c r="CK2" s="19"/>
      <c r="CL2" s="2"/>
      <c r="CM2" s="2"/>
      <c r="CN2" s="2"/>
      <c r="CO2" s="22"/>
      <c r="CP2" s="2"/>
      <c r="CQ2" s="2"/>
      <c r="CR2" s="2"/>
      <c r="CS2" s="19"/>
      <c r="CT2" s="2"/>
      <c r="CU2" s="2"/>
      <c r="CV2" s="2"/>
      <c r="CW2" s="22"/>
      <c r="CX2" s="2"/>
      <c r="CY2" s="2"/>
      <c r="CZ2" s="2"/>
      <c r="DA2" s="19"/>
      <c r="DB2" s="2"/>
      <c r="DC2" s="2"/>
      <c r="DD2" s="2"/>
      <c r="DE2" s="22"/>
      <c r="DF2" s="2"/>
      <c r="DG2" s="2"/>
      <c r="DH2" s="2"/>
      <c r="DI2" s="19"/>
      <c r="DJ2" s="2"/>
      <c r="DK2" s="2"/>
      <c r="DL2" s="2"/>
      <c r="DM2" s="22"/>
    </row>
    <row r="3" spans="1:117" s="16" customFormat="1" ht="33.75" customHeight="1">
      <c r="A3" s="624" t="s">
        <v>1</v>
      </c>
      <c r="B3" s="624" t="s">
        <v>2</v>
      </c>
      <c r="C3" s="624" t="s">
        <v>3</v>
      </c>
      <c r="D3" s="624" t="s">
        <v>4</v>
      </c>
      <c r="E3" s="624" t="s">
        <v>5</v>
      </c>
      <c r="F3" s="624" t="s">
        <v>6</v>
      </c>
      <c r="G3" s="705" t="s">
        <v>607</v>
      </c>
      <c r="H3" s="706"/>
      <c r="I3" s="707"/>
      <c r="J3" s="625" t="s">
        <v>743</v>
      </c>
      <c r="K3" s="625" t="s">
        <v>1016</v>
      </c>
      <c r="L3" s="669" t="s">
        <v>1017</v>
      </c>
      <c r="M3" s="604" t="s">
        <v>9</v>
      </c>
      <c r="N3" s="605"/>
      <c r="O3" s="605"/>
      <c r="P3" s="606"/>
      <c r="Q3" s="604" t="s">
        <v>10</v>
      </c>
      <c r="R3" s="605"/>
      <c r="S3" s="605"/>
      <c r="T3" s="605"/>
      <c r="U3" s="604" t="s">
        <v>11</v>
      </c>
      <c r="V3" s="605"/>
      <c r="W3" s="605"/>
      <c r="X3" s="617" t="s">
        <v>12</v>
      </c>
      <c r="Y3" s="617"/>
      <c r="Z3" s="617"/>
      <c r="AA3" s="617"/>
      <c r="AB3" s="617"/>
      <c r="AC3" s="617" t="s">
        <v>13</v>
      </c>
      <c r="AD3" s="617"/>
      <c r="AE3" s="617"/>
      <c r="AF3" s="617" t="s">
        <v>14</v>
      </c>
      <c r="AG3" s="617"/>
      <c r="AH3" s="617"/>
      <c r="AI3" s="617" t="s">
        <v>15</v>
      </c>
      <c r="AJ3" s="617"/>
      <c r="AK3" s="617"/>
      <c r="AL3" s="617" t="s">
        <v>16</v>
      </c>
      <c r="AM3" s="617"/>
      <c r="AN3" s="617"/>
      <c r="AO3" s="617" t="s">
        <v>17</v>
      </c>
      <c r="AP3" s="617"/>
      <c r="AQ3" s="617"/>
      <c r="AR3" s="617" t="s">
        <v>18</v>
      </c>
      <c r="AS3" s="617"/>
      <c r="AT3" s="617"/>
      <c r="AU3" s="711" t="s">
        <v>19</v>
      </c>
      <c r="AV3" s="712"/>
      <c r="AW3" s="713"/>
      <c r="AX3" s="617" t="s">
        <v>20</v>
      </c>
      <c r="AY3" s="617"/>
      <c r="AZ3" s="617"/>
      <c r="BA3" s="617" t="s">
        <v>21</v>
      </c>
      <c r="BB3" s="617"/>
      <c r="BC3" s="617"/>
      <c r="BD3" s="617" t="s">
        <v>22</v>
      </c>
      <c r="BE3" s="617"/>
      <c r="BF3" s="617"/>
      <c r="BG3" s="617" t="s">
        <v>23</v>
      </c>
      <c r="BH3" s="617"/>
      <c r="BI3" s="617"/>
      <c r="BJ3" s="617"/>
      <c r="BK3" s="617"/>
      <c r="BL3" s="617"/>
      <c r="BM3" s="617" t="s">
        <v>24</v>
      </c>
      <c r="BN3" s="617"/>
      <c r="BO3" s="617"/>
      <c r="BP3" s="635" t="s">
        <v>25</v>
      </c>
      <c r="BQ3" s="635"/>
      <c r="BR3" s="635"/>
      <c r="BS3" s="635"/>
      <c r="BT3" s="635"/>
      <c r="BU3" s="635"/>
      <c r="BV3" s="708" t="s">
        <v>26</v>
      </c>
      <c r="BW3" s="709"/>
      <c r="BX3" s="709"/>
      <c r="BY3" s="709"/>
      <c r="BZ3" s="709"/>
      <c r="CA3" s="710"/>
      <c r="CB3" s="708" t="s">
        <v>27</v>
      </c>
      <c r="CC3" s="709"/>
      <c r="CD3" s="709"/>
      <c r="CE3" s="709"/>
      <c r="CF3" s="709"/>
      <c r="CG3" s="710"/>
      <c r="CH3" s="708" t="s">
        <v>28</v>
      </c>
      <c r="CI3" s="709"/>
      <c r="CJ3" s="709"/>
      <c r="CK3" s="709"/>
      <c r="CL3" s="709"/>
      <c r="CM3" s="709"/>
      <c r="CN3" s="709"/>
      <c r="CO3" s="710"/>
      <c r="CP3" s="708" t="s">
        <v>29</v>
      </c>
      <c r="CQ3" s="709"/>
      <c r="CR3" s="709"/>
      <c r="CS3" s="709"/>
      <c r="CT3" s="709"/>
      <c r="CU3" s="709"/>
      <c r="CV3" s="709"/>
      <c r="CW3" s="710"/>
      <c r="CX3" s="708" t="s">
        <v>30</v>
      </c>
      <c r="CY3" s="709"/>
      <c r="CZ3" s="709"/>
      <c r="DA3" s="709"/>
      <c r="DB3" s="709"/>
      <c r="DC3" s="709"/>
      <c r="DD3" s="709"/>
      <c r="DE3" s="710"/>
      <c r="DF3" s="708" t="s">
        <v>31</v>
      </c>
      <c r="DG3" s="709"/>
      <c r="DH3" s="709"/>
      <c r="DI3" s="709"/>
      <c r="DJ3" s="709"/>
      <c r="DK3" s="709"/>
      <c r="DL3" s="709"/>
      <c r="DM3" s="710"/>
    </row>
    <row r="4" spans="1:117" s="4" customFormat="1">
      <c r="A4" s="624"/>
      <c r="B4" s="624"/>
      <c r="C4" s="624"/>
      <c r="D4" s="624"/>
      <c r="E4" s="624"/>
      <c r="F4" s="624"/>
      <c r="G4" s="625" t="s">
        <v>32</v>
      </c>
      <c r="H4" s="613" t="s">
        <v>33</v>
      </c>
      <c r="I4" s="613"/>
      <c r="J4" s="626"/>
      <c r="K4" s="626"/>
      <c r="L4" s="704"/>
      <c r="M4" s="604" t="s">
        <v>34</v>
      </c>
      <c r="N4" s="605"/>
      <c r="O4" s="605"/>
      <c r="P4" s="606"/>
      <c r="Q4" s="604" t="s">
        <v>34</v>
      </c>
      <c r="R4" s="605"/>
      <c r="S4" s="605"/>
      <c r="T4" s="606"/>
      <c r="U4" s="604" t="s">
        <v>34</v>
      </c>
      <c r="V4" s="605"/>
      <c r="W4" s="606"/>
      <c r="X4" s="617" t="s">
        <v>34</v>
      </c>
      <c r="Y4" s="617"/>
      <c r="Z4" s="617"/>
      <c r="AA4" s="617"/>
      <c r="AB4" s="617"/>
      <c r="AC4" s="617" t="s">
        <v>34</v>
      </c>
      <c r="AD4" s="617"/>
      <c r="AE4" s="617"/>
      <c r="AF4" s="617" t="s">
        <v>34</v>
      </c>
      <c r="AG4" s="617"/>
      <c r="AH4" s="617"/>
      <c r="AI4" s="617" t="s">
        <v>34</v>
      </c>
      <c r="AJ4" s="617"/>
      <c r="AK4" s="617"/>
      <c r="AL4" s="617" t="s">
        <v>34</v>
      </c>
      <c r="AM4" s="617"/>
      <c r="AN4" s="617"/>
      <c r="AO4" s="617" t="s">
        <v>34</v>
      </c>
      <c r="AP4" s="617"/>
      <c r="AQ4" s="617"/>
      <c r="AR4" s="617" t="s">
        <v>34</v>
      </c>
      <c r="AS4" s="617"/>
      <c r="AT4" s="617"/>
      <c r="AU4" s="617" t="s">
        <v>34</v>
      </c>
      <c r="AV4" s="617"/>
      <c r="AW4" s="617"/>
      <c r="AX4" s="617" t="s">
        <v>34</v>
      </c>
      <c r="AY4" s="617"/>
      <c r="AZ4" s="617"/>
      <c r="BA4" s="617" t="s">
        <v>34</v>
      </c>
      <c r="BB4" s="617"/>
      <c r="BC4" s="617"/>
      <c r="BD4" s="617" t="s">
        <v>34</v>
      </c>
      <c r="BE4" s="617"/>
      <c r="BF4" s="617"/>
      <c r="BG4" s="617" t="s">
        <v>34</v>
      </c>
      <c r="BH4" s="617"/>
      <c r="BI4" s="617"/>
      <c r="BJ4" s="617" t="s">
        <v>35</v>
      </c>
      <c r="BK4" s="617"/>
      <c r="BL4" s="617"/>
      <c r="BM4" s="617" t="s">
        <v>34</v>
      </c>
      <c r="BN4" s="617"/>
      <c r="BO4" s="617"/>
      <c r="BP4" s="617" t="s">
        <v>34</v>
      </c>
      <c r="BQ4" s="617"/>
      <c r="BR4" s="617"/>
      <c r="BS4" s="635" t="s">
        <v>35</v>
      </c>
      <c r="BT4" s="635"/>
      <c r="BU4" s="635"/>
      <c r="BV4" s="708" t="s">
        <v>37</v>
      </c>
      <c r="BW4" s="714"/>
      <c r="BX4" s="715"/>
      <c r="BY4" s="708" t="s">
        <v>35</v>
      </c>
      <c r="BZ4" s="714"/>
      <c r="CA4" s="715"/>
      <c r="CB4" s="708" t="s">
        <v>37</v>
      </c>
      <c r="CC4" s="714"/>
      <c r="CD4" s="715"/>
      <c r="CE4" s="708" t="s">
        <v>35</v>
      </c>
      <c r="CF4" s="714"/>
      <c r="CG4" s="715"/>
      <c r="CH4" s="708" t="s">
        <v>37</v>
      </c>
      <c r="CI4" s="714"/>
      <c r="CJ4" s="714"/>
      <c r="CK4" s="715"/>
      <c r="CL4" s="708" t="s">
        <v>35</v>
      </c>
      <c r="CM4" s="714"/>
      <c r="CN4" s="714"/>
      <c r="CO4" s="715"/>
      <c r="CP4" s="708" t="s">
        <v>37</v>
      </c>
      <c r="CQ4" s="714"/>
      <c r="CR4" s="714"/>
      <c r="CS4" s="715"/>
      <c r="CT4" s="708" t="s">
        <v>35</v>
      </c>
      <c r="CU4" s="714"/>
      <c r="CV4" s="714"/>
      <c r="CW4" s="715"/>
      <c r="CX4" s="708" t="s">
        <v>37</v>
      </c>
      <c r="CY4" s="714"/>
      <c r="CZ4" s="714"/>
      <c r="DA4" s="715"/>
      <c r="DB4" s="708" t="s">
        <v>35</v>
      </c>
      <c r="DC4" s="714"/>
      <c r="DD4" s="714"/>
      <c r="DE4" s="715"/>
      <c r="DF4" s="708" t="s">
        <v>37</v>
      </c>
      <c r="DG4" s="714"/>
      <c r="DH4" s="714"/>
      <c r="DI4" s="715"/>
      <c r="DJ4" s="708" t="s">
        <v>35</v>
      </c>
      <c r="DK4" s="714"/>
      <c r="DL4" s="714"/>
      <c r="DM4" s="715"/>
    </row>
    <row r="5" spans="1:117" s="4" customFormat="1">
      <c r="A5" s="624"/>
      <c r="B5" s="624"/>
      <c r="C5" s="624"/>
      <c r="D5" s="624"/>
      <c r="E5" s="624"/>
      <c r="F5" s="624"/>
      <c r="G5" s="626"/>
      <c r="H5" s="669" t="s">
        <v>38</v>
      </c>
      <c r="I5" s="669" t="s">
        <v>39</v>
      </c>
      <c r="J5" s="626"/>
      <c r="K5" s="626"/>
      <c r="L5" s="704"/>
      <c r="M5" s="716" t="s">
        <v>40</v>
      </c>
      <c r="N5" s="716" t="s">
        <v>41</v>
      </c>
      <c r="O5" s="716" t="s">
        <v>42</v>
      </c>
      <c r="P5" s="716" t="s">
        <v>43</v>
      </c>
      <c r="Q5" s="716" t="s">
        <v>40</v>
      </c>
      <c r="R5" s="716" t="s">
        <v>44</v>
      </c>
      <c r="S5" s="716" t="s">
        <v>45</v>
      </c>
      <c r="T5" s="716" t="s">
        <v>46</v>
      </c>
      <c r="U5" s="716" t="s">
        <v>40</v>
      </c>
      <c r="V5" s="716" t="s">
        <v>47</v>
      </c>
      <c r="W5" s="716" t="s">
        <v>48</v>
      </c>
      <c r="X5" s="617" t="s">
        <v>40</v>
      </c>
      <c r="Y5" s="718" t="s">
        <v>49</v>
      </c>
      <c r="Z5" s="617" t="s">
        <v>44</v>
      </c>
      <c r="AA5" s="716" t="s">
        <v>45</v>
      </c>
      <c r="AB5" s="617" t="s">
        <v>48</v>
      </c>
      <c r="AC5" s="617" t="s">
        <v>40</v>
      </c>
      <c r="AD5" s="617" t="s">
        <v>47</v>
      </c>
      <c r="AE5" s="716" t="s">
        <v>43</v>
      </c>
      <c r="AF5" s="617" t="s">
        <v>40</v>
      </c>
      <c r="AG5" s="617" t="s">
        <v>47</v>
      </c>
      <c r="AH5" s="716" t="s">
        <v>43</v>
      </c>
      <c r="AI5" s="617" t="s">
        <v>40</v>
      </c>
      <c r="AJ5" s="617" t="s">
        <v>47</v>
      </c>
      <c r="AK5" s="716" t="s">
        <v>43</v>
      </c>
      <c r="AL5" s="616" t="s">
        <v>40</v>
      </c>
      <c r="AM5" s="617" t="s">
        <v>47</v>
      </c>
      <c r="AN5" s="716" t="s">
        <v>43</v>
      </c>
      <c r="AO5" s="617" t="s">
        <v>40</v>
      </c>
      <c r="AP5" s="617" t="s">
        <v>47</v>
      </c>
      <c r="AQ5" s="716" t="s">
        <v>43</v>
      </c>
      <c r="AR5" s="617" t="s">
        <v>40</v>
      </c>
      <c r="AS5" s="617" t="s">
        <v>47</v>
      </c>
      <c r="AT5" s="716" t="s">
        <v>43</v>
      </c>
      <c r="AU5" s="617" t="s">
        <v>40</v>
      </c>
      <c r="AV5" s="617" t="s">
        <v>47</v>
      </c>
      <c r="AW5" s="716" t="s">
        <v>43</v>
      </c>
      <c r="AX5" s="617" t="s">
        <v>40</v>
      </c>
      <c r="AY5" s="617" t="s">
        <v>47</v>
      </c>
      <c r="AZ5" s="716" t="s">
        <v>43</v>
      </c>
      <c r="BA5" s="617" t="s">
        <v>40</v>
      </c>
      <c r="BB5" s="617" t="s">
        <v>47</v>
      </c>
      <c r="BC5" s="716" t="s">
        <v>43</v>
      </c>
      <c r="BD5" s="617" t="s">
        <v>40</v>
      </c>
      <c r="BE5" s="617" t="s">
        <v>44</v>
      </c>
      <c r="BF5" s="716" t="s">
        <v>43</v>
      </c>
      <c r="BG5" s="617" t="s">
        <v>40</v>
      </c>
      <c r="BH5" s="617" t="s">
        <v>44</v>
      </c>
      <c r="BI5" s="716" t="s">
        <v>43</v>
      </c>
      <c r="BJ5" s="617" t="s">
        <v>40</v>
      </c>
      <c r="BK5" s="617" t="s">
        <v>44</v>
      </c>
      <c r="BL5" s="716" t="s">
        <v>43</v>
      </c>
      <c r="BM5" s="617" t="s">
        <v>40</v>
      </c>
      <c r="BN5" s="718" t="s">
        <v>50</v>
      </c>
      <c r="BO5" s="716" t="s">
        <v>43</v>
      </c>
      <c r="BP5" s="617" t="s">
        <v>40</v>
      </c>
      <c r="BQ5" s="617"/>
      <c r="BR5" s="716" t="s">
        <v>43</v>
      </c>
      <c r="BS5" s="635" t="s">
        <v>40</v>
      </c>
      <c r="BT5" s="635"/>
      <c r="BU5" s="721" t="s">
        <v>43</v>
      </c>
      <c r="BV5" s="635" t="s">
        <v>40</v>
      </c>
      <c r="BW5" s="602" t="s">
        <v>51</v>
      </c>
      <c r="BX5" s="723" t="s">
        <v>43</v>
      </c>
      <c r="BY5" s="635" t="s">
        <v>40</v>
      </c>
      <c r="BZ5" s="602" t="s">
        <v>51</v>
      </c>
      <c r="CA5" s="721" t="s">
        <v>43</v>
      </c>
      <c r="CB5" s="635" t="s">
        <v>40</v>
      </c>
      <c r="CC5" s="602" t="s">
        <v>52</v>
      </c>
      <c r="CD5" s="723" t="s">
        <v>43</v>
      </c>
      <c r="CE5" s="635" t="s">
        <v>40</v>
      </c>
      <c r="CF5" s="602" t="s">
        <v>52</v>
      </c>
      <c r="CG5" s="721" t="s">
        <v>43</v>
      </c>
      <c r="CH5" s="635" t="s">
        <v>40</v>
      </c>
      <c r="CI5" s="602" t="s">
        <v>51</v>
      </c>
      <c r="CJ5" s="602" t="s">
        <v>42</v>
      </c>
      <c r="CK5" s="723" t="s">
        <v>43</v>
      </c>
      <c r="CL5" s="635" t="s">
        <v>40</v>
      </c>
      <c r="CM5" s="602" t="s">
        <v>52</v>
      </c>
      <c r="CN5" s="602" t="s">
        <v>42</v>
      </c>
      <c r="CO5" s="721" t="s">
        <v>43</v>
      </c>
      <c r="CP5" s="635" t="s">
        <v>40</v>
      </c>
      <c r="CQ5" s="602" t="s">
        <v>53</v>
      </c>
      <c r="CR5" s="602" t="s">
        <v>42</v>
      </c>
      <c r="CS5" s="723" t="s">
        <v>43</v>
      </c>
      <c r="CT5" s="635" t="s">
        <v>40</v>
      </c>
      <c r="CU5" s="602" t="s">
        <v>53</v>
      </c>
      <c r="CV5" s="602" t="s">
        <v>42</v>
      </c>
      <c r="CW5" s="721" t="s">
        <v>43</v>
      </c>
      <c r="CX5" s="635" t="s">
        <v>40</v>
      </c>
      <c r="CY5" s="602" t="s">
        <v>51</v>
      </c>
      <c r="CZ5" s="5" t="s">
        <v>45</v>
      </c>
      <c r="DA5" s="723" t="s">
        <v>43</v>
      </c>
      <c r="DB5" s="635" t="s">
        <v>40</v>
      </c>
      <c r="DC5" s="602" t="s">
        <v>52</v>
      </c>
      <c r="DD5" s="5" t="s">
        <v>45</v>
      </c>
      <c r="DE5" s="721" t="s">
        <v>43</v>
      </c>
      <c r="DF5" s="635" t="s">
        <v>40</v>
      </c>
      <c r="DG5" s="602" t="s">
        <v>51</v>
      </c>
      <c r="DH5" s="5" t="s">
        <v>54</v>
      </c>
      <c r="DI5" s="723" t="s">
        <v>43</v>
      </c>
      <c r="DJ5" s="635" t="s">
        <v>40</v>
      </c>
      <c r="DK5" s="602" t="s">
        <v>52</v>
      </c>
      <c r="DL5" s="602" t="s">
        <v>54</v>
      </c>
      <c r="DM5" s="721" t="s">
        <v>43</v>
      </c>
    </row>
    <row r="6" spans="1:117" s="4" customFormat="1" ht="27.6" customHeight="1">
      <c r="A6" s="624"/>
      <c r="B6" s="624"/>
      <c r="C6" s="624"/>
      <c r="D6" s="624"/>
      <c r="E6" s="624"/>
      <c r="F6" s="624"/>
      <c r="G6" s="627"/>
      <c r="H6" s="670"/>
      <c r="I6" s="670"/>
      <c r="J6" s="627"/>
      <c r="K6" s="627"/>
      <c r="L6" s="670"/>
      <c r="M6" s="717"/>
      <c r="N6" s="717"/>
      <c r="O6" s="717"/>
      <c r="P6" s="717"/>
      <c r="Q6" s="717"/>
      <c r="R6" s="717"/>
      <c r="S6" s="717"/>
      <c r="T6" s="717"/>
      <c r="U6" s="717"/>
      <c r="V6" s="717"/>
      <c r="W6" s="717"/>
      <c r="X6" s="617"/>
      <c r="Y6" s="719"/>
      <c r="Z6" s="617"/>
      <c r="AA6" s="717"/>
      <c r="AB6" s="617"/>
      <c r="AC6" s="617"/>
      <c r="AD6" s="617"/>
      <c r="AE6" s="717"/>
      <c r="AF6" s="617"/>
      <c r="AG6" s="617"/>
      <c r="AH6" s="717"/>
      <c r="AI6" s="617"/>
      <c r="AJ6" s="617"/>
      <c r="AK6" s="717"/>
      <c r="AL6" s="616"/>
      <c r="AM6" s="617"/>
      <c r="AN6" s="717"/>
      <c r="AO6" s="617"/>
      <c r="AP6" s="617"/>
      <c r="AQ6" s="717"/>
      <c r="AR6" s="617"/>
      <c r="AS6" s="617"/>
      <c r="AT6" s="717"/>
      <c r="AU6" s="617"/>
      <c r="AV6" s="617"/>
      <c r="AW6" s="717"/>
      <c r="AX6" s="617"/>
      <c r="AY6" s="617"/>
      <c r="AZ6" s="717"/>
      <c r="BA6" s="617"/>
      <c r="BB6" s="617"/>
      <c r="BC6" s="717"/>
      <c r="BD6" s="617"/>
      <c r="BE6" s="617"/>
      <c r="BF6" s="717"/>
      <c r="BG6" s="617"/>
      <c r="BH6" s="617"/>
      <c r="BI6" s="717"/>
      <c r="BJ6" s="617"/>
      <c r="BK6" s="617"/>
      <c r="BL6" s="717"/>
      <c r="BM6" s="617"/>
      <c r="BN6" s="719"/>
      <c r="BO6" s="717"/>
      <c r="BP6" s="617"/>
      <c r="BQ6" s="617"/>
      <c r="BR6" s="717"/>
      <c r="BS6" s="635"/>
      <c r="BT6" s="635"/>
      <c r="BU6" s="722"/>
      <c r="BV6" s="635"/>
      <c r="BW6" s="603"/>
      <c r="BX6" s="724"/>
      <c r="BY6" s="635"/>
      <c r="BZ6" s="603"/>
      <c r="CA6" s="722"/>
      <c r="CB6" s="635"/>
      <c r="CC6" s="603"/>
      <c r="CD6" s="724"/>
      <c r="CE6" s="635"/>
      <c r="CF6" s="603"/>
      <c r="CG6" s="722"/>
      <c r="CH6" s="635"/>
      <c r="CI6" s="603"/>
      <c r="CJ6" s="603"/>
      <c r="CK6" s="724"/>
      <c r="CL6" s="635"/>
      <c r="CM6" s="603"/>
      <c r="CN6" s="603"/>
      <c r="CO6" s="722"/>
      <c r="CP6" s="635"/>
      <c r="CQ6" s="603"/>
      <c r="CR6" s="603"/>
      <c r="CS6" s="724"/>
      <c r="CT6" s="635"/>
      <c r="CU6" s="603"/>
      <c r="CV6" s="603"/>
      <c r="CW6" s="722"/>
      <c r="CX6" s="635"/>
      <c r="CY6" s="603"/>
      <c r="CZ6" s="6"/>
      <c r="DA6" s="724"/>
      <c r="DB6" s="635"/>
      <c r="DC6" s="603"/>
      <c r="DD6" s="6"/>
      <c r="DE6" s="722"/>
      <c r="DF6" s="635"/>
      <c r="DG6" s="603"/>
      <c r="DH6" s="6"/>
      <c r="DI6" s="724"/>
      <c r="DJ6" s="635"/>
      <c r="DK6" s="603"/>
      <c r="DL6" s="603"/>
      <c r="DM6" s="722"/>
    </row>
    <row r="7" spans="1:117" s="12" customFormat="1" ht="10.5" customHeight="1">
      <c r="A7" s="453">
        <v>1</v>
      </c>
      <c r="B7" s="453">
        <v>2</v>
      </c>
      <c r="C7" s="453">
        <v>3</v>
      </c>
      <c r="D7" s="453">
        <v>4</v>
      </c>
      <c r="E7" s="453">
        <v>5</v>
      </c>
      <c r="F7" s="453">
        <v>6</v>
      </c>
      <c r="G7" s="226">
        <v>7</v>
      </c>
      <c r="H7" s="453"/>
      <c r="I7" s="453"/>
      <c r="J7" s="226"/>
      <c r="K7" s="226"/>
      <c r="L7" s="453">
        <v>10</v>
      </c>
      <c r="M7" s="453">
        <v>11</v>
      </c>
      <c r="N7" s="453">
        <v>12</v>
      </c>
      <c r="O7" s="453"/>
      <c r="P7" s="453">
        <v>13</v>
      </c>
      <c r="Q7" s="453">
        <v>17</v>
      </c>
      <c r="R7" s="453">
        <v>18</v>
      </c>
      <c r="S7" s="453"/>
      <c r="T7" s="453">
        <v>19</v>
      </c>
      <c r="U7" s="453">
        <v>23</v>
      </c>
      <c r="V7" s="453">
        <v>24</v>
      </c>
      <c r="W7" s="453">
        <v>25</v>
      </c>
      <c r="X7" s="453">
        <v>29</v>
      </c>
      <c r="Y7" s="453"/>
      <c r="Z7" s="453">
        <v>30</v>
      </c>
      <c r="AA7" s="453"/>
      <c r="AB7" s="453">
        <v>31</v>
      </c>
      <c r="AC7" s="453">
        <v>35</v>
      </c>
      <c r="AD7" s="453">
        <v>36</v>
      </c>
      <c r="AE7" s="453">
        <v>37</v>
      </c>
      <c r="AF7" s="453">
        <v>41</v>
      </c>
      <c r="AG7" s="453">
        <v>42</v>
      </c>
      <c r="AH7" s="453">
        <v>43</v>
      </c>
      <c r="AI7" s="453">
        <v>47</v>
      </c>
      <c r="AJ7" s="453">
        <v>48</v>
      </c>
      <c r="AK7" s="453">
        <v>49</v>
      </c>
      <c r="AL7" s="197">
        <v>53</v>
      </c>
      <c r="AM7" s="453">
        <v>54</v>
      </c>
      <c r="AN7" s="453">
        <v>55</v>
      </c>
      <c r="AO7" s="453">
        <v>59</v>
      </c>
      <c r="AP7" s="453">
        <v>60</v>
      </c>
      <c r="AQ7" s="453">
        <v>61</v>
      </c>
      <c r="AR7" s="453">
        <v>65</v>
      </c>
      <c r="AS7" s="453">
        <v>66</v>
      </c>
      <c r="AT7" s="453">
        <v>67</v>
      </c>
      <c r="AU7" s="453">
        <v>71</v>
      </c>
      <c r="AV7" s="453">
        <v>72</v>
      </c>
      <c r="AW7" s="453">
        <v>73</v>
      </c>
      <c r="AX7" s="453">
        <v>77</v>
      </c>
      <c r="AY7" s="453">
        <v>78</v>
      </c>
      <c r="AZ7" s="453">
        <v>79</v>
      </c>
      <c r="BA7" s="453">
        <v>83</v>
      </c>
      <c r="BB7" s="453">
        <v>84</v>
      </c>
      <c r="BC7" s="453">
        <v>85</v>
      </c>
      <c r="BD7" s="453">
        <v>89</v>
      </c>
      <c r="BE7" s="453">
        <v>90</v>
      </c>
      <c r="BF7" s="453">
        <v>91</v>
      </c>
      <c r="BG7" s="453">
        <v>95</v>
      </c>
      <c r="BH7" s="453">
        <v>96</v>
      </c>
      <c r="BI7" s="453">
        <v>97</v>
      </c>
      <c r="BJ7" s="453">
        <v>98</v>
      </c>
      <c r="BK7" s="453">
        <v>99</v>
      </c>
      <c r="BL7" s="453">
        <v>100</v>
      </c>
      <c r="BM7" s="453">
        <v>101</v>
      </c>
      <c r="BN7" s="453">
        <v>102</v>
      </c>
      <c r="BO7" s="453">
        <v>103</v>
      </c>
      <c r="BP7" s="453">
        <v>104</v>
      </c>
      <c r="BQ7" s="453">
        <v>105</v>
      </c>
      <c r="BR7" s="453">
        <v>106</v>
      </c>
      <c r="BS7" s="7">
        <v>107</v>
      </c>
      <c r="BT7" s="7">
        <v>108</v>
      </c>
      <c r="BU7" s="8">
        <v>109</v>
      </c>
      <c r="BV7" s="11"/>
      <c r="BW7" s="11"/>
      <c r="BX7" s="25"/>
      <c r="BY7" s="11"/>
      <c r="BZ7" s="11"/>
      <c r="CA7" s="27"/>
      <c r="CB7" s="11"/>
      <c r="CC7" s="11"/>
      <c r="CD7" s="25"/>
      <c r="CE7" s="11"/>
      <c r="CF7" s="11"/>
      <c r="CG7" s="27"/>
      <c r="CH7" s="11"/>
      <c r="CI7" s="11"/>
      <c r="CJ7" s="11"/>
      <c r="CK7" s="25"/>
      <c r="CL7" s="11"/>
      <c r="CM7" s="11"/>
      <c r="CN7" s="11"/>
      <c r="CO7" s="27"/>
      <c r="CP7" s="11"/>
      <c r="CQ7" s="11"/>
      <c r="CR7" s="11"/>
      <c r="CS7" s="25"/>
      <c r="CT7" s="11"/>
      <c r="CU7" s="11"/>
      <c r="CV7" s="11"/>
      <c r="CW7" s="27"/>
      <c r="CX7" s="11"/>
      <c r="CY7" s="11"/>
      <c r="CZ7" s="11"/>
      <c r="DA7" s="25"/>
      <c r="DB7" s="11"/>
      <c r="DC7" s="11"/>
      <c r="DD7" s="11"/>
      <c r="DE7" s="27"/>
      <c r="DF7" s="11"/>
      <c r="DG7" s="11"/>
      <c r="DH7" s="11"/>
      <c r="DI7" s="25"/>
      <c r="DJ7" s="11"/>
      <c r="DK7" s="11"/>
      <c r="DL7" s="11"/>
      <c r="DM7" s="27"/>
    </row>
    <row r="8" spans="1:117" s="395" customFormat="1" ht="10.5" customHeight="1">
      <c r="A8" s="453"/>
      <c r="B8" s="453"/>
      <c r="C8" s="453"/>
      <c r="D8" s="453"/>
      <c r="E8" s="453"/>
      <c r="F8" s="453"/>
      <c r="G8" s="226"/>
      <c r="H8" s="453"/>
      <c r="I8" s="453"/>
      <c r="J8" s="226"/>
      <c r="K8" s="226"/>
      <c r="L8" s="453"/>
      <c r="M8" s="453"/>
      <c r="N8" s="453"/>
      <c r="O8" s="453"/>
      <c r="P8" s="453"/>
      <c r="Q8" s="453"/>
      <c r="R8" s="453"/>
      <c r="S8" s="453"/>
      <c r="T8" s="453"/>
      <c r="U8" s="453"/>
      <c r="V8" s="453"/>
      <c r="W8" s="453"/>
      <c r="X8" s="453"/>
      <c r="Y8" s="453"/>
      <c r="Z8" s="453"/>
      <c r="AA8" s="453"/>
      <c r="AB8" s="453"/>
      <c r="AC8" s="453"/>
      <c r="AD8" s="453"/>
      <c r="AE8" s="453"/>
      <c r="AF8" s="453"/>
      <c r="AG8" s="453"/>
      <c r="AH8" s="453"/>
      <c r="AI8" s="453"/>
      <c r="AJ8" s="453"/>
      <c r="AK8" s="453"/>
      <c r="AL8" s="197"/>
      <c r="AM8" s="453"/>
      <c r="AN8" s="453"/>
      <c r="AO8" s="453"/>
      <c r="AP8" s="453"/>
      <c r="AQ8" s="453"/>
      <c r="AR8" s="453"/>
      <c r="AS8" s="453"/>
      <c r="AT8" s="453"/>
      <c r="AU8" s="453"/>
      <c r="AV8" s="453"/>
      <c r="AW8" s="453"/>
      <c r="AX8" s="453"/>
      <c r="AY8" s="453"/>
      <c r="AZ8" s="453"/>
      <c r="BA8" s="453"/>
      <c r="BB8" s="453"/>
      <c r="BC8" s="453"/>
      <c r="BD8" s="453"/>
      <c r="BE8" s="453"/>
      <c r="BF8" s="453"/>
      <c r="BG8" s="453"/>
      <c r="BH8" s="453"/>
      <c r="BI8" s="453"/>
      <c r="BJ8" s="453"/>
      <c r="BK8" s="453"/>
      <c r="BL8" s="453"/>
      <c r="BM8" s="453"/>
      <c r="BN8" s="453"/>
      <c r="BO8" s="453"/>
      <c r="BP8" s="453"/>
      <c r="BQ8" s="453"/>
      <c r="BR8" s="453"/>
      <c r="BS8" s="394"/>
      <c r="BT8" s="394"/>
      <c r="BU8" s="8"/>
      <c r="BV8" s="11"/>
      <c r="BW8" s="11"/>
      <c r="BX8" s="25"/>
      <c r="BY8" s="11"/>
      <c r="BZ8" s="11"/>
      <c r="CA8" s="27"/>
      <c r="CB8" s="11"/>
      <c r="CC8" s="11"/>
      <c r="CD8" s="25"/>
      <c r="CE8" s="11"/>
      <c r="CF8" s="11"/>
      <c r="CG8" s="27"/>
      <c r="CH8" s="11"/>
      <c r="CI8" s="11"/>
      <c r="CJ8" s="11"/>
      <c r="CK8" s="25"/>
      <c r="CL8" s="11"/>
      <c r="CM8" s="11"/>
      <c r="CN8" s="11"/>
      <c r="CO8" s="27"/>
      <c r="CP8" s="11"/>
      <c r="CQ8" s="11"/>
      <c r="CR8" s="11"/>
      <c r="CS8" s="25"/>
      <c r="CT8" s="11"/>
      <c r="CU8" s="11"/>
      <c r="CV8" s="11"/>
      <c r="CW8" s="27"/>
      <c r="CX8" s="11"/>
      <c r="CY8" s="11"/>
      <c r="CZ8" s="11"/>
      <c r="DA8" s="25"/>
      <c r="DB8" s="11"/>
      <c r="DC8" s="11"/>
      <c r="DD8" s="11"/>
      <c r="DE8" s="27"/>
      <c r="DF8" s="11"/>
      <c r="DG8" s="11"/>
      <c r="DH8" s="11"/>
      <c r="DI8" s="25"/>
      <c r="DJ8" s="11"/>
      <c r="DK8" s="11"/>
      <c r="DL8" s="11"/>
      <c r="DM8" s="27"/>
    </row>
    <row r="9" spans="1:117" s="28" customFormat="1" ht="66.599999999999994" customHeight="1">
      <c r="A9" s="45">
        <v>1</v>
      </c>
      <c r="B9" s="361" t="s">
        <v>303</v>
      </c>
      <c r="C9" s="45">
        <v>4</v>
      </c>
      <c r="D9" s="361" t="s">
        <v>302</v>
      </c>
      <c r="E9" s="362">
        <v>5</v>
      </c>
      <c r="F9" s="362">
        <v>7</v>
      </c>
      <c r="G9" s="398">
        <f>69493.41/1000</f>
        <v>69.493409999999997</v>
      </c>
      <c r="H9" s="46">
        <v>0</v>
      </c>
      <c r="I9" s="46">
        <v>69493.41</v>
      </c>
      <c r="J9" s="257">
        <f>85049.7/1000</f>
        <v>85.049700000000001</v>
      </c>
      <c r="K9" s="257">
        <f>G9+J9</f>
        <v>154.54311000000001</v>
      </c>
      <c r="L9" s="46">
        <f>(P9+T9+W9+AB9+AE9+AH9+AK9+AN9+AQ9+AT9+AW9+AZ9++BC9+BF9+BI9+BO9+BR9)/1000</f>
        <v>134</v>
      </c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>
        <v>5</v>
      </c>
      <c r="Y9" s="46" t="s">
        <v>335</v>
      </c>
      <c r="Z9" s="46">
        <v>80</v>
      </c>
      <c r="AA9" s="191" t="s">
        <v>1008</v>
      </c>
      <c r="AB9" s="46">
        <f>Z9*1300</f>
        <v>104000</v>
      </c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>
        <f t="shared" ref="BG9" si="0">BK9+BS9+BY9+CH9+CO9+CU9+DA9+DG9+DM9+DS9+DY9+EE9++EK9+EQ9+EW9+FC9+FF9</f>
        <v>0</v>
      </c>
      <c r="BH9" s="46"/>
      <c r="BI9" s="46"/>
      <c r="BJ9" s="46"/>
      <c r="BK9" s="46"/>
      <c r="BL9" s="46"/>
      <c r="BM9" s="46"/>
      <c r="BN9" s="46"/>
      <c r="BO9" s="46"/>
      <c r="BP9" s="46">
        <v>5</v>
      </c>
      <c r="BQ9" s="190" t="s">
        <v>1009</v>
      </c>
      <c r="BR9" s="46">
        <f>BX9+CD9+CK9+CS9+DA9+DI9</f>
        <v>30000</v>
      </c>
      <c r="BS9" s="46"/>
      <c r="BT9" s="191"/>
      <c r="BU9" s="46">
        <f>CA9+CG9+CO9+CW9+DE9+DM9</f>
        <v>0</v>
      </c>
      <c r="BV9" s="46"/>
      <c r="BW9" s="46"/>
      <c r="BX9" s="46"/>
      <c r="BY9" s="46"/>
      <c r="BZ9" s="46"/>
      <c r="CA9" s="46"/>
      <c r="CB9" s="46">
        <v>5</v>
      </c>
      <c r="CC9" s="46">
        <v>30</v>
      </c>
      <c r="CD9" s="46">
        <v>30000</v>
      </c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</row>
    <row r="10" spans="1:117" s="28" customFormat="1" ht="66.599999999999994" customHeight="1">
      <c r="A10" s="45">
        <v>2</v>
      </c>
      <c r="B10" s="361" t="s">
        <v>303</v>
      </c>
      <c r="C10" s="45">
        <v>4</v>
      </c>
      <c r="D10" s="361" t="s">
        <v>596</v>
      </c>
      <c r="E10" s="362">
        <v>1</v>
      </c>
      <c r="F10" s="362">
        <v>3</v>
      </c>
      <c r="G10" s="398">
        <f>430478.976/1000</f>
        <v>430.47897600000005</v>
      </c>
      <c r="H10" s="46">
        <v>430478.97600000008</v>
      </c>
      <c r="I10" s="46">
        <v>0</v>
      </c>
      <c r="J10" s="257">
        <f>160063.23/1000</f>
        <v>160.06323</v>
      </c>
      <c r="K10" s="257">
        <f>G10+J10</f>
        <v>590.54220600000008</v>
      </c>
      <c r="L10" s="46">
        <f>(P10+T10+W10+AB10+AE10+AH10+AK10+AN10+AQ10+AT10+AW10+AZ10++BC10+BF10+BI10+BO10+BR10)/1000</f>
        <v>490</v>
      </c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191"/>
      <c r="AB10" s="46"/>
      <c r="AC10" s="46"/>
      <c r="AD10" s="46">
        <v>80</v>
      </c>
      <c r="AE10" s="46">
        <f>AD10*2500</f>
        <v>200000</v>
      </c>
      <c r="AF10" s="46"/>
      <c r="AG10" s="46">
        <v>80</v>
      </c>
      <c r="AH10" s="46">
        <f>AG10*2500</f>
        <v>200000</v>
      </c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>
        <v>10</v>
      </c>
      <c r="BQ10" s="190" t="s">
        <v>1010</v>
      </c>
      <c r="BR10" s="46">
        <f>BX10+CD10+CK10+CS10+DA10+DI10+18*5000</f>
        <v>90000</v>
      </c>
      <c r="BS10" s="46">
        <v>1</v>
      </c>
      <c r="BT10" s="191" t="s">
        <v>562</v>
      </c>
      <c r="BU10" s="46">
        <f>CA10+CG10+CO10+CW10+DE10+DM10+12038.28</f>
        <v>12038.28</v>
      </c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</row>
    <row r="11" spans="1:117" s="50" customFormat="1">
      <c r="A11" s="179"/>
      <c r="B11" s="179"/>
      <c r="C11" s="179"/>
      <c r="D11" s="71" t="s">
        <v>209</v>
      </c>
      <c r="E11" s="179"/>
      <c r="F11" s="179"/>
      <c r="G11" s="495">
        <f>SUM(G9)</f>
        <v>69.493409999999997</v>
      </c>
      <c r="H11" s="253">
        <f>SUM(H9)</f>
        <v>0</v>
      </c>
      <c r="I11" s="253">
        <f>SUM(I9)</f>
        <v>69493.41</v>
      </c>
      <c r="J11" s="253">
        <f>SUM(J9)</f>
        <v>85.049700000000001</v>
      </c>
      <c r="K11" s="253">
        <f>SUM(K9)</f>
        <v>154.54311000000001</v>
      </c>
      <c r="L11" s="181">
        <f t="shared" ref="L11:AR11" si="1">SUM(L9:L10)</f>
        <v>624</v>
      </c>
      <c r="M11" s="181">
        <f t="shared" si="1"/>
        <v>0</v>
      </c>
      <c r="N11" s="181">
        <f t="shared" si="1"/>
        <v>0</v>
      </c>
      <c r="O11" s="181">
        <f t="shared" si="1"/>
        <v>0</v>
      </c>
      <c r="P11" s="181">
        <f t="shared" si="1"/>
        <v>0</v>
      </c>
      <c r="Q11" s="181">
        <f t="shared" si="1"/>
        <v>0</v>
      </c>
      <c r="R11" s="181">
        <f t="shared" si="1"/>
        <v>0</v>
      </c>
      <c r="S11" s="181">
        <f t="shared" si="1"/>
        <v>0</v>
      </c>
      <c r="T11" s="181">
        <f t="shared" si="1"/>
        <v>0</v>
      </c>
      <c r="U11" s="181">
        <f t="shared" si="1"/>
        <v>0</v>
      </c>
      <c r="V11" s="181">
        <f t="shared" si="1"/>
        <v>0</v>
      </c>
      <c r="W11" s="181">
        <f t="shared" si="1"/>
        <v>0</v>
      </c>
      <c r="X11" s="181"/>
      <c r="Y11" s="181">
        <f t="shared" si="1"/>
        <v>0</v>
      </c>
      <c r="Z11" s="181">
        <f t="shared" si="1"/>
        <v>80</v>
      </c>
      <c r="AA11" s="181"/>
      <c r="AB11" s="181">
        <f t="shared" si="1"/>
        <v>104000</v>
      </c>
      <c r="AC11" s="181"/>
      <c r="AD11" s="181">
        <f t="shared" si="1"/>
        <v>80</v>
      </c>
      <c r="AE11" s="181">
        <f t="shared" si="1"/>
        <v>200000</v>
      </c>
      <c r="AF11" s="181"/>
      <c r="AG11" s="181">
        <f t="shared" si="1"/>
        <v>80</v>
      </c>
      <c r="AH11" s="181">
        <f t="shared" si="1"/>
        <v>200000</v>
      </c>
      <c r="AI11" s="181">
        <f t="shared" si="1"/>
        <v>0</v>
      </c>
      <c r="AJ11" s="181">
        <f t="shared" si="1"/>
        <v>0</v>
      </c>
      <c r="AK11" s="181">
        <f t="shared" si="1"/>
        <v>0</v>
      </c>
      <c r="AL11" s="181">
        <f t="shared" si="1"/>
        <v>0</v>
      </c>
      <c r="AM11" s="181">
        <f t="shared" si="1"/>
        <v>0</v>
      </c>
      <c r="AN11" s="181">
        <f t="shared" si="1"/>
        <v>0</v>
      </c>
      <c r="AO11" s="181">
        <f t="shared" si="1"/>
        <v>0</v>
      </c>
      <c r="AP11" s="181">
        <f t="shared" si="1"/>
        <v>0</v>
      </c>
      <c r="AQ11" s="181">
        <f t="shared" si="1"/>
        <v>0</v>
      </c>
      <c r="AR11" s="181">
        <f t="shared" si="1"/>
        <v>0</v>
      </c>
      <c r="AS11" s="181">
        <f t="shared" ref="AS11:CO11" si="2">SUM(AS9:AS10)</f>
        <v>0</v>
      </c>
      <c r="AT11" s="181">
        <f t="shared" si="2"/>
        <v>0</v>
      </c>
      <c r="AU11" s="181">
        <f t="shared" si="2"/>
        <v>0</v>
      </c>
      <c r="AV11" s="181">
        <f t="shared" si="2"/>
        <v>0</v>
      </c>
      <c r="AW11" s="181">
        <f t="shared" si="2"/>
        <v>0</v>
      </c>
      <c r="AX11" s="181">
        <f t="shared" si="2"/>
        <v>0</v>
      </c>
      <c r="AY11" s="181">
        <f t="shared" si="2"/>
        <v>0</v>
      </c>
      <c r="AZ11" s="181">
        <f t="shared" si="2"/>
        <v>0</v>
      </c>
      <c r="BA11" s="181">
        <f t="shared" si="2"/>
        <v>0</v>
      </c>
      <c r="BB11" s="181">
        <f t="shared" si="2"/>
        <v>0</v>
      </c>
      <c r="BC11" s="181">
        <f t="shared" si="2"/>
        <v>0</v>
      </c>
      <c r="BD11" s="181">
        <f t="shared" si="2"/>
        <v>0</v>
      </c>
      <c r="BE11" s="181">
        <f t="shared" si="2"/>
        <v>0</v>
      </c>
      <c r="BF11" s="181">
        <f t="shared" si="2"/>
        <v>0</v>
      </c>
      <c r="BG11" s="181">
        <f t="shared" si="2"/>
        <v>0</v>
      </c>
      <c r="BH11" s="181">
        <f t="shared" si="2"/>
        <v>0</v>
      </c>
      <c r="BI11" s="181">
        <f t="shared" si="2"/>
        <v>0</v>
      </c>
      <c r="BJ11" s="181">
        <f t="shared" si="2"/>
        <v>0</v>
      </c>
      <c r="BK11" s="181">
        <f t="shared" si="2"/>
        <v>0</v>
      </c>
      <c r="BL11" s="181">
        <f t="shared" si="2"/>
        <v>0</v>
      </c>
      <c r="BM11" s="181">
        <f t="shared" si="2"/>
        <v>0</v>
      </c>
      <c r="BN11" s="181">
        <f t="shared" si="2"/>
        <v>0</v>
      </c>
      <c r="BO11" s="181">
        <f t="shared" si="2"/>
        <v>0</v>
      </c>
      <c r="BP11" s="181"/>
      <c r="BQ11" s="181"/>
      <c r="BR11" s="181">
        <f t="shared" si="2"/>
        <v>120000</v>
      </c>
      <c r="BS11" s="49">
        <f t="shared" si="2"/>
        <v>1</v>
      </c>
      <c r="BT11" s="49">
        <f t="shared" si="2"/>
        <v>0</v>
      </c>
      <c r="BU11" s="49">
        <f t="shared" si="2"/>
        <v>12038.28</v>
      </c>
      <c r="BV11" s="49">
        <f t="shared" si="2"/>
        <v>0</v>
      </c>
      <c r="BW11" s="49">
        <f t="shared" si="2"/>
        <v>0</v>
      </c>
      <c r="BX11" s="49">
        <f t="shared" si="2"/>
        <v>0</v>
      </c>
      <c r="BY11" s="49">
        <f t="shared" si="2"/>
        <v>0</v>
      </c>
      <c r="BZ11" s="49">
        <f t="shared" si="2"/>
        <v>0</v>
      </c>
      <c r="CA11" s="49">
        <f t="shared" si="2"/>
        <v>0</v>
      </c>
      <c r="CB11" s="49">
        <f t="shared" si="2"/>
        <v>5</v>
      </c>
      <c r="CC11" s="49">
        <f t="shared" si="2"/>
        <v>30</v>
      </c>
      <c r="CD11" s="49">
        <f t="shared" si="2"/>
        <v>30000</v>
      </c>
      <c r="CE11" s="49">
        <f t="shared" si="2"/>
        <v>0</v>
      </c>
      <c r="CF11" s="49">
        <f t="shared" si="2"/>
        <v>0</v>
      </c>
      <c r="CG11" s="49">
        <f t="shared" si="2"/>
        <v>0</v>
      </c>
      <c r="CH11" s="49">
        <f t="shared" si="2"/>
        <v>0</v>
      </c>
      <c r="CI11" s="49">
        <f t="shared" si="2"/>
        <v>0</v>
      </c>
      <c r="CJ11" s="49">
        <f t="shared" si="2"/>
        <v>0</v>
      </c>
      <c r="CK11" s="49">
        <f t="shared" si="2"/>
        <v>0</v>
      </c>
      <c r="CL11" s="49">
        <f t="shared" si="2"/>
        <v>0</v>
      </c>
      <c r="CM11" s="49">
        <f t="shared" si="2"/>
        <v>0</v>
      </c>
      <c r="CN11" s="49">
        <f t="shared" si="2"/>
        <v>0</v>
      </c>
      <c r="CO11" s="49">
        <f t="shared" si="2"/>
        <v>0</v>
      </c>
      <c r="CP11" s="49">
        <f t="shared" ref="CP11:DM11" si="3">SUM(CP9:CP10)</f>
        <v>0</v>
      </c>
      <c r="CQ11" s="49">
        <f t="shared" si="3"/>
        <v>0</v>
      </c>
      <c r="CR11" s="49">
        <f t="shared" si="3"/>
        <v>0</v>
      </c>
      <c r="CS11" s="49">
        <f t="shared" si="3"/>
        <v>0</v>
      </c>
      <c r="CT11" s="49">
        <f t="shared" si="3"/>
        <v>0</v>
      </c>
      <c r="CU11" s="49">
        <f t="shared" si="3"/>
        <v>0</v>
      </c>
      <c r="CV11" s="49">
        <f t="shared" si="3"/>
        <v>0</v>
      </c>
      <c r="CW11" s="49">
        <f t="shared" si="3"/>
        <v>0</v>
      </c>
      <c r="CX11" s="49">
        <f t="shared" si="3"/>
        <v>0</v>
      </c>
      <c r="CY11" s="49">
        <f t="shared" si="3"/>
        <v>0</v>
      </c>
      <c r="CZ11" s="49">
        <f t="shared" si="3"/>
        <v>0</v>
      </c>
      <c r="DA11" s="49">
        <f t="shared" si="3"/>
        <v>0</v>
      </c>
      <c r="DB11" s="49">
        <f t="shared" si="3"/>
        <v>0</v>
      </c>
      <c r="DC11" s="49">
        <f t="shared" si="3"/>
        <v>0</v>
      </c>
      <c r="DD11" s="49">
        <f t="shared" si="3"/>
        <v>0</v>
      </c>
      <c r="DE11" s="49">
        <f t="shared" si="3"/>
        <v>0</v>
      </c>
      <c r="DF11" s="49">
        <f t="shared" si="3"/>
        <v>0</v>
      </c>
      <c r="DG11" s="49">
        <f t="shared" si="3"/>
        <v>0</v>
      </c>
      <c r="DH11" s="49">
        <f t="shared" si="3"/>
        <v>0</v>
      </c>
      <c r="DI11" s="49">
        <f t="shared" si="3"/>
        <v>0</v>
      </c>
      <c r="DJ11" s="49">
        <f t="shared" si="3"/>
        <v>0</v>
      </c>
      <c r="DK11" s="49">
        <f t="shared" si="3"/>
        <v>0</v>
      </c>
      <c r="DL11" s="49">
        <f t="shared" si="3"/>
        <v>0</v>
      </c>
      <c r="DM11" s="49">
        <f t="shared" si="3"/>
        <v>0</v>
      </c>
    </row>
    <row r="12" spans="1:117" ht="34.5" customHeight="1">
      <c r="B12" s="152" t="s">
        <v>422</v>
      </c>
      <c r="BU12" s="23"/>
      <c r="BX12" s="21"/>
      <c r="CA12" s="23"/>
      <c r="CD12" s="21"/>
      <c r="CK12" s="21"/>
      <c r="CO12" s="23"/>
      <c r="CS12" s="21"/>
      <c r="CW12" s="23"/>
      <c r="DA12" s="21"/>
      <c r="DE12" s="23"/>
      <c r="DI12" s="21"/>
      <c r="DM12" s="23"/>
    </row>
    <row r="13" spans="1:117" ht="21.6" customHeight="1">
      <c r="B13" s="152" t="s">
        <v>423</v>
      </c>
      <c r="D13" s="720"/>
      <c r="E13" s="720"/>
      <c r="F13" s="28" t="s">
        <v>602</v>
      </c>
      <c r="BU13" s="23"/>
      <c r="BX13" s="21"/>
      <c r="CA13" s="23"/>
      <c r="CD13" s="21"/>
      <c r="CK13" s="21"/>
      <c r="CO13" s="23"/>
      <c r="CS13" s="21"/>
      <c r="CW13" s="23"/>
      <c r="DA13" s="21"/>
      <c r="DE13" s="23"/>
      <c r="DI13" s="21"/>
      <c r="DM13" s="23"/>
    </row>
    <row r="14" spans="1:117">
      <c r="BU14" s="23"/>
      <c r="BX14" s="21"/>
      <c r="CA14" s="23"/>
      <c r="CD14" s="21"/>
      <c r="CK14" s="21"/>
      <c r="CO14" s="23"/>
      <c r="CS14" s="21"/>
      <c r="CW14" s="23"/>
      <c r="DA14" s="21"/>
      <c r="DE14" s="23"/>
      <c r="DI14" s="21"/>
      <c r="DM14" s="23"/>
    </row>
    <row r="15" spans="1:117">
      <c r="BU15" s="23"/>
      <c r="BX15" s="21"/>
      <c r="CA15" s="23"/>
      <c r="CD15" s="21"/>
      <c r="CK15" s="21"/>
      <c r="CO15" s="23"/>
      <c r="CS15" s="21"/>
      <c r="CW15" s="23"/>
      <c r="DA15" s="21"/>
      <c r="DE15" s="23"/>
      <c r="DI15" s="21"/>
      <c r="DM15" s="23"/>
    </row>
    <row r="16" spans="1:117">
      <c r="BU16" s="23"/>
      <c r="BX16" s="21"/>
      <c r="CA16" s="23"/>
      <c r="CD16" s="21"/>
      <c r="CK16" s="21"/>
      <c r="CO16" s="23"/>
      <c r="CS16" s="21"/>
      <c r="CW16" s="23"/>
      <c r="DA16" s="21"/>
      <c r="DE16" s="23"/>
      <c r="DI16" s="21"/>
      <c r="DM16" s="23"/>
    </row>
    <row r="17" spans="73:117">
      <c r="BU17" s="23"/>
      <c r="BX17" s="21"/>
      <c r="CA17" s="23"/>
      <c r="CD17" s="21"/>
      <c r="CK17" s="21"/>
      <c r="CO17" s="23"/>
      <c r="CS17" s="21"/>
      <c r="CW17" s="23"/>
      <c r="DA17" s="21"/>
      <c r="DE17" s="23"/>
      <c r="DI17" s="21"/>
      <c r="DM17" s="23"/>
    </row>
    <row r="18" spans="73:117">
      <c r="BU18" s="23"/>
      <c r="BX18" s="21"/>
      <c r="CA18" s="23"/>
      <c r="CD18" s="21"/>
      <c r="CK18" s="21"/>
      <c r="CO18" s="23"/>
      <c r="CS18" s="21"/>
      <c r="CW18" s="23"/>
      <c r="DA18" s="21"/>
      <c r="DE18" s="23"/>
      <c r="DI18" s="21"/>
      <c r="DM18" s="23"/>
    </row>
    <row r="19" spans="73:117">
      <c r="BU19" s="23"/>
      <c r="BX19" s="21"/>
      <c r="CA19" s="23"/>
      <c r="CD19" s="21"/>
      <c r="CK19" s="21"/>
      <c r="CO19" s="23"/>
      <c r="CS19" s="21"/>
      <c r="CW19" s="23"/>
      <c r="DA19" s="21"/>
      <c r="DE19" s="23"/>
      <c r="DI19" s="21"/>
      <c r="DM19" s="23"/>
    </row>
    <row r="20" spans="73:117">
      <c r="BU20" s="23"/>
      <c r="BX20" s="21"/>
      <c r="CA20" s="23"/>
      <c r="CD20" s="21"/>
      <c r="CK20" s="21"/>
      <c r="CO20" s="23"/>
      <c r="CS20" s="21"/>
      <c r="CW20" s="23"/>
      <c r="DA20" s="21"/>
      <c r="DE20" s="23"/>
      <c r="DI20" s="21"/>
      <c r="DM20" s="23"/>
    </row>
    <row r="21" spans="73:117">
      <c r="BU21" s="23"/>
      <c r="BX21" s="21"/>
      <c r="CA21" s="23"/>
      <c r="CD21" s="21"/>
      <c r="CK21" s="21"/>
      <c r="CO21" s="23"/>
      <c r="CS21" s="21"/>
      <c r="CW21" s="23"/>
      <c r="DA21" s="21"/>
      <c r="DE21" s="23"/>
      <c r="DI21" s="21"/>
      <c r="DM21" s="23"/>
    </row>
    <row r="22" spans="73:117">
      <c r="BU22" s="23"/>
      <c r="BX22" s="21"/>
      <c r="CA22" s="23"/>
      <c r="CD22" s="21"/>
      <c r="CK22" s="21"/>
      <c r="CO22" s="23"/>
      <c r="CS22" s="21"/>
      <c r="CW22" s="23"/>
      <c r="DA22" s="21"/>
      <c r="DE22" s="23"/>
      <c r="DI22" s="21"/>
      <c r="DM22" s="23"/>
    </row>
    <row r="23" spans="73:117">
      <c r="BU23" s="23"/>
      <c r="BX23" s="21"/>
      <c r="CA23" s="23"/>
      <c r="CD23" s="21"/>
      <c r="CK23" s="21"/>
      <c r="CO23" s="23"/>
      <c r="CS23" s="21"/>
      <c r="CW23" s="23"/>
      <c r="DA23" s="21"/>
      <c r="DE23" s="23"/>
      <c r="DI23" s="21"/>
      <c r="DM23" s="23"/>
    </row>
    <row r="24" spans="73:117">
      <c r="BU24" s="23"/>
      <c r="BX24" s="21"/>
      <c r="CA24" s="23"/>
      <c r="CD24" s="21"/>
      <c r="CK24" s="21"/>
      <c r="CO24" s="23"/>
      <c r="CS24" s="21"/>
      <c r="CW24" s="23"/>
      <c r="DA24" s="21"/>
      <c r="DE24" s="23"/>
      <c r="DI24" s="21"/>
      <c r="DM24" s="23"/>
    </row>
    <row r="25" spans="73:117">
      <c r="BU25" s="23"/>
      <c r="BX25" s="21"/>
      <c r="CA25" s="23"/>
      <c r="CD25" s="21"/>
      <c r="CK25" s="21"/>
      <c r="CO25" s="23"/>
      <c r="CS25" s="21"/>
      <c r="CW25" s="23"/>
      <c r="DA25" s="21"/>
      <c r="DE25" s="23"/>
      <c r="DI25" s="21"/>
      <c r="DM25" s="23"/>
    </row>
    <row r="26" spans="73:117">
      <c r="BU26" s="23"/>
      <c r="BX26" s="21"/>
      <c r="CA26" s="23"/>
      <c r="CD26" s="21"/>
      <c r="CK26" s="21"/>
      <c r="CO26" s="23"/>
      <c r="CS26" s="21"/>
      <c r="CW26" s="23"/>
      <c r="DA26" s="21"/>
      <c r="DE26" s="23"/>
      <c r="DI26" s="21"/>
      <c r="DM26" s="23"/>
    </row>
    <row r="27" spans="73:117">
      <c r="BU27" s="23"/>
      <c r="BX27" s="21"/>
      <c r="CA27" s="23"/>
      <c r="CD27" s="21"/>
      <c r="CK27" s="21"/>
      <c r="CO27" s="23"/>
      <c r="CS27" s="21"/>
      <c r="CW27" s="23"/>
      <c r="DA27" s="21"/>
      <c r="DE27" s="23"/>
      <c r="DI27" s="21"/>
      <c r="DM27" s="23"/>
    </row>
    <row r="28" spans="73:117">
      <c r="BU28" s="23"/>
      <c r="BX28" s="21"/>
      <c r="CA28" s="23"/>
      <c r="CD28" s="21"/>
      <c r="CK28" s="21"/>
      <c r="CO28" s="23"/>
      <c r="CS28" s="21"/>
      <c r="CW28" s="23"/>
      <c r="DA28" s="21"/>
      <c r="DE28" s="23"/>
      <c r="DI28" s="21"/>
      <c r="DM28" s="23"/>
    </row>
    <row r="29" spans="73:117">
      <c r="BU29" s="23"/>
      <c r="BX29" s="21"/>
      <c r="CA29" s="23"/>
      <c r="CD29" s="21"/>
      <c r="CK29" s="21"/>
      <c r="CO29" s="23"/>
      <c r="CS29" s="21"/>
      <c r="CW29" s="23"/>
      <c r="DA29" s="21"/>
      <c r="DE29" s="23"/>
      <c r="DI29" s="21"/>
      <c r="DM29" s="23"/>
    </row>
    <row r="30" spans="73:117">
      <c r="BU30" s="23"/>
      <c r="BX30" s="21"/>
      <c r="CA30" s="23"/>
      <c r="CD30" s="21"/>
      <c r="CK30" s="21"/>
      <c r="CO30" s="23"/>
      <c r="CS30" s="21"/>
      <c r="CW30" s="23"/>
      <c r="DA30" s="21"/>
      <c r="DE30" s="23"/>
      <c r="DI30" s="21"/>
      <c r="DM30" s="23"/>
    </row>
    <row r="31" spans="73:117">
      <c r="BU31" s="23"/>
      <c r="BX31" s="21"/>
      <c r="CA31" s="23"/>
      <c r="CD31" s="21"/>
      <c r="CK31" s="21"/>
      <c r="CO31" s="23"/>
      <c r="CS31" s="21"/>
      <c r="CW31" s="23"/>
      <c r="DA31" s="21"/>
      <c r="DE31" s="23"/>
      <c r="DI31" s="21"/>
      <c r="DM31" s="23"/>
    </row>
    <row r="32" spans="73:117">
      <c r="BU32" s="23"/>
      <c r="BX32" s="21"/>
      <c r="CA32" s="23"/>
      <c r="CD32" s="21"/>
      <c r="CK32" s="21"/>
      <c r="CO32" s="23"/>
      <c r="CS32" s="21"/>
      <c r="CW32" s="23"/>
      <c r="DA32" s="21"/>
      <c r="DE32" s="23"/>
      <c r="DI32" s="21"/>
      <c r="DM32" s="23"/>
    </row>
    <row r="33" spans="73:117">
      <c r="BU33" s="23"/>
      <c r="BX33" s="21"/>
      <c r="CA33" s="23"/>
      <c r="CD33" s="21"/>
      <c r="CK33" s="21"/>
      <c r="CO33" s="23"/>
      <c r="CS33" s="21"/>
      <c r="CW33" s="23"/>
      <c r="DA33" s="21"/>
      <c r="DE33" s="23"/>
      <c r="DI33" s="21"/>
      <c r="DM33" s="23"/>
    </row>
    <row r="34" spans="73:117">
      <c r="BU34" s="23"/>
      <c r="BX34" s="21"/>
      <c r="CA34" s="23"/>
      <c r="CD34" s="21"/>
      <c r="CK34" s="21"/>
      <c r="CO34" s="23"/>
      <c r="CS34" s="21"/>
      <c r="CW34" s="23"/>
      <c r="DA34" s="21"/>
      <c r="DE34" s="23"/>
      <c r="DI34" s="21"/>
      <c r="DM34" s="23"/>
    </row>
    <row r="35" spans="73:117">
      <c r="BU35" s="23"/>
      <c r="BX35" s="21"/>
      <c r="CA35" s="23"/>
      <c r="CD35" s="21"/>
      <c r="CK35" s="21"/>
      <c r="CO35" s="23"/>
      <c r="CS35" s="21"/>
      <c r="CW35" s="23"/>
      <c r="DA35" s="21"/>
      <c r="DE35" s="23"/>
      <c r="DI35" s="21"/>
      <c r="DM35" s="23"/>
    </row>
    <row r="36" spans="73:117">
      <c r="BU36" s="23"/>
      <c r="BX36" s="21"/>
      <c r="CA36" s="23"/>
      <c r="CD36" s="21"/>
      <c r="CK36" s="21"/>
      <c r="CO36" s="23"/>
      <c r="CS36" s="21"/>
      <c r="CW36" s="23"/>
      <c r="DA36" s="21"/>
      <c r="DE36" s="23"/>
      <c r="DI36" s="21"/>
      <c r="DM36" s="23"/>
    </row>
    <row r="37" spans="73:117">
      <c r="BU37" s="23"/>
      <c r="BX37" s="21"/>
      <c r="CA37" s="23"/>
      <c r="CD37" s="21"/>
      <c r="CK37" s="21"/>
      <c r="CO37" s="23"/>
      <c r="CS37" s="21"/>
      <c r="CW37" s="23"/>
      <c r="DA37" s="21"/>
      <c r="DE37" s="23"/>
      <c r="DI37" s="21"/>
      <c r="DM37" s="23"/>
    </row>
    <row r="38" spans="73:117">
      <c r="BU38" s="23"/>
      <c r="BX38" s="21"/>
      <c r="CA38" s="23"/>
      <c r="CD38" s="21"/>
      <c r="CK38" s="21"/>
      <c r="CO38" s="23"/>
      <c r="CS38" s="21"/>
      <c r="CW38" s="23"/>
      <c r="DA38" s="21"/>
      <c r="DE38" s="23"/>
      <c r="DI38" s="21"/>
      <c r="DM38" s="23"/>
    </row>
    <row r="39" spans="73:117">
      <c r="BU39" s="23"/>
      <c r="BX39" s="21"/>
      <c r="CA39" s="23"/>
      <c r="CD39" s="21"/>
      <c r="CK39" s="21"/>
      <c r="CO39" s="23"/>
      <c r="CS39" s="21"/>
      <c r="CW39" s="23"/>
      <c r="DA39" s="21"/>
      <c r="DE39" s="23"/>
      <c r="DI39" s="21"/>
      <c r="DM39" s="23"/>
    </row>
    <row r="40" spans="73:117">
      <c r="BU40" s="23"/>
      <c r="BX40" s="21"/>
      <c r="CA40" s="23"/>
      <c r="CD40" s="21"/>
      <c r="CK40" s="21"/>
      <c r="CO40" s="23"/>
      <c r="CS40" s="21"/>
      <c r="CW40" s="23"/>
      <c r="DA40" s="21"/>
      <c r="DE40" s="23"/>
      <c r="DI40" s="21"/>
      <c r="DM40" s="23"/>
    </row>
    <row r="41" spans="73:117">
      <c r="BU41" s="23"/>
      <c r="BX41" s="21"/>
      <c r="CA41" s="23"/>
      <c r="CD41" s="21"/>
      <c r="CK41" s="21"/>
      <c r="CO41" s="23"/>
      <c r="CS41" s="21"/>
      <c r="CW41" s="23"/>
      <c r="DA41" s="21"/>
      <c r="DE41" s="23"/>
      <c r="DI41" s="21"/>
      <c r="DM41" s="23"/>
    </row>
    <row r="42" spans="73:117">
      <c r="BU42" s="23"/>
      <c r="BX42" s="21"/>
      <c r="CA42" s="23"/>
      <c r="CD42" s="21"/>
      <c r="CK42" s="21"/>
      <c r="CO42" s="23"/>
      <c r="CS42" s="21"/>
      <c r="CW42" s="23"/>
      <c r="DA42" s="21"/>
      <c r="DE42" s="23"/>
      <c r="DI42" s="21"/>
      <c r="DM42" s="23"/>
    </row>
    <row r="43" spans="73:117">
      <c r="BU43" s="23"/>
      <c r="BX43" s="21"/>
      <c r="CA43" s="23"/>
      <c r="CD43" s="21"/>
      <c r="CK43" s="21"/>
      <c r="CO43" s="23"/>
      <c r="CS43" s="21"/>
      <c r="CW43" s="23"/>
      <c r="DA43" s="21"/>
      <c r="DE43" s="23"/>
      <c r="DI43" s="21"/>
      <c r="DM43" s="23"/>
    </row>
    <row r="44" spans="73:117">
      <c r="BU44" s="23"/>
      <c r="BX44" s="21"/>
      <c r="CA44" s="23"/>
      <c r="CD44" s="21"/>
      <c r="CK44" s="21"/>
      <c r="CO44" s="23"/>
      <c r="CS44" s="21"/>
      <c r="CW44" s="23"/>
      <c r="DA44" s="21"/>
      <c r="DE44" s="23"/>
      <c r="DI44" s="21"/>
      <c r="DM44" s="23"/>
    </row>
    <row r="45" spans="73:117">
      <c r="BU45" s="23"/>
      <c r="BX45" s="21"/>
      <c r="CA45" s="23"/>
      <c r="CD45" s="21"/>
      <c r="CK45" s="21"/>
      <c r="CO45" s="23"/>
      <c r="CS45" s="21"/>
      <c r="CW45" s="23"/>
      <c r="DA45" s="21"/>
      <c r="DE45" s="23"/>
      <c r="DI45" s="21"/>
      <c r="DM45" s="23"/>
    </row>
    <row r="46" spans="73:117">
      <c r="BU46" s="23"/>
      <c r="BX46" s="21"/>
      <c r="CA46" s="23"/>
      <c r="CD46" s="21"/>
      <c r="CK46" s="21"/>
      <c r="CO46" s="23"/>
      <c r="CS46" s="21"/>
      <c r="CW46" s="23"/>
      <c r="DA46" s="21"/>
      <c r="DE46" s="23"/>
      <c r="DI46" s="21"/>
      <c r="DM46" s="23"/>
    </row>
    <row r="47" spans="73:117">
      <c r="BU47" s="23"/>
      <c r="BX47" s="21"/>
      <c r="CA47" s="23"/>
      <c r="CD47" s="21"/>
      <c r="CK47" s="21"/>
      <c r="CO47" s="23"/>
      <c r="CS47" s="21"/>
      <c r="CW47" s="23"/>
      <c r="DA47" s="21"/>
      <c r="DE47" s="23"/>
      <c r="DI47" s="21"/>
      <c r="DM47" s="23"/>
    </row>
    <row r="48" spans="73:117">
      <c r="BU48" s="23"/>
      <c r="BX48" s="21"/>
      <c r="CA48" s="23"/>
      <c r="CD48" s="21"/>
      <c r="CK48" s="21"/>
      <c r="CO48" s="23"/>
      <c r="CS48" s="21"/>
      <c r="CW48" s="23"/>
      <c r="DA48" s="21"/>
      <c r="DE48" s="23"/>
      <c r="DI48" s="21"/>
      <c r="DM48" s="23"/>
    </row>
    <row r="49" spans="73:117">
      <c r="BU49" s="23"/>
      <c r="BX49" s="21"/>
      <c r="CA49" s="23"/>
      <c r="CD49" s="21"/>
      <c r="CK49" s="21"/>
      <c r="CO49" s="23"/>
      <c r="CS49" s="21"/>
      <c r="CW49" s="23"/>
      <c r="DA49" s="21"/>
      <c r="DE49" s="23"/>
      <c r="DI49" s="21"/>
      <c r="DM49" s="23"/>
    </row>
    <row r="50" spans="73:117">
      <c r="BU50" s="23"/>
      <c r="BX50" s="21"/>
      <c r="CA50" s="23"/>
      <c r="CD50" s="21"/>
      <c r="CK50" s="21"/>
      <c r="CO50" s="23"/>
      <c r="CS50" s="21"/>
      <c r="CW50" s="23"/>
      <c r="DA50" s="21"/>
      <c r="DE50" s="23"/>
      <c r="DI50" s="21"/>
      <c r="DM50" s="23"/>
    </row>
    <row r="51" spans="73:117">
      <c r="BU51" s="23"/>
      <c r="BX51" s="21"/>
      <c r="CA51" s="23"/>
      <c r="CD51" s="21"/>
      <c r="CK51" s="21"/>
      <c r="CO51" s="23"/>
      <c r="CS51" s="21"/>
      <c r="CW51" s="23"/>
      <c r="DA51" s="21"/>
      <c r="DE51" s="23"/>
      <c r="DI51" s="21"/>
      <c r="DM51" s="23"/>
    </row>
    <row r="52" spans="73:117">
      <c r="BU52" s="23"/>
      <c r="BX52" s="21"/>
      <c r="CA52" s="23"/>
      <c r="CD52" s="21"/>
      <c r="CK52" s="21"/>
      <c r="CO52" s="23"/>
      <c r="CS52" s="21"/>
      <c r="CW52" s="23"/>
      <c r="DA52" s="21"/>
      <c r="DE52" s="23"/>
      <c r="DI52" s="21"/>
      <c r="DM52" s="23"/>
    </row>
    <row r="53" spans="73:117">
      <c r="BU53" s="23"/>
      <c r="BX53" s="21"/>
      <c r="CA53" s="23"/>
      <c r="CD53" s="21"/>
      <c r="CK53" s="21"/>
      <c r="CO53" s="23"/>
      <c r="CS53" s="21"/>
      <c r="CW53" s="23"/>
      <c r="DA53" s="21"/>
      <c r="DE53" s="23"/>
      <c r="DI53" s="21"/>
      <c r="DM53" s="23"/>
    </row>
    <row r="54" spans="73:117">
      <c r="BU54" s="23"/>
      <c r="BX54" s="21"/>
      <c r="CA54" s="23"/>
      <c r="CD54" s="21"/>
      <c r="CK54" s="21"/>
      <c r="CO54" s="23"/>
      <c r="CS54" s="21"/>
      <c r="CW54" s="23"/>
      <c r="DA54" s="21"/>
      <c r="DE54" s="23"/>
      <c r="DI54" s="21"/>
      <c r="DM54" s="23"/>
    </row>
    <row r="55" spans="73:117">
      <c r="BU55" s="23"/>
      <c r="BX55" s="21"/>
      <c r="CA55" s="23"/>
      <c r="CD55" s="21"/>
      <c r="CK55" s="21"/>
      <c r="CO55" s="23"/>
      <c r="CS55" s="21"/>
      <c r="CW55" s="23"/>
      <c r="DA55" s="21"/>
      <c r="DE55" s="23"/>
      <c r="DI55" s="21"/>
      <c r="DM55" s="23"/>
    </row>
    <row r="56" spans="73:117">
      <c r="BU56" s="23"/>
      <c r="BX56" s="21"/>
      <c r="CA56" s="23"/>
      <c r="CD56" s="21"/>
      <c r="CK56" s="21"/>
      <c r="CO56" s="23"/>
      <c r="CS56" s="21"/>
      <c r="CW56" s="23"/>
      <c r="DA56" s="21"/>
      <c r="DE56" s="23"/>
      <c r="DI56" s="21"/>
      <c r="DM56" s="23"/>
    </row>
    <row r="57" spans="73:117">
      <c r="BU57" s="23"/>
      <c r="BX57" s="21"/>
      <c r="CA57" s="23"/>
      <c r="CD57" s="21"/>
      <c r="CK57" s="21"/>
      <c r="CO57" s="23"/>
      <c r="CS57" s="21"/>
      <c r="CW57" s="23"/>
      <c r="DA57" s="21"/>
      <c r="DE57" s="23"/>
      <c r="DI57" s="21"/>
      <c r="DM57" s="23"/>
    </row>
    <row r="58" spans="73:117">
      <c r="BU58" s="23"/>
      <c r="BX58" s="21"/>
      <c r="CA58" s="23"/>
      <c r="CD58" s="21"/>
      <c r="CK58" s="21"/>
      <c r="CO58" s="23"/>
      <c r="CS58" s="21"/>
      <c r="CW58" s="23"/>
      <c r="DA58" s="21"/>
      <c r="DE58" s="23"/>
      <c r="DI58" s="21"/>
      <c r="DM58" s="23"/>
    </row>
    <row r="59" spans="73:117">
      <c r="BU59" s="23"/>
      <c r="BX59" s="21"/>
      <c r="CA59" s="23"/>
      <c r="CD59" s="21"/>
      <c r="CK59" s="21"/>
      <c r="CO59" s="23"/>
      <c r="CS59" s="21"/>
      <c r="CW59" s="23"/>
      <c r="DA59" s="21"/>
      <c r="DE59" s="23"/>
      <c r="DI59" s="21"/>
      <c r="DM59" s="23"/>
    </row>
    <row r="60" spans="73:117">
      <c r="BU60" s="23"/>
      <c r="BX60" s="21"/>
      <c r="CA60" s="23"/>
      <c r="CD60" s="21"/>
      <c r="CK60" s="21"/>
      <c r="CO60" s="23"/>
      <c r="CS60" s="21"/>
      <c r="CW60" s="23"/>
      <c r="DA60" s="21"/>
      <c r="DE60" s="23"/>
      <c r="DI60" s="21"/>
      <c r="DM60" s="23"/>
    </row>
    <row r="61" spans="73:117">
      <c r="BU61" s="23"/>
      <c r="BX61" s="21"/>
      <c r="CA61" s="23"/>
      <c r="CD61" s="21"/>
      <c r="CK61" s="21"/>
      <c r="CO61" s="23"/>
      <c r="CS61" s="21"/>
      <c r="CW61" s="23"/>
      <c r="DA61" s="21"/>
      <c r="DE61" s="23"/>
      <c r="DI61" s="21"/>
      <c r="DM61" s="23"/>
    </row>
    <row r="62" spans="73:117">
      <c r="BU62" s="23"/>
      <c r="BX62" s="21"/>
      <c r="CA62" s="23"/>
      <c r="CD62" s="21"/>
      <c r="CK62" s="21"/>
      <c r="CO62" s="23"/>
      <c r="CS62" s="21"/>
      <c r="CW62" s="23"/>
      <c r="DA62" s="21"/>
      <c r="DE62" s="23"/>
      <c r="DI62" s="21"/>
      <c r="DM62" s="23"/>
    </row>
    <row r="63" spans="73:117">
      <c r="BU63" s="23"/>
      <c r="BX63" s="21"/>
      <c r="CA63" s="23"/>
      <c r="CD63" s="21"/>
      <c r="CK63" s="21"/>
      <c r="CO63" s="23"/>
      <c r="CS63" s="21"/>
      <c r="CW63" s="23"/>
      <c r="DA63" s="21"/>
      <c r="DE63" s="23"/>
      <c r="DI63" s="21"/>
      <c r="DM63" s="23"/>
    </row>
    <row r="64" spans="73:117">
      <c r="BU64" s="23"/>
      <c r="BX64" s="21"/>
      <c r="CA64" s="23"/>
      <c r="CD64" s="21"/>
      <c r="CK64" s="21"/>
      <c r="CO64" s="23"/>
      <c r="CS64" s="21"/>
      <c r="CW64" s="23"/>
      <c r="DA64" s="21"/>
      <c r="DE64" s="23"/>
      <c r="DI64" s="21"/>
      <c r="DM64" s="23"/>
    </row>
    <row r="65" spans="73:117">
      <c r="BU65" s="23"/>
      <c r="BX65" s="21"/>
      <c r="CA65" s="23"/>
      <c r="CD65" s="21"/>
      <c r="CK65" s="21"/>
      <c r="CO65" s="23"/>
      <c r="CS65" s="21"/>
      <c r="CW65" s="23"/>
      <c r="DA65" s="21"/>
      <c r="DE65" s="23"/>
      <c r="DI65" s="21"/>
      <c r="DM65" s="23"/>
    </row>
    <row r="66" spans="73:117">
      <c r="BU66" s="23"/>
      <c r="BX66" s="21"/>
      <c r="CA66" s="23"/>
      <c r="CD66" s="21"/>
      <c r="CK66" s="21"/>
      <c r="CO66" s="23"/>
      <c r="CS66" s="21"/>
      <c r="CW66" s="23"/>
      <c r="DA66" s="21"/>
      <c r="DE66" s="23"/>
      <c r="DI66" s="21"/>
      <c r="DM66" s="23"/>
    </row>
    <row r="67" spans="73:117">
      <c r="BU67" s="23"/>
      <c r="BX67" s="21"/>
      <c r="CA67" s="23"/>
      <c r="CD67" s="21"/>
      <c r="CK67" s="21"/>
      <c r="CO67" s="23"/>
      <c r="CS67" s="21"/>
      <c r="CW67" s="23"/>
      <c r="DA67" s="21"/>
      <c r="DE67" s="23"/>
      <c r="DI67" s="21"/>
      <c r="DM67" s="23"/>
    </row>
    <row r="68" spans="73:117">
      <c r="BU68" s="23"/>
      <c r="BX68" s="21"/>
      <c r="CA68" s="23"/>
      <c r="CD68" s="21"/>
      <c r="CK68" s="21"/>
      <c r="CO68" s="23"/>
      <c r="CS68" s="21"/>
      <c r="CW68" s="23"/>
      <c r="DA68" s="21"/>
      <c r="DE68" s="23"/>
      <c r="DI68" s="21"/>
      <c r="DM68" s="23"/>
    </row>
    <row r="69" spans="73:117">
      <c r="BU69" s="23"/>
      <c r="BX69" s="21"/>
      <c r="CA69" s="23"/>
      <c r="CD69" s="21"/>
      <c r="CK69" s="21"/>
      <c r="CO69" s="23"/>
      <c r="CS69" s="21"/>
      <c r="CW69" s="23"/>
      <c r="DA69" s="21"/>
      <c r="DE69" s="23"/>
      <c r="DI69" s="21"/>
      <c r="DM69" s="23"/>
    </row>
    <row r="70" spans="73:117">
      <c r="BU70" s="23"/>
      <c r="BX70" s="21"/>
      <c r="CA70" s="23"/>
      <c r="CD70" s="21"/>
      <c r="CK70" s="21"/>
      <c r="CO70" s="23"/>
      <c r="CS70" s="21"/>
      <c r="CW70" s="23"/>
      <c r="DA70" s="21"/>
      <c r="DE70" s="23"/>
      <c r="DI70" s="21"/>
      <c r="DM70" s="23"/>
    </row>
    <row r="71" spans="73:117">
      <c r="BU71" s="23"/>
      <c r="BX71" s="21"/>
      <c r="CA71" s="23"/>
      <c r="CD71" s="21"/>
      <c r="CK71" s="21"/>
      <c r="CO71" s="23"/>
      <c r="CS71" s="21"/>
      <c r="CW71" s="23"/>
      <c r="DA71" s="21"/>
      <c r="DE71" s="23"/>
      <c r="DI71" s="21"/>
      <c r="DM71" s="23"/>
    </row>
    <row r="72" spans="73:117">
      <c r="BU72" s="23"/>
      <c r="BX72" s="21"/>
      <c r="CA72" s="23"/>
      <c r="CD72" s="21"/>
      <c r="CK72" s="21"/>
      <c r="CO72" s="23"/>
      <c r="CS72" s="21"/>
      <c r="CW72" s="23"/>
      <c r="DA72" s="21"/>
      <c r="DE72" s="23"/>
      <c r="DI72" s="21"/>
      <c r="DM72" s="23"/>
    </row>
    <row r="73" spans="73:117">
      <c r="BU73" s="23"/>
      <c r="BX73" s="21"/>
      <c r="CA73" s="23"/>
      <c r="CD73" s="21"/>
      <c r="CK73" s="21"/>
      <c r="CO73" s="23"/>
      <c r="CS73" s="21"/>
      <c r="CW73" s="23"/>
      <c r="DA73" s="21"/>
      <c r="DE73" s="23"/>
      <c r="DI73" s="21"/>
      <c r="DM73" s="23"/>
    </row>
    <row r="74" spans="73:117">
      <c r="BU74" s="23"/>
      <c r="BX74" s="21"/>
      <c r="CA74" s="23"/>
      <c r="CD74" s="21"/>
      <c r="CK74" s="21"/>
      <c r="CO74" s="23"/>
      <c r="CS74" s="21"/>
      <c r="CW74" s="23"/>
      <c r="DA74" s="21"/>
      <c r="DE74" s="23"/>
      <c r="DI74" s="21"/>
      <c r="DM74" s="23"/>
    </row>
    <row r="75" spans="73:117">
      <c r="BU75" s="23"/>
      <c r="BX75" s="21"/>
      <c r="CA75" s="23"/>
      <c r="CD75" s="21"/>
      <c r="CK75" s="21"/>
      <c r="CO75" s="23"/>
      <c r="CS75" s="21"/>
      <c r="CW75" s="23"/>
      <c r="DA75" s="21"/>
      <c r="DE75" s="23"/>
      <c r="DI75" s="21"/>
      <c r="DM75" s="23"/>
    </row>
    <row r="76" spans="73:117">
      <c r="BU76" s="23"/>
      <c r="BX76" s="21"/>
      <c r="CA76" s="23"/>
      <c r="CD76" s="21"/>
      <c r="CK76" s="21"/>
      <c r="CO76" s="23"/>
      <c r="CS76" s="21"/>
      <c r="CW76" s="23"/>
      <c r="DA76" s="21"/>
      <c r="DE76" s="23"/>
      <c r="DI76" s="21"/>
      <c r="DM76" s="23"/>
    </row>
    <row r="77" spans="73:117">
      <c r="BU77" s="23"/>
      <c r="BX77" s="21"/>
      <c r="CA77" s="23"/>
      <c r="CD77" s="21"/>
      <c r="CK77" s="21"/>
      <c r="CO77" s="23"/>
      <c r="CS77" s="21"/>
      <c r="CW77" s="23"/>
      <c r="DA77" s="21"/>
      <c r="DE77" s="23"/>
      <c r="DI77" s="21"/>
      <c r="DM77" s="23"/>
    </row>
    <row r="78" spans="73:117">
      <c r="BU78" s="23"/>
      <c r="BX78" s="21"/>
      <c r="CA78" s="23"/>
      <c r="CD78" s="21"/>
      <c r="CK78" s="21"/>
      <c r="CO78" s="23"/>
      <c r="CS78" s="21"/>
      <c r="CW78" s="23"/>
      <c r="DA78" s="21"/>
      <c r="DE78" s="23"/>
      <c r="DI78" s="21"/>
      <c r="DM78" s="23"/>
    </row>
    <row r="79" spans="73:117">
      <c r="BU79" s="23"/>
      <c r="BX79" s="21"/>
      <c r="CA79" s="23"/>
      <c r="CD79" s="21"/>
      <c r="CK79" s="21"/>
      <c r="CO79" s="23"/>
      <c r="CS79" s="21"/>
      <c r="CW79" s="23"/>
      <c r="DA79" s="21"/>
      <c r="DE79" s="23"/>
      <c r="DI79" s="21"/>
      <c r="DM79" s="23"/>
    </row>
    <row r="80" spans="73:117">
      <c r="BU80" s="23"/>
      <c r="BX80" s="21"/>
      <c r="CA80" s="23"/>
      <c r="CD80" s="21"/>
      <c r="CK80" s="21"/>
      <c r="CO80" s="23"/>
      <c r="CS80" s="21"/>
      <c r="CW80" s="23"/>
      <c r="DA80" s="21"/>
      <c r="DE80" s="23"/>
      <c r="DI80" s="21"/>
      <c r="DM80" s="23"/>
    </row>
    <row r="81" spans="73:117">
      <c r="BU81" s="23"/>
      <c r="BX81" s="21"/>
      <c r="CA81" s="23"/>
      <c r="CD81" s="21"/>
      <c r="CK81" s="21"/>
      <c r="CO81" s="23"/>
      <c r="CS81" s="21"/>
      <c r="CW81" s="23"/>
      <c r="DA81" s="21"/>
      <c r="DE81" s="23"/>
      <c r="DI81" s="21"/>
      <c r="DM81" s="23"/>
    </row>
    <row r="82" spans="73:117">
      <c r="BU82" s="23"/>
      <c r="BX82" s="21"/>
      <c r="CA82" s="23"/>
      <c r="CD82" s="21"/>
      <c r="CK82" s="21"/>
      <c r="CO82" s="23"/>
      <c r="CS82" s="21"/>
      <c r="CW82" s="23"/>
      <c r="DA82" s="21"/>
      <c r="DE82" s="23"/>
      <c r="DI82" s="21"/>
      <c r="DM82" s="23"/>
    </row>
    <row r="83" spans="73:117">
      <c r="BU83" s="23"/>
      <c r="BX83" s="21"/>
      <c r="CA83" s="23"/>
      <c r="CD83" s="21"/>
      <c r="CK83" s="21"/>
      <c r="CO83" s="23"/>
      <c r="CS83" s="21"/>
      <c r="CW83" s="23"/>
      <c r="DA83" s="21"/>
      <c r="DE83" s="23"/>
      <c r="DI83" s="21"/>
      <c r="DM83" s="23"/>
    </row>
    <row r="84" spans="73:117">
      <c r="BU84" s="23"/>
      <c r="BX84" s="21"/>
      <c r="CA84" s="23"/>
      <c r="CD84" s="21"/>
      <c r="CK84" s="21"/>
      <c r="CO84" s="23"/>
      <c r="CS84" s="21"/>
      <c r="CW84" s="23"/>
      <c r="DA84" s="21"/>
      <c r="DE84" s="23"/>
      <c r="DI84" s="21"/>
      <c r="DM84" s="23"/>
    </row>
    <row r="85" spans="73:117">
      <c r="BU85" s="23"/>
      <c r="BX85" s="21"/>
      <c r="CA85" s="23"/>
      <c r="CD85" s="21"/>
      <c r="CK85" s="21"/>
      <c r="CO85" s="23"/>
      <c r="CS85" s="21"/>
      <c r="CW85" s="23"/>
      <c r="DA85" s="21"/>
      <c r="DE85" s="23"/>
      <c r="DI85" s="21"/>
      <c r="DM85" s="23"/>
    </row>
    <row r="86" spans="73:117">
      <c r="BU86" s="23"/>
      <c r="BX86" s="21"/>
      <c r="CA86" s="23"/>
      <c r="CD86" s="21"/>
      <c r="CK86" s="21"/>
      <c r="CO86" s="23"/>
      <c r="CS86" s="21"/>
      <c r="CW86" s="23"/>
      <c r="DA86" s="21"/>
      <c r="DE86" s="23"/>
      <c r="DI86" s="21"/>
      <c r="DM86" s="23"/>
    </row>
    <row r="87" spans="73:117">
      <c r="BU87" s="23"/>
      <c r="BX87" s="21"/>
      <c r="CA87" s="23"/>
      <c r="CD87" s="21"/>
      <c r="CK87" s="21"/>
      <c r="CO87" s="23"/>
      <c r="CS87" s="21"/>
      <c r="CW87" s="23"/>
      <c r="DA87" s="21"/>
      <c r="DE87" s="23"/>
      <c r="DI87" s="21"/>
      <c r="DM87" s="23"/>
    </row>
    <row r="88" spans="73:117">
      <c r="BU88" s="23"/>
      <c r="BX88" s="21"/>
      <c r="CA88" s="23"/>
      <c r="CD88" s="21"/>
      <c r="CK88" s="21"/>
      <c r="CO88" s="23"/>
      <c r="CS88" s="21"/>
      <c r="CW88" s="23"/>
      <c r="DA88" s="21"/>
      <c r="DE88" s="23"/>
      <c r="DI88" s="21"/>
      <c r="DM88" s="23"/>
    </row>
    <row r="89" spans="73:117">
      <c r="BU89" s="23"/>
      <c r="BX89" s="21"/>
      <c r="CA89" s="23"/>
      <c r="CD89" s="21"/>
      <c r="CK89" s="21"/>
      <c r="CO89" s="23"/>
      <c r="CS89" s="21"/>
      <c r="CW89" s="23"/>
      <c r="DA89" s="21"/>
      <c r="DE89" s="23"/>
      <c r="DI89" s="21"/>
      <c r="DM89" s="23"/>
    </row>
    <row r="90" spans="73:117">
      <c r="BU90" s="23"/>
      <c r="BX90" s="21"/>
      <c r="CA90" s="23"/>
      <c r="CD90" s="21"/>
      <c r="CK90" s="21"/>
      <c r="CO90" s="23"/>
      <c r="CS90" s="21"/>
      <c r="CW90" s="23"/>
      <c r="DA90" s="21"/>
      <c r="DE90" s="23"/>
      <c r="DI90" s="21"/>
      <c r="DM90" s="23"/>
    </row>
    <row r="91" spans="73:117">
      <c r="BU91" s="23"/>
      <c r="BX91" s="21"/>
      <c r="CA91" s="23"/>
      <c r="CD91" s="21"/>
      <c r="CK91" s="21"/>
      <c r="CO91" s="23"/>
      <c r="CS91" s="21"/>
      <c r="CW91" s="23"/>
      <c r="DA91" s="21"/>
      <c r="DE91" s="23"/>
      <c r="DI91" s="21"/>
      <c r="DM91" s="23"/>
    </row>
    <row r="92" spans="73:117">
      <c r="BU92" s="23"/>
      <c r="BX92" s="21"/>
      <c r="CA92" s="23"/>
      <c r="CD92" s="21"/>
      <c r="CK92" s="21"/>
      <c r="CO92" s="23"/>
      <c r="CS92" s="21"/>
      <c r="CW92" s="23"/>
      <c r="DA92" s="21"/>
      <c r="DE92" s="23"/>
      <c r="DI92" s="21"/>
      <c r="DM92" s="23"/>
    </row>
    <row r="93" spans="73:117">
      <c r="BU93" s="23"/>
      <c r="BX93" s="21"/>
      <c r="CA93" s="23"/>
      <c r="CD93" s="21"/>
      <c r="CK93" s="21"/>
      <c r="CO93" s="23"/>
      <c r="CS93" s="21"/>
      <c r="CW93" s="23"/>
      <c r="DA93" s="21"/>
      <c r="DE93" s="23"/>
      <c r="DI93" s="21"/>
      <c r="DM93" s="23"/>
    </row>
    <row r="94" spans="73:117">
      <c r="BU94" s="23"/>
      <c r="BX94" s="21"/>
      <c r="CA94" s="23"/>
      <c r="CD94" s="21"/>
      <c r="CK94" s="21"/>
      <c r="CO94" s="23"/>
      <c r="CS94" s="21"/>
      <c r="CW94" s="23"/>
      <c r="DA94" s="21"/>
      <c r="DE94" s="23"/>
      <c r="DI94" s="21"/>
      <c r="DM94" s="23"/>
    </row>
    <row r="95" spans="73:117">
      <c r="BU95" s="23"/>
      <c r="BX95" s="21"/>
      <c r="CA95" s="23"/>
      <c r="CD95" s="21"/>
      <c r="CK95" s="21"/>
      <c r="CO95" s="23"/>
      <c r="CS95" s="21"/>
      <c r="CW95" s="23"/>
      <c r="DA95" s="21"/>
      <c r="DE95" s="23"/>
      <c r="DI95" s="21"/>
      <c r="DM95" s="23"/>
    </row>
    <row r="96" spans="73:117">
      <c r="BU96" s="23"/>
      <c r="BX96" s="21"/>
      <c r="CA96" s="23"/>
      <c r="CD96" s="21"/>
      <c r="CK96" s="21"/>
      <c r="CO96" s="23"/>
      <c r="CS96" s="21"/>
      <c r="CW96" s="23"/>
      <c r="DA96" s="21"/>
      <c r="DE96" s="23"/>
      <c r="DI96" s="21"/>
      <c r="DM96" s="23"/>
    </row>
    <row r="97" spans="73:117">
      <c r="BU97" s="23"/>
      <c r="BX97" s="21"/>
      <c r="CA97" s="23"/>
      <c r="CD97" s="21"/>
      <c r="CK97" s="21"/>
      <c r="CO97" s="23"/>
      <c r="CS97" s="21"/>
      <c r="CW97" s="23"/>
      <c r="DA97" s="21"/>
      <c r="DE97" s="23"/>
      <c r="DI97" s="21"/>
      <c r="DM97" s="23"/>
    </row>
    <row r="98" spans="73:117">
      <c r="BU98" s="23"/>
      <c r="BX98" s="21"/>
      <c r="CA98" s="23"/>
      <c r="CD98" s="21"/>
      <c r="CK98" s="21"/>
      <c r="CO98" s="23"/>
      <c r="CS98" s="21"/>
      <c r="CW98" s="23"/>
      <c r="DA98" s="21"/>
      <c r="DE98" s="23"/>
      <c r="DI98" s="21"/>
      <c r="DM98" s="23"/>
    </row>
    <row r="99" spans="73:117">
      <c r="BU99" s="23"/>
      <c r="BX99" s="21"/>
      <c r="CA99" s="23"/>
      <c r="CD99" s="21"/>
      <c r="CK99" s="21"/>
      <c r="CO99" s="23"/>
      <c r="CS99" s="21"/>
      <c r="CW99" s="23"/>
      <c r="DA99" s="21"/>
      <c r="DE99" s="23"/>
      <c r="DI99" s="21"/>
      <c r="DM99" s="23"/>
    </row>
    <row r="100" spans="73:117">
      <c r="BU100" s="23"/>
      <c r="BX100" s="21"/>
      <c r="CA100" s="23"/>
      <c r="CD100" s="21"/>
      <c r="CK100" s="21"/>
      <c r="CO100" s="23"/>
      <c r="CS100" s="21"/>
      <c r="CW100" s="23"/>
      <c r="DA100" s="21"/>
      <c r="DE100" s="23"/>
      <c r="DI100" s="21"/>
      <c r="DM100" s="23"/>
    </row>
    <row r="101" spans="73:117">
      <c r="BU101" s="23"/>
      <c r="BX101" s="21"/>
      <c r="CA101" s="23"/>
      <c r="CD101" s="21"/>
      <c r="CK101" s="21"/>
      <c r="CO101" s="23"/>
      <c r="CS101" s="21"/>
      <c r="CW101" s="23"/>
      <c r="DA101" s="21"/>
      <c r="DE101" s="23"/>
      <c r="DI101" s="21"/>
      <c r="DM101" s="23"/>
    </row>
    <row r="102" spans="73:117">
      <c r="BU102" s="23"/>
      <c r="BX102" s="21"/>
      <c r="CA102" s="23"/>
      <c r="CD102" s="21"/>
      <c r="CK102" s="21"/>
      <c r="CO102" s="23"/>
      <c r="CS102" s="21"/>
      <c r="CW102" s="23"/>
      <c r="DA102" s="21"/>
      <c r="DE102" s="23"/>
      <c r="DI102" s="21"/>
      <c r="DM102" s="23"/>
    </row>
    <row r="103" spans="73:117">
      <c r="BU103" s="23"/>
      <c r="BX103" s="21"/>
      <c r="CA103" s="23"/>
      <c r="CD103" s="21"/>
      <c r="CK103" s="21"/>
      <c r="CO103" s="23"/>
      <c r="CS103" s="21"/>
      <c r="CW103" s="23"/>
      <c r="DA103" s="21"/>
      <c r="DE103" s="23"/>
      <c r="DI103" s="21"/>
      <c r="DM103" s="23"/>
    </row>
    <row r="104" spans="73:117">
      <c r="BU104" s="23"/>
      <c r="BX104" s="21"/>
      <c r="CA104" s="23"/>
      <c r="CD104" s="21"/>
      <c r="CK104" s="21"/>
      <c r="CO104" s="23"/>
      <c r="CS104" s="21"/>
      <c r="CW104" s="23"/>
      <c r="DA104" s="21"/>
      <c r="DE104" s="23"/>
      <c r="DI104" s="21"/>
      <c r="DM104" s="23"/>
    </row>
    <row r="105" spans="73:117">
      <c r="BU105" s="23"/>
      <c r="BX105" s="21"/>
      <c r="CA105" s="23"/>
      <c r="CD105" s="21"/>
      <c r="CK105" s="21"/>
      <c r="CO105" s="23"/>
      <c r="CS105" s="21"/>
      <c r="CW105" s="23"/>
      <c r="DA105" s="21"/>
      <c r="DE105" s="23"/>
      <c r="DI105" s="21"/>
      <c r="DM105" s="23"/>
    </row>
    <row r="106" spans="73:117">
      <c r="BU106" s="23"/>
      <c r="BX106" s="21"/>
      <c r="CA106" s="23"/>
      <c r="CD106" s="21"/>
      <c r="CK106" s="21"/>
      <c r="CO106" s="23"/>
      <c r="CS106" s="21"/>
      <c r="CW106" s="23"/>
      <c r="DA106" s="21"/>
      <c r="DE106" s="23"/>
      <c r="DI106" s="21"/>
      <c r="DM106" s="23"/>
    </row>
    <row r="107" spans="73:117">
      <c r="BU107" s="23"/>
      <c r="BX107" s="21"/>
      <c r="CA107" s="23"/>
      <c r="CD107" s="21"/>
      <c r="CK107" s="21"/>
      <c r="CO107" s="23"/>
      <c r="CS107" s="21"/>
      <c r="CW107" s="23"/>
      <c r="DA107" s="21"/>
      <c r="DE107" s="23"/>
      <c r="DI107" s="21"/>
      <c r="DM107" s="23"/>
    </row>
    <row r="108" spans="73:117">
      <c r="BU108" s="23"/>
      <c r="BX108" s="21"/>
      <c r="CA108" s="23"/>
      <c r="CD108" s="21"/>
      <c r="CK108" s="21"/>
      <c r="CO108" s="23"/>
      <c r="CS108" s="21"/>
      <c r="CW108" s="23"/>
      <c r="DA108" s="21"/>
      <c r="DE108" s="23"/>
      <c r="DI108" s="21"/>
      <c r="DM108" s="23"/>
    </row>
    <row r="109" spans="73:117">
      <c r="BU109" s="23"/>
      <c r="BX109" s="21"/>
      <c r="CA109" s="23"/>
      <c r="CD109" s="21"/>
      <c r="CK109" s="21"/>
      <c r="CO109" s="23"/>
      <c r="CS109" s="21"/>
      <c r="CW109" s="23"/>
      <c r="DA109" s="21"/>
      <c r="DE109" s="23"/>
      <c r="DI109" s="21"/>
      <c r="DM109" s="23"/>
    </row>
    <row r="110" spans="73:117">
      <c r="BU110" s="23"/>
      <c r="BX110" s="21"/>
      <c r="CA110" s="23"/>
      <c r="CD110" s="21"/>
      <c r="CK110" s="21"/>
      <c r="CO110" s="23"/>
      <c r="CS110" s="21"/>
      <c r="CW110" s="23"/>
      <c r="DA110" s="21"/>
      <c r="DE110" s="23"/>
      <c r="DI110" s="21"/>
      <c r="DM110" s="23"/>
    </row>
    <row r="111" spans="73:117">
      <c r="BU111" s="23"/>
      <c r="BX111" s="21"/>
      <c r="CA111" s="23"/>
      <c r="CD111" s="21"/>
      <c r="CK111" s="21"/>
      <c r="CO111" s="23"/>
      <c r="CS111" s="21"/>
      <c r="CW111" s="23"/>
      <c r="DA111" s="21"/>
      <c r="DE111" s="23"/>
      <c r="DI111" s="21"/>
      <c r="DM111" s="23"/>
    </row>
    <row r="112" spans="73:117">
      <c r="BU112" s="23"/>
      <c r="BX112" s="21"/>
      <c r="CA112" s="23"/>
      <c r="CD112" s="21"/>
      <c r="CK112" s="21"/>
      <c r="CO112" s="23"/>
      <c r="CS112" s="21"/>
      <c r="CW112" s="23"/>
      <c r="DA112" s="21"/>
      <c r="DE112" s="23"/>
      <c r="DI112" s="21"/>
      <c r="DM112" s="23"/>
    </row>
    <row r="113" spans="73:117">
      <c r="BU113" s="23"/>
      <c r="BX113" s="21"/>
      <c r="CA113" s="23"/>
      <c r="CD113" s="21"/>
      <c r="CK113" s="21"/>
      <c r="CO113" s="23"/>
      <c r="CS113" s="21"/>
      <c r="CW113" s="23"/>
      <c r="DA113" s="21"/>
      <c r="DE113" s="23"/>
      <c r="DI113" s="21"/>
      <c r="DM113" s="23"/>
    </row>
    <row r="114" spans="73:117">
      <c r="BU114" s="23"/>
      <c r="BX114" s="21"/>
      <c r="CA114" s="23"/>
      <c r="CD114" s="21"/>
      <c r="CK114" s="21"/>
      <c r="CO114" s="23"/>
      <c r="CS114" s="21"/>
      <c r="CW114" s="23"/>
      <c r="DA114" s="21"/>
      <c r="DE114" s="23"/>
      <c r="DI114" s="21"/>
      <c r="DM114" s="23"/>
    </row>
    <row r="115" spans="73:117">
      <c r="BU115" s="23"/>
      <c r="BX115" s="21"/>
      <c r="CA115" s="23"/>
      <c r="CD115" s="21"/>
      <c r="CK115" s="21"/>
      <c r="CO115" s="23"/>
      <c r="CS115" s="21"/>
      <c r="CW115" s="23"/>
      <c r="DA115" s="21"/>
      <c r="DE115" s="23"/>
      <c r="DI115" s="21"/>
      <c r="DM115" s="23"/>
    </row>
    <row r="116" spans="73:117">
      <c r="BU116" s="23"/>
      <c r="BX116" s="21"/>
      <c r="CA116" s="23"/>
      <c r="CD116" s="21"/>
      <c r="CK116" s="21"/>
      <c r="CO116" s="23"/>
      <c r="CS116" s="21"/>
      <c r="CW116" s="23"/>
      <c r="DA116" s="21"/>
      <c r="DE116" s="23"/>
      <c r="DI116" s="21"/>
      <c r="DM116" s="23"/>
    </row>
    <row r="117" spans="73:117">
      <c r="BU117" s="23"/>
      <c r="BX117" s="21"/>
      <c r="CA117" s="23"/>
      <c r="CD117" s="21"/>
      <c r="CK117" s="21"/>
      <c r="CO117" s="23"/>
      <c r="CS117" s="21"/>
      <c r="CW117" s="23"/>
      <c r="DA117" s="21"/>
      <c r="DE117" s="23"/>
      <c r="DI117" s="21"/>
      <c r="DM117" s="23"/>
    </row>
    <row r="118" spans="73:117">
      <c r="BU118" s="23"/>
      <c r="BX118" s="21"/>
      <c r="CA118" s="23"/>
      <c r="CD118" s="21"/>
      <c r="CK118" s="21"/>
      <c r="CO118" s="23"/>
      <c r="CS118" s="21"/>
      <c r="CW118" s="23"/>
      <c r="DA118" s="21"/>
      <c r="DE118" s="23"/>
      <c r="DI118" s="21"/>
      <c r="DM118" s="23"/>
    </row>
    <row r="119" spans="73:117">
      <c r="BU119" s="23"/>
      <c r="BX119" s="21"/>
      <c r="CA119" s="23"/>
      <c r="CD119" s="21"/>
      <c r="CK119" s="21"/>
      <c r="CO119" s="23"/>
      <c r="CS119" s="21"/>
      <c r="CW119" s="23"/>
      <c r="DA119" s="21"/>
      <c r="DE119" s="23"/>
      <c r="DI119" s="21"/>
      <c r="DM119" s="23"/>
    </row>
    <row r="120" spans="73:117">
      <c r="BU120" s="23"/>
      <c r="BX120" s="21"/>
      <c r="CA120" s="23"/>
      <c r="CD120" s="21"/>
      <c r="CK120" s="21"/>
      <c r="CO120" s="23"/>
      <c r="CS120" s="21"/>
      <c r="CW120" s="23"/>
      <c r="DA120" s="21"/>
      <c r="DE120" s="23"/>
      <c r="DI120" s="21"/>
      <c r="DM120" s="23"/>
    </row>
    <row r="121" spans="73:117">
      <c r="BU121" s="23"/>
      <c r="BX121" s="21"/>
      <c r="CA121" s="23"/>
      <c r="CD121" s="21"/>
      <c r="CK121" s="21"/>
      <c r="CO121" s="23"/>
      <c r="CS121" s="21"/>
      <c r="CW121" s="23"/>
      <c r="DA121" s="21"/>
      <c r="DE121" s="23"/>
      <c r="DI121" s="21"/>
      <c r="DM121" s="23"/>
    </row>
    <row r="122" spans="73:117">
      <c r="BU122" s="23"/>
      <c r="BX122" s="21"/>
      <c r="CA122" s="23"/>
      <c r="CD122" s="21"/>
      <c r="CK122" s="21"/>
      <c r="CO122" s="23"/>
      <c r="CS122" s="21"/>
      <c r="CW122" s="23"/>
      <c r="DA122" s="21"/>
      <c r="DE122" s="23"/>
      <c r="DI122" s="21"/>
      <c r="DM122" s="23"/>
    </row>
    <row r="123" spans="73:117">
      <c r="BU123" s="23"/>
      <c r="BX123" s="21"/>
      <c r="CA123" s="23"/>
      <c r="CD123" s="21"/>
      <c r="CK123" s="21"/>
      <c r="CO123" s="23"/>
      <c r="CS123" s="21"/>
      <c r="CW123" s="23"/>
      <c r="DA123" s="21"/>
      <c r="DE123" s="23"/>
      <c r="DI123" s="21"/>
      <c r="DM123" s="23"/>
    </row>
    <row r="124" spans="73:117">
      <c r="BU124" s="23"/>
      <c r="BX124" s="21"/>
      <c r="CA124" s="23"/>
      <c r="CD124" s="21"/>
      <c r="CK124" s="21"/>
      <c r="CO124" s="23"/>
      <c r="CS124" s="21"/>
      <c r="CW124" s="23"/>
      <c r="DA124" s="21"/>
      <c r="DE124" s="23"/>
      <c r="DI124" s="21"/>
      <c r="DM124" s="23"/>
    </row>
    <row r="125" spans="73:117">
      <c r="BU125" s="23"/>
      <c r="BX125" s="21"/>
      <c r="CA125" s="23"/>
      <c r="CD125" s="21"/>
      <c r="CK125" s="21"/>
      <c r="CO125" s="23"/>
      <c r="CS125" s="21"/>
      <c r="CW125" s="23"/>
      <c r="DA125" s="21"/>
      <c r="DE125" s="23"/>
      <c r="DI125" s="21"/>
      <c r="DM125" s="23"/>
    </row>
    <row r="126" spans="73:117">
      <c r="BU126" s="23"/>
      <c r="BX126" s="21"/>
      <c r="CA126" s="23"/>
      <c r="CD126" s="21"/>
      <c r="CK126" s="21"/>
      <c r="CO126" s="23"/>
      <c r="CS126" s="21"/>
      <c r="CW126" s="23"/>
      <c r="DA126" s="21"/>
      <c r="DE126" s="23"/>
      <c r="DI126" s="21"/>
      <c r="DM126" s="23"/>
    </row>
    <row r="127" spans="73:117">
      <c r="BU127" s="23"/>
      <c r="BX127" s="21"/>
      <c r="CA127" s="23"/>
      <c r="CD127" s="21"/>
      <c r="CK127" s="21"/>
      <c r="CO127" s="23"/>
      <c r="CS127" s="21"/>
      <c r="CW127" s="23"/>
      <c r="DA127" s="21"/>
      <c r="DE127" s="23"/>
      <c r="DI127" s="21"/>
      <c r="DM127" s="23"/>
    </row>
    <row r="128" spans="73:117">
      <c r="BU128" s="23"/>
      <c r="BX128" s="21"/>
      <c r="CA128" s="23"/>
      <c r="CD128" s="21"/>
      <c r="CK128" s="21"/>
      <c r="CO128" s="23"/>
      <c r="CS128" s="21"/>
      <c r="CW128" s="23"/>
      <c r="DA128" s="21"/>
      <c r="DE128" s="23"/>
      <c r="DI128" s="21"/>
      <c r="DM128" s="23"/>
    </row>
    <row r="129" spans="73:117">
      <c r="BU129" s="23"/>
      <c r="BX129" s="21"/>
      <c r="CA129" s="23"/>
      <c r="CD129" s="21"/>
      <c r="CK129" s="21"/>
      <c r="CO129" s="23"/>
      <c r="CS129" s="21"/>
      <c r="CW129" s="23"/>
      <c r="DA129" s="21"/>
      <c r="DE129" s="23"/>
      <c r="DI129" s="21"/>
      <c r="DM129" s="23"/>
    </row>
    <row r="130" spans="73:117">
      <c r="BU130" s="23"/>
      <c r="BX130" s="21"/>
      <c r="CA130" s="23"/>
      <c r="CD130" s="21"/>
      <c r="CK130" s="21"/>
      <c r="CO130" s="23"/>
      <c r="CS130" s="21"/>
      <c r="CW130" s="23"/>
      <c r="DA130" s="21"/>
      <c r="DE130" s="23"/>
      <c r="DI130" s="21"/>
      <c r="DM130" s="23"/>
    </row>
    <row r="131" spans="73:117">
      <c r="BU131" s="23"/>
      <c r="BX131" s="21"/>
      <c r="CA131" s="23"/>
      <c r="CD131" s="21"/>
      <c r="CK131" s="21"/>
      <c r="CO131" s="23"/>
      <c r="CS131" s="21"/>
      <c r="CW131" s="23"/>
      <c r="DA131" s="21"/>
      <c r="DE131" s="23"/>
      <c r="DI131" s="21"/>
      <c r="DM131" s="23"/>
    </row>
    <row r="132" spans="73:117">
      <c r="BU132" s="23"/>
      <c r="BX132" s="21"/>
      <c r="CA132" s="23"/>
      <c r="CD132" s="21"/>
      <c r="CK132" s="21"/>
      <c r="CO132" s="23"/>
      <c r="CS132" s="21"/>
      <c r="CW132" s="23"/>
      <c r="DA132" s="21"/>
      <c r="DE132" s="23"/>
      <c r="DI132" s="21"/>
      <c r="DM132" s="23"/>
    </row>
    <row r="133" spans="73:117">
      <c r="BU133" s="23"/>
      <c r="BX133" s="21"/>
      <c r="CA133" s="23"/>
      <c r="CD133" s="21"/>
      <c r="CK133" s="21"/>
      <c r="CO133" s="23"/>
      <c r="CS133" s="21"/>
      <c r="CW133" s="23"/>
      <c r="DA133" s="21"/>
      <c r="DE133" s="23"/>
      <c r="DI133" s="21"/>
      <c r="DM133" s="23"/>
    </row>
    <row r="134" spans="73:117">
      <c r="BU134" s="23"/>
      <c r="BX134" s="21"/>
      <c r="CA134" s="23"/>
      <c r="CD134" s="21"/>
      <c r="CK134" s="21"/>
      <c r="CO134" s="23"/>
      <c r="CS134" s="21"/>
      <c r="CW134" s="23"/>
      <c r="DA134" s="21"/>
      <c r="DE134" s="23"/>
      <c r="DI134" s="21"/>
      <c r="DM134" s="23"/>
    </row>
    <row r="135" spans="73:117">
      <c r="BU135" s="23"/>
      <c r="BX135" s="21"/>
      <c r="CA135" s="23"/>
      <c r="CD135" s="21"/>
      <c r="CK135" s="21"/>
      <c r="CO135" s="23"/>
      <c r="CS135" s="21"/>
      <c r="CW135" s="23"/>
      <c r="DA135" s="21"/>
      <c r="DE135" s="23"/>
      <c r="DI135" s="21"/>
      <c r="DM135" s="23"/>
    </row>
    <row r="136" spans="73:117">
      <c r="BU136" s="23"/>
      <c r="BX136" s="21"/>
      <c r="CA136" s="23"/>
      <c r="CD136" s="21"/>
      <c r="CK136" s="21"/>
      <c r="CO136" s="23"/>
      <c r="CS136" s="21"/>
      <c r="CW136" s="23"/>
      <c r="DA136" s="21"/>
      <c r="DE136" s="23"/>
      <c r="DI136" s="21"/>
      <c r="DM136" s="23"/>
    </row>
    <row r="137" spans="73:117">
      <c r="BU137" s="23"/>
      <c r="BX137" s="21"/>
      <c r="CA137" s="23"/>
      <c r="CD137" s="21"/>
      <c r="CK137" s="21"/>
      <c r="CO137" s="23"/>
      <c r="CS137" s="21"/>
      <c r="CW137" s="23"/>
      <c r="DA137" s="21"/>
      <c r="DE137" s="23"/>
      <c r="DI137" s="21"/>
      <c r="DM137" s="23"/>
    </row>
    <row r="138" spans="73:117">
      <c r="BU138" s="23"/>
      <c r="BX138" s="21"/>
      <c r="CA138" s="23"/>
      <c r="CD138" s="21"/>
      <c r="CK138" s="21"/>
      <c r="CO138" s="23"/>
      <c r="CS138" s="21"/>
      <c r="CW138" s="23"/>
      <c r="DA138" s="21"/>
      <c r="DE138" s="23"/>
      <c r="DI138" s="21"/>
      <c r="DM138" s="23"/>
    </row>
    <row r="139" spans="73:117">
      <c r="BU139" s="23"/>
      <c r="BX139" s="21"/>
      <c r="CA139" s="23"/>
      <c r="CD139" s="21"/>
      <c r="CK139" s="21"/>
      <c r="CO139" s="23"/>
      <c r="CS139" s="21"/>
      <c r="CW139" s="23"/>
      <c r="DA139" s="21"/>
      <c r="DE139" s="23"/>
      <c r="DI139" s="21"/>
      <c r="DM139" s="23"/>
    </row>
    <row r="140" spans="73:117">
      <c r="BU140" s="23"/>
      <c r="BX140" s="21"/>
      <c r="CA140" s="23"/>
      <c r="CD140" s="21"/>
      <c r="CK140" s="21"/>
      <c r="CO140" s="23"/>
      <c r="CS140" s="21"/>
      <c r="CW140" s="23"/>
      <c r="DA140" s="21"/>
      <c r="DE140" s="23"/>
      <c r="DI140" s="21"/>
      <c r="DM140" s="23"/>
    </row>
    <row r="141" spans="73:117">
      <c r="BU141" s="23"/>
      <c r="BX141" s="21"/>
      <c r="CA141" s="23"/>
      <c r="CD141" s="21"/>
      <c r="CK141" s="21"/>
      <c r="CO141" s="23"/>
      <c r="CS141" s="21"/>
      <c r="CW141" s="23"/>
      <c r="DA141" s="21"/>
      <c r="DE141" s="23"/>
      <c r="DI141" s="21"/>
      <c r="DM141" s="23"/>
    </row>
    <row r="142" spans="73:117">
      <c r="BU142" s="23"/>
      <c r="BX142" s="21"/>
      <c r="CA142" s="23"/>
      <c r="CD142" s="21"/>
      <c r="CK142" s="21"/>
      <c r="CO142" s="23"/>
      <c r="CS142" s="21"/>
      <c r="CW142" s="23"/>
      <c r="DA142" s="21"/>
      <c r="DE142" s="23"/>
      <c r="DI142" s="21"/>
      <c r="DM142" s="23"/>
    </row>
    <row r="143" spans="73:117">
      <c r="BU143" s="23"/>
      <c r="BX143" s="21"/>
      <c r="CA143" s="23"/>
      <c r="CD143" s="21"/>
      <c r="CK143" s="21"/>
      <c r="CO143" s="23"/>
      <c r="CS143" s="21"/>
      <c r="CW143" s="23"/>
      <c r="DA143" s="21"/>
      <c r="DE143" s="23"/>
      <c r="DI143" s="21"/>
      <c r="DM143" s="23"/>
    </row>
    <row r="144" spans="73:117">
      <c r="BU144" s="23"/>
      <c r="BX144" s="21"/>
      <c r="CA144" s="23"/>
      <c r="CD144" s="21"/>
      <c r="CK144" s="21"/>
      <c r="CO144" s="23"/>
      <c r="CS144" s="21"/>
      <c r="CW144" s="23"/>
      <c r="DA144" s="21"/>
      <c r="DE144" s="23"/>
      <c r="DI144" s="21"/>
      <c r="DM144" s="23"/>
    </row>
    <row r="145" spans="73:117">
      <c r="BU145" s="23"/>
      <c r="BX145" s="21"/>
      <c r="CA145" s="23"/>
      <c r="CD145" s="21"/>
      <c r="CK145" s="21"/>
      <c r="CO145" s="23"/>
      <c r="CS145" s="21"/>
      <c r="CW145" s="23"/>
      <c r="DA145" s="21"/>
      <c r="DE145" s="23"/>
      <c r="DI145" s="21"/>
      <c r="DM145" s="23"/>
    </row>
    <row r="146" spans="73:117">
      <c r="BU146" s="23"/>
      <c r="BX146" s="21"/>
      <c r="CA146" s="23"/>
      <c r="CD146" s="21"/>
      <c r="CK146" s="21"/>
      <c r="CO146" s="23"/>
      <c r="CS146" s="21"/>
      <c r="CW146" s="23"/>
      <c r="DA146" s="21"/>
      <c r="DE146" s="23"/>
      <c r="DI146" s="21"/>
      <c r="DM146" s="23"/>
    </row>
    <row r="147" spans="73:117">
      <c r="BU147" s="23"/>
      <c r="BX147" s="21"/>
      <c r="CA147" s="23"/>
      <c r="CD147" s="21"/>
      <c r="CK147" s="21"/>
      <c r="CO147" s="23"/>
      <c r="CS147" s="21"/>
      <c r="CW147" s="23"/>
      <c r="DA147" s="21"/>
      <c r="DE147" s="23"/>
      <c r="DI147" s="21"/>
      <c r="DM147" s="23"/>
    </row>
    <row r="148" spans="73:117">
      <c r="BU148" s="23"/>
      <c r="BX148" s="21"/>
      <c r="CA148" s="23"/>
      <c r="CD148" s="21"/>
      <c r="CK148" s="21"/>
      <c r="CO148" s="23"/>
      <c r="CS148" s="21"/>
      <c r="CW148" s="23"/>
      <c r="DA148" s="21"/>
      <c r="DE148" s="23"/>
      <c r="DI148" s="21"/>
      <c r="DM148" s="23"/>
    </row>
    <row r="149" spans="73:117">
      <c r="BU149" s="23"/>
      <c r="BX149" s="21"/>
      <c r="CA149" s="23"/>
      <c r="CD149" s="21"/>
      <c r="CK149" s="21"/>
      <c r="CO149" s="23"/>
      <c r="CS149" s="21"/>
      <c r="CW149" s="23"/>
      <c r="DA149" s="21"/>
      <c r="DE149" s="23"/>
      <c r="DI149" s="21"/>
      <c r="DM149" s="23"/>
    </row>
    <row r="150" spans="73:117">
      <c r="BU150" s="23"/>
      <c r="BX150" s="21"/>
      <c r="CA150" s="23"/>
      <c r="CD150" s="21"/>
      <c r="CK150" s="21"/>
      <c r="CO150" s="23"/>
      <c r="CS150" s="21"/>
      <c r="CW150" s="23"/>
      <c r="DA150" s="21"/>
      <c r="DE150" s="23"/>
      <c r="DI150" s="21"/>
      <c r="DM150" s="23"/>
    </row>
    <row r="151" spans="73:117">
      <c r="BU151" s="23"/>
      <c r="BX151" s="21"/>
      <c r="CA151" s="23"/>
      <c r="CD151" s="21"/>
      <c r="CK151" s="21"/>
      <c r="CO151" s="23"/>
      <c r="CS151" s="21"/>
      <c r="CW151" s="23"/>
      <c r="DA151" s="21"/>
      <c r="DE151" s="23"/>
      <c r="DI151" s="21"/>
      <c r="DM151" s="23"/>
    </row>
    <row r="152" spans="73:117">
      <c r="BU152" s="23"/>
      <c r="BX152" s="21"/>
      <c r="CA152" s="23"/>
      <c r="CD152" s="21"/>
      <c r="CK152" s="21"/>
      <c r="CO152" s="23"/>
      <c r="CS152" s="21"/>
      <c r="CW152" s="23"/>
      <c r="DA152" s="21"/>
      <c r="DE152" s="23"/>
      <c r="DI152" s="21"/>
      <c r="DM152" s="23"/>
    </row>
    <row r="153" spans="73:117">
      <c r="BU153" s="23"/>
      <c r="BX153" s="21"/>
      <c r="CA153" s="23"/>
      <c r="CD153" s="21"/>
      <c r="CK153" s="21"/>
      <c r="CO153" s="23"/>
      <c r="CS153" s="21"/>
      <c r="CW153" s="23"/>
      <c r="DA153" s="21"/>
      <c r="DE153" s="23"/>
      <c r="DI153" s="21"/>
      <c r="DM153" s="23"/>
    </row>
    <row r="154" spans="73:117">
      <c r="BU154" s="23"/>
      <c r="BX154" s="21"/>
      <c r="CA154" s="23"/>
      <c r="CD154" s="21"/>
      <c r="CK154" s="21"/>
      <c r="CO154" s="23"/>
      <c r="CS154" s="21"/>
      <c r="CW154" s="23"/>
      <c r="DA154" s="21"/>
      <c r="DE154" s="23"/>
      <c r="DI154" s="21"/>
      <c r="DM154" s="23"/>
    </row>
    <row r="155" spans="73:117">
      <c r="BU155" s="23"/>
      <c r="BX155" s="21"/>
      <c r="CA155" s="23"/>
      <c r="CD155" s="21"/>
      <c r="CK155" s="21"/>
      <c r="CO155" s="23"/>
      <c r="CS155" s="21"/>
      <c r="CW155" s="23"/>
      <c r="DA155" s="21"/>
      <c r="DE155" s="23"/>
      <c r="DI155" s="21"/>
      <c r="DM155" s="23"/>
    </row>
    <row r="156" spans="73:117">
      <c r="BU156" s="23"/>
      <c r="BX156" s="21"/>
      <c r="CA156" s="23"/>
      <c r="CD156" s="21"/>
      <c r="CK156" s="21"/>
      <c r="CO156" s="23"/>
      <c r="CS156" s="21"/>
      <c r="CW156" s="23"/>
      <c r="DA156" s="21"/>
      <c r="DE156" s="23"/>
      <c r="DI156" s="21"/>
      <c r="DM156" s="23"/>
    </row>
    <row r="157" spans="73:117">
      <c r="BU157" s="23"/>
      <c r="BX157" s="21"/>
      <c r="CA157" s="23"/>
      <c r="CD157" s="21"/>
      <c r="CK157" s="21"/>
      <c r="CO157" s="23"/>
      <c r="CS157" s="21"/>
      <c r="CW157" s="23"/>
      <c r="DA157" s="21"/>
      <c r="DE157" s="23"/>
      <c r="DI157" s="21"/>
      <c r="DM157" s="23"/>
    </row>
    <row r="158" spans="73:117">
      <c r="BU158" s="23"/>
      <c r="BX158" s="21"/>
      <c r="CA158" s="23"/>
      <c r="CD158" s="21"/>
      <c r="CK158" s="21"/>
      <c r="CO158" s="23"/>
      <c r="CS158" s="21"/>
      <c r="CW158" s="23"/>
      <c r="DA158" s="21"/>
      <c r="DE158" s="23"/>
      <c r="DI158" s="21"/>
      <c r="DM158" s="23"/>
    </row>
    <row r="159" spans="73:117">
      <c r="BU159" s="23"/>
      <c r="BX159" s="21"/>
      <c r="CA159" s="23"/>
      <c r="CD159" s="21"/>
      <c r="CK159" s="21"/>
      <c r="CO159" s="23"/>
      <c r="CS159" s="21"/>
      <c r="CW159" s="23"/>
      <c r="DA159" s="21"/>
      <c r="DE159" s="23"/>
      <c r="DI159" s="21"/>
      <c r="DM159" s="23"/>
    </row>
    <row r="160" spans="73:117">
      <c r="BU160" s="23"/>
      <c r="BX160" s="21"/>
      <c r="CA160" s="23"/>
      <c r="CD160" s="21"/>
      <c r="CK160" s="21"/>
      <c r="CO160" s="23"/>
      <c r="CS160" s="21"/>
      <c r="CW160" s="23"/>
      <c r="DA160" s="21"/>
      <c r="DE160" s="23"/>
      <c r="DI160" s="21"/>
      <c r="DM160" s="23"/>
    </row>
    <row r="161" spans="73:117">
      <c r="BU161" s="23"/>
      <c r="BX161" s="21"/>
      <c r="CA161" s="23"/>
      <c r="CD161" s="21"/>
      <c r="CK161" s="21"/>
      <c r="CO161" s="23"/>
      <c r="CS161" s="21"/>
      <c r="CW161" s="23"/>
      <c r="DA161" s="21"/>
      <c r="DE161" s="23"/>
      <c r="DI161" s="21"/>
      <c r="DM161" s="23"/>
    </row>
    <row r="162" spans="73:117">
      <c r="BU162" s="23"/>
      <c r="BX162" s="21"/>
      <c r="CA162" s="23"/>
      <c r="CD162" s="21"/>
      <c r="CK162" s="21"/>
      <c r="CO162" s="23"/>
      <c r="CS162" s="21"/>
      <c r="CW162" s="23"/>
      <c r="DA162" s="21"/>
      <c r="DE162" s="23"/>
      <c r="DI162" s="21"/>
      <c r="DM162" s="23"/>
    </row>
    <row r="163" spans="73:117">
      <c r="BU163" s="23"/>
      <c r="BX163" s="21"/>
      <c r="CA163" s="23"/>
      <c r="CD163" s="21"/>
      <c r="CK163" s="21"/>
      <c r="CO163" s="23"/>
      <c r="CS163" s="21"/>
      <c r="CW163" s="23"/>
      <c r="DA163" s="21"/>
      <c r="DE163" s="23"/>
      <c r="DI163" s="21"/>
      <c r="DM163" s="23"/>
    </row>
    <row r="164" spans="73:117">
      <c r="BU164" s="23"/>
      <c r="BX164" s="21"/>
      <c r="CA164" s="23"/>
      <c r="CD164" s="21"/>
      <c r="CK164" s="21"/>
      <c r="CO164" s="23"/>
      <c r="CS164" s="21"/>
      <c r="CW164" s="23"/>
      <c r="DA164" s="21"/>
      <c r="DE164" s="23"/>
      <c r="DI164" s="21"/>
      <c r="DM164" s="23"/>
    </row>
    <row r="165" spans="73:117">
      <c r="BU165" s="23"/>
      <c r="BX165" s="21"/>
      <c r="CA165" s="23"/>
      <c r="CD165" s="21"/>
      <c r="CK165" s="21"/>
      <c r="CO165" s="23"/>
      <c r="CS165" s="21"/>
      <c r="CW165" s="23"/>
      <c r="DA165" s="21"/>
      <c r="DE165" s="23"/>
      <c r="DI165" s="21"/>
      <c r="DM165" s="23"/>
    </row>
    <row r="166" spans="73:117">
      <c r="BU166" s="23"/>
      <c r="BX166" s="21"/>
      <c r="CA166" s="23"/>
      <c r="CD166" s="21"/>
      <c r="CK166" s="21"/>
      <c r="CO166" s="23"/>
      <c r="CS166" s="21"/>
      <c r="CW166" s="23"/>
      <c r="DA166" s="21"/>
      <c r="DE166" s="23"/>
      <c r="DI166" s="21"/>
      <c r="DM166" s="23"/>
    </row>
    <row r="167" spans="73:117">
      <c r="BU167" s="23"/>
      <c r="BX167" s="21"/>
      <c r="CA167" s="23"/>
      <c r="CD167" s="21"/>
      <c r="CK167" s="21"/>
      <c r="CO167" s="23"/>
      <c r="CS167" s="21"/>
      <c r="CW167" s="23"/>
      <c r="DA167" s="21"/>
      <c r="DE167" s="23"/>
      <c r="DI167" s="21"/>
      <c r="DM167" s="23"/>
    </row>
    <row r="168" spans="73:117">
      <c r="BU168" s="23"/>
      <c r="BX168" s="21"/>
      <c r="CA168" s="23"/>
      <c r="CD168" s="21"/>
      <c r="CK168" s="21"/>
      <c r="CO168" s="23"/>
      <c r="CS168" s="21"/>
      <c r="CW168" s="23"/>
      <c r="DA168" s="21"/>
      <c r="DE168" s="23"/>
      <c r="DI168" s="21"/>
      <c r="DM168" s="23"/>
    </row>
    <row r="169" spans="73:117">
      <c r="BU169" s="23"/>
      <c r="BX169" s="21"/>
      <c r="CA169" s="23"/>
      <c r="CD169" s="21"/>
      <c r="CK169" s="21"/>
      <c r="CO169" s="23"/>
      <c r="CS169" s="21"/>
      <c r="CW169" s="23"/>
      <c r="DA169" s="21"/>
      <c r="DE169" s="23"/>
      <c r="DI169" s="21"/>
      <c r="DM169" s="23"/>
    </row>
    <row r="170" spans="73:117">
      <c r="BU170" s="23"/>
      <c r="BX170" s="21"/>
      <c r="CA170" s="23"/>
      <c r="CD170" s="21"/>
      <c r="CK170" s="21"/>
      <c r="CO170" s="23"/>
      <c r="CS170" s="21"/>
      <c r="CW170" s="23"/>
      <c r="DA170" s="21"/>
      <c r="DE170" s="23"/>
      <c r="DI170" s="21"/>
      <c r="DM170" s="23"/>
    </row>
    <row r="171" spans="73:117">
      <c r="BU171" s="23"/>
      <c r="BX171" s="21"/>
      <c r="CA171" s="23"/>
      <c r="CD171" s="21"/>
      <c r="CK171" s="21"/>
      <c r="CO171" s="23"/>
      <c r="CS171" s="21"/>
      <c r="CW171" s="23"/>
      <c r="DA171" s="21"/>
      <c r="DE171" s="23"/>
      <c r="DI171" s="21"/>
      <c r="DM171" s="23"/>
    </row>
    <row r="172" spans="73:117">
      <c r="BU172" s="23"/>
      <c r="BX172" s="21"/>
      <c r="CA172" s="23"/>
      <c r="CD172" s="21"/>
      <c r="CK172" s="21"/>
      <c r="CO172" s="23"/>
      <c r="CS172" s="21"/>
      <c r="CW172" s="23"/>
      <c r="DA172" s="21"/>
      <c r="DE172" s="23"/>
      <c r="DI172" s="21"/>
      <c r="DM172" s="23"/>
    </row>
    <row r="173" spans="73:117">
      <c r="BU173" s="23"/>
      <c r="BX173" s="21"/>
      <c r="CA173" s="23"/>
      <c r="CD173" s="21"/>
      <c r="CK173" s="21"/>
      <c r="CO173" s="23"/>
      <c r="CS173" s="21"/>
      <c r="CW173" s="23"/>
      <c r="DA173" s="21"/>
      <c r="DE173" s="23"/>
      <c r="DI173" s="21"/>
      <c r="DM173" s="23"/>
    </row>
    <row r="174" spans="73:117">
      <c r="BU174" s="23"/>
      <c r="BX174" s="21"/>
      <c r="CA174" s="23"/>
      <c r="CD174" s="21"/>
      <c r="CK174" s="21"/>
      <c r="CO174" s="23"/>
      <c r="CS174" s="21"/>
      <c r="CW174" s="23"/>
      <c r="DA174" s="21"/>
      <c r="DE174" s="23"/>
      <c r="DI174" s="21"/>
      <c r="DM174" s="23"/>
    </row>
    <row r="175" spans="73:117">
      <c r="BU175" s="23"/>
      <c r="BX175" s="21"/>
      <c r="CA175" s="23"/>
      <c r="CD175" s="21"/>
      <c r="CK175" s="21"/>
      <c r="CO175" s="23"/>
      <c r="CS175" s="21"/>
      <c r="CW175" s="23"/>
      <c r="DA175" s="21"/>
      <c r="DE175" s="23"/>
      <c r="DI175" s="21"/>
      <c r="DM175" s="23"/>
    </row>
    <row r="176" spans="73:117">
      <c r="BU176" s="23"/>
      <c r="BX176" s="21"/>
      <c r="CA176" s="23"/>
      <c r="CD176" s="21"/>
      <c r="CK176" s="21"/>
      <c r="CO176" s="23"/>
      <c r="CS176" s="21"/>
      <c r="CW176" s="23"/>
      <c r="DA176" s="21"/>
      <c r="DE176" s="23"/>
      <c r="DI176" s="21"/>
      <c r="DM176" s="23"/>
    </row>
    <row r="177" spans="73:117">
      <c r="BU177" s="23"/>
      <c r="BX177" s="21"/>
      <c r="CA177" s="23"/>
      <c r="CD177" s="21"/>
      <c r="CK177" s="21"/>
      <c r="CO177" s="23"/>
      <c r="CS177" s="21"/>
      <c r="CW177" s="23"/>
      <c r="DA177" s="21"/>
      <c r="DE177" s="23"/>
      <c r="DI177" s="21"/>
      <c r="DM177" s="23"/>
    </row>
    <row r="178" spans="73:117">
      <c r="BU178" s="23"/>
      <c r="BX178" s="21"/>
      <c r="CA178" s="23"/>
      <c r="CD178" s="21"/>
      <c r="CK178" s="21"/>
      <c r="CO178" s="23"/>
      <c r="CS178" s="21"/>
      <c r="CW178" s="23"/>
      <c r="DA178" s="21"/>
      <c r="DE178" s="23"/>
      <c r="DI178" s="21"/>
      <c r="DM178" s="23"/>
    </row>
    <row r="179" spans="73:117">
      <c r="BU179" s="23"/>
      <c r="BX179" s="21"/>
      <c r="CA179" s="23"/>
      <c r="CD179" s="21"/>
      <c r="CK179" s="21"/>
      <c r="CO179" s="23"/>
      <c r="CS179" s="21"/>
      <c r="CW179" s="23"/>
      <c r="DA179" s="21"/>
      <c r="DE179" s="23"/>
      <c r="DI179" s="21"/>
      <c r="DM179" s="23"/>
    </row>
    <row r="180" spans="73:117">
      <c r="BU180" s="23"/>
      <c r="BX180" s="21"/>
      <c r="CA180" s="23"/>
      <c r="CD180" s="21"/>
      <c r="CK180" s="21"/>
      <c r="CO180" s="23"/>
      <c r="CS180" s="21"/>
      <c r="CW180" s="23"/>
      <c r="DA180" s="21"/>
      <c r="DE180" s="23"/>
      <c r="DI180" s="21"/>
      <c r="DM180" s="23"/>
    </row>
    <row r="181" spans="73:117">
      <c r="BU181" s="23"/>
      <c r="BX181" s="21"/>
      <c r="CA181" s="23"/>
      <c r="CD181" s="21"/>
      <c r="CK181" s="21"/>
      <c r="CO181" s="23"/>
      <c r="CS181" s="21"/>
      <c r="CW181" s="23"/>
      <c r="DA181" s="21"/>
      <c r="DE181" s="23"/>
      <c r="DI181" s="21"/>
      <c r="DM181" s="23"/>
    </row>
    <row r="182" spans="73:117">
      <c r="BU182" s="23"/>
      <c r="BX182" s="21"/>
      <c r="CA182" s="23"/>
      <c r="CD182" s="21"/>
      <c r="CK182" s="21"/>
      <c r="CO182" s="23"/>
      <c r="CS182" s="21"/>
      <c r="CW182" s="23"/>
      <c r="DA182" s="21"/>
      <c r="DE182" s="23"/>
      <c r="DI182" s="21"/>
      <c r="DM182" s="23"/>
    </row>
    <row r="183" spans="73:117">
      <c r="BU183" s="23"/>
      <c r="BX183" s="21"/>
      <c r="CA183" s="23"/>
      <c r="CD183" s="21"/>
      <c r="CK183" s="21"/>
      <c r="CO183" s="23"/>
      <c r="CS183" s="21"/>
      <c r="CW183" s="23"/>
      <c r="DA183" s="21"/>
      <c r="DE183" s="23"/>
      <c r="DI183" s="21"/>
      <c r="DM183" s="23"/>
    </row>
    <row r="184" spans="73:117">
      <c r="BU184" s="23"/>
      <c r="BX184" s="21"/>
      <c r="CA184" s="23"/>
      <c r="CD184" s="21"/>
      <c r="CK184" s="21"/>
      <c r="CO184" s="23"/>
      <c r="CS184" s="21"/>
      <c r="CW184" s="23"/>
      <c r="DA184" s="21"/>
      <c r="DE184" s="23"/>
      <c r="DI184" s="21"/>
      <c r="DM184" s="23"/>
    </row>
    <row r="185" spans="73:117">
      <c r="BU185" s="23"/>
      <c r="BX185" s="21"/>
      <c r="CA185" s="23"/>
      <c r="CD185" s="21"/>
      <c r="CK185" s="21"/>
      <c r="CO185" s="23"/>
      <c r="CS185" s="21"/>
      <c r="CW185" s="23"/>
      <c r="DA185" s="21"/>
      <c r="DE185" s="23"/>
      <c r="DI185" s="21"/>
      <c r="DM185" s="23"/>
    </row>
    <row r="186" spans="73:117">
      <c r="BU186" s="23"/>
      <c r="BX186" s="21"/>
      <c r="CA186" s="23"/>
      <c r="CD186" s="21"/>
      <c r="CK186" s="21"/>
      <c r="CO186" s="23"/>
      <c r="CS186" s="21"/>
      <c r="CW186" s="23"/>
      <c r="DA186" s="21"/>
      <c r="DE186" s="23"/>
      <c r="DI186" s="21"/>
      <c r="DM186" s="23"/>
    </row>
    <row r="187" spans="73:117">
      <c r="BU187" s="23"/>
      <c r="BX187" s="21"/>
      <c r="CA187" s="23"/>
      <c r="CD187" s="21"/>
      <c r="CK187" s="21"/>
      <c r="CO187" s="23"/>
      <c r="CS187" s="21"/>
      <c r="CW187" s="23"/>
      <c r="DA187" s="21"/>
      <c r="DE187" s="23"/>
      <c r="DI187" s="21"/>
      <c r="DM187" s="23"/>
    </row>
    <row r="188" spans="73:117">
      <c r="BU188" s="23"/>
      <c r="BX188" s="21"/>
      <c r="CA188" s="23"/>
      <c r="CD188" s="21"/>
      <c r="CK188" s="21"/>
      <c r="CO188" s="23"/>
      <c r="CS188" s="21"/>
      <c r="CW188" s="23"/>
      <c r="DA188" s="21"/>
      <c r="DE188" s="23"/>
      <c r="DI188" s="21"/>
      <c r="DM188" s="23"/>
    </row>
    <row r="189" spans="73:117">
      <c r="BU189" s="23"/>
      <c r="BX189" s="21"/>
      <c r="CA189" s="23"/>
      <c r="CD189" s="21"/>
      <c r="CK189" s="21"/>
      <c r="CO189" s="23"/>
      <c r="CS189" s="21"/>
      <c r="CW189" s="23"/>
      <c r="DA189" s="21"/>
      <c r="DE189" s="23"/>
      <c r="DI189" s="21"/>
      <c r="DM189" s="23"/>
    </row>
    <row r="190" spans="73:117">
      <c r="BU190" s="23"/>
      <c r="BX190" s="21"/>
      <c r="CA190" s="23"/>
      <c r="CD190" s="21"/>
      <c r="CK190" s="21"/>
      <c r="CO190" s="23"/>
      <c r="CS190" s="21"/>
      <c r="CW190" s="23"/>
      <c r="DA190" s="21"/>
      <c r="DE190" s="23"/>
      <c r="DI190" s="21"/>
      <c r="DM190" s="23"/>
    </row>
    <row r="191" spans="73:117">
      <c r="BU191" s="23"/>
      <c r="BX191" s="21"/>
      <c r="CA191" s="23"/>
      <c r="CD191" s="21"/>
      <c r="CK191" s="21"/>
      <c r="CO191" s="23"/>
      <c r="CS191" s="21"/>
      <c r="CW191" s="23"/>
      <c r="DA191" s="21"/>
      <c r="DE191" s="23"/>
      <c r="DI191" s="21"/>
      <c r="DM191" s="23"/>
    </row>
    <row r="192" spans="73:117">
      <c r="BU192" s="23"/>
      <c r="BX192" s="21"/>
      <c r="CA192" s="23"/>
      <c r="CD192" s="21"/>
      <c r="CK192" s="21"/>
      <c r="CO192" s="23"/>
      <c r="CS192" s="21"/>
      <c r="CW192" s="23"/>
      <c r="DA192" s="21"/>
      <c r="DE192" s="23"/>
      <c r="DI192" s="21"/>
      <c r="DM192" s="23"/>
    </row>
    <row r="193" spans="73:117">
      <c r="BU193" s="23"/>
      <c r="BX193" s="21"/>
      <c r="CA193" s="23"/>
      <c r="CD193" s="21"/>
      <c r="CK193" s="21"/>
      <c r="CO193" s="23"/>
      <c r="CS193" s="21"/>
      <c r="CW193" s="23"/>
      <c r="DA193" s="21"/>
      <c r="DE193" s="23"/>
      <c r="DI193" s="21"/>
      <c r="DM193" s="23"/>
    </row>
    <row r="194" spans="73:117">
      <c r="BU194" s="23"/>
      <c r="BX194" s="21"/>
      <c r="CA194" s="23"/>
      <c r="CD194" s="21"/>
      <c r="CK194" s="21"/>
      <c r="CO194" s="23"/>
      <c r="CS194" s="21"/>
      <c r="CW194" s="23"/>
      <c r="DA194" s="21"/>
      <c r="DE194" s="23"/>
      <c r="DI194" s="21"/>
      <c r="DM194" s="23"/>
    </row>
    <row r="195" spans="73:117">
      <c r="BU195" s="23"/>
      <c r="BX195" s="21"/>
      <c r="CA195" s="23"/>
      <c r="CD195" s="21"/>
      <c r="CK195" s="21"/>
      <c r="CO195" s="23"/>
      <c r="CS195" s="21"/>
      <c r="CW195" s="23"/>
      <c r="DA195" s="21"/>
      <c r="DE195" s="23"/>
      <c r="DI195" s="21"/>
      <c r="DM195" s="23"/>
    </row>
    <row r="196" spans="73:117">
      <c r="BU196" s="23"/>
      <c r="BX196" s="21"/>
      <c r="CA196" s="23"/>
      <c r="CD196" s="21"/>
      <c r="CK196" s="21"/>
      <c r="CO196" s="23"/>
      <c r="CS196" s="21"/>
      <c r="CW196" s="23"/>
      <c r="DA196" s="21"/>
      <c r="DE196" s="23"/>
      <c r="DI196" s="21"/>
      <c r="DM196" s="23"/>
    </row>
    <row r="197" spans="73:117">
      <c r="BU197" s="23"/>
      <c r="BX197" s="21"/>
      <c r="CA197" s="23"/>
      <c r="CD197" s="21"/>
      <c r="CK197" s="21"/>
      <c r="CO197" s="23"/>
      <c r="CS197" s="21"/>
      <c r="CW197" s="23"/>
      <c r="DA197" s="21"/>
      <c r="DE197" s="23"/>
      <c r="DI197" s="21"/>
      <c r="DM197" s="23"/>
    </row>
    <row r="198" spans="73:117">
      <c r="BU198" s="23"/>
      <c r="BX198" s="21"/>
      <c r="CA198" s="23"/>
      <c r="CD198" s="21"/>
      <c r="CK198" s="21"/>
      <c r="CO198" s="23"/>
      <c r="CS198" s="21"/>
      <c r="CW198" s="23"/>
      <c r="DA198" s="21"/>
      <c r="DE198" s="23"/>
      <c r="DI198" s="21"/>
      <c r="DM198" s="23"/>
    </row>
    <row r="199" spans="73:117">
      <c r="BU199" s="23"/>
      <c r="BX199" s="21"/>
      <c r="CA199" s="23"/>
      <c r="CD199" s="21"/>
      <c r="CK199" s="21"/>
      <c r="CO199" s="23"/>
      <c r="CS199" s="21"/>
      <c r="CW199" s="23"/>
      <c r="DA199" s="21"/>
      <c r="DE199" s="23"/>
      <c r="DI199" s="21"/>
      <c r="DM199" s="23"/>
    </row>
    <row r="200" spans="73:117">
      <c r="BU200" s="23"/>
      <c r="BX200" s="21"/>
      <c r="CA200" s="23"/>
      <c r="CD200" s="21"/>
      <c r="CK200" s="21"/>
      <c r="CO200" s="23"/>
      <c r="CS200" s="21"/>
      <c r="CW200" s="23"/>
      <c r="DA200" s="21"/>
      <c r="DE200" s="23"/>
      <c r="DI200" s="21"/>
      <c r="DM200" s="23"/>
    </row>
    <row r="201" spans="73:117">
      <c r="BU201" s="23"/>
      <c r="BX201" s="21"/>
      <c r="CA201" s="23"/>
      <c r="CD201" s="21"/>
      <c r="CK201" s="21"/>
      <c r="CO201" s="23"/>
      <c r="CS201" s="21"/>
      <c r="CW201" s="23"/>
      <c r="DA201" s="21"/>
      <c r="DE201" s="23"/>
      <c r="DI201" s="21"/>
      <c r="DM201" s="23"/>
    </row>
    <row r="202" spans="73:117">
      <c r="BU202" s="23"/>
      <c r="BX202" s="21"/>
      <c r="CA202" s="23"/>
      <c r="CD202" s="21"/>
      <c r="CK202" s="21"/>
      <c r="CO202" s="23"/>
      <c r="CS202" s="21"/>
      <c r="CW202" s="23"/>
      <c r="DA202" s="21"/>
      <c r="DE202" s="23"/>
      <c r="DI202" s="21"/>
      <c r="DM202" s="23"/>
    </row>
    <row r="203" spans="73:117">
      <c r="BU203" s="23"/>
      <c r="BX203" s="21"/>
      <c r="CA203" s="23"/>
      <c r="CD203" s="21"/>
      <c r="CK203" s="21"/>
      <c r="CO203" s="23"/>
      <c r="CS203" s="21"/>
      <c r="CW203" s="23"/>
      <c r="DA203" s="21"/>
      <c r="DE203" s="23"/>
      <c r="DI203" s="21"/>
      <c r="DM203" s="23"/>
    </row>
    <row r="204" spans="73:117">
      <c r="BU204" s="23"/>
      <c r="BX204" s="21"/>
      <c r="CA204" s="23"/>
      <c r="CD204" s="21"/>
      <c r="CK204" s="21"/>
      <c r="CO204" s="23"/>
      <c r="CS204" s="21"/>
      <c r="CW204" s="23"/>
      <c r="DA204" s="21"/>
      <c r="DE204" s="23"/>
      <c r="DI204" s="21"/>
      <c r="DM204" s="23"/>
    </row>
    <row r="205" spans="73:117">
      <c r="BU205" s="23"/>
      <c r="BX205" s="21"/>
      <c r="CA205" s="23"/>
      <c r="CD205" s="21"/>
      <c r="CK205" s="21"/>
      <c r="CO205" s="23"/>
      <c r="CS205" s="21"/>
      <c r="CW205" s="23"/>
      <c r="DA205" s="21"/>
      <c r="DE205" s="23"/>
      <c r="DI205" s="21"/>
      <c r="DM205" s="23"/>
    </row>
    <row r="206" spans="73:117">
      <c r="BU206" s="23"/>
      <c r="BX206" s="21"/>
      <c r="CA206" s="23"/>
      <c r="CD206" s="21"/>
      <c r="CK206" s="21"/>
      <c r="CO206" s="23"/>
      <c r="CS206" s="21"/>
      <c r="CW206" s="23"/>
      <c r="DA206" s="21"/>
      <c r="DE206" s="23"/>
      <c r="DI206" s="21"/>
      <c r="DM206" s="23"/>
    </row>
    <row r="207" spans="73:117">
      <c r="BU207" s="23"/>
      <c r="BX207" s="21"/>
      <c r="CA207" s="23"/>
      <c r="CD207" s="21"/>
      <c r="CK207" s="21"/>
      <c r="CO207" s="23"/>
      <c r="CS207" s="21"/>
      <c r="CW207" s="23"/>
      <c r="DA207" s="21"/>
      <c r="DE207" s="23"/>
      <c r="DI207" s="21"/>
      <c r="DM207" s="23"/>
    </row>
    <row r="208" spans="73:117">
      <c r="BU208" s="23"/>
      <c r="BX208" s="21"/>
      <c r="CA208" s="23"/>
      <c r="CD208" s="21"/>
      <c r="CK208" s="21"/>
      <c r="CO208" s="23"/>
      <c r="CS208" s="21"/>
      <c r="CW208" s="23"/>
      <c r="DA208" s="21"/>
      <c r="DE208" s="23"/>
      <c r="DI208" s="21"/>
      <c r="DM208" s="23"/>
    </row>
    <row r="209" spans="73:117">
      <c r="BU209" s="23"/>
      <c r="BX209" s="21"/>
      <c r="CA209" s="23"/>
      <c r="CD209" s="21"/>
      <c r="CK209" s="21"/>
      <c r="CO209" s="23"/>
      <c r="CS209" s="21"/>
      <c r="CW209" s="23"/>
      <c r="DA209" s="21"/>
      <c r="DE209" s="23"/>
      <c r="DI209" s="21"/>
      <c r="DM209" s="23"/>
    </row>
    <row r="210" spans="73:117">
      <c r="BU210" s="23"/>
      <c r="BX210" s="21"/>
      <c r="CA210" s="23"/>
      <c r="CD210" s="21"/>
      <c r="CK210" s="21"/>
      <c r="CO210" s="23"/>
      <c r="CS210" s="21"/>
      <c r="CW210" s="23"/>
      <c r="DA210" s="21"/>
      <c r="DE210" s="23"/>
      <c r="DI210" s="21"/>
      <c r="DM210" s="23"/>
    </row>
    <row r="211" spans="73:117">
      <c r="BU211" s="23"/>
      <c r="BX211" s="21"/>
      <c r="CA211" s="23"/>
      <c r="CD211" s="21"/>
      <c r="CK211" s="21"/>
      <c r="CO211" s="23"/>
      <c r="CS211" s="21"/>
      <c r="CW211" s="23"/>
      <c r="DA211" s="21"/>
      <c r="DE211" s="23"/>
      <c r="DI211" s="21"/>
      <c r="DM211" s="23"/>
    </row>
    <row r="212" spans="73:117">
      <c r="BU212" s="23"/>
      <c r="BX212" s="21"/>
      <c r="CA212" s="23"/>
      <c r="CD212" s="21"/>
      <c r="CK212" s="21"/>
      <c r="CO212" s="23"/>
      <c r="CS212" s="21"/>
      <c r="CW212" s="23"/>
      <c r="DA212" s="21"/>
      <c r="DE212" s="23"/>
      <c r="DI212" s="21"/>
      <c r="DM212" s="23"/>
    </row>
    <row r="213" spans="73:117">
      <c r="BU213" s="23"/>
      <c r="BX213" s="21"/>
      <c r="CA213" s="23"/>
      <c r="CD213" s="21"/>
      <c r="CK213" s="21"/>
      <c r="CO213" s="23"/>
      <c r="CS213" s="21"/>
      <c r="CW213" s="23"/>
      <c r="DA213" s="21"/>
      <c r="DE213" s="23"/>
      <c r="DI213" s="21"/>
      <c r="DM213" s="23"/>
    </row>
    <row r="214" spans="73:117">
      <c r="BU214" s="23"/>
      <c r="BX214" s="21"/>
      <c r="CA214" s="23"/>
      <c r="CD214" s="21"/>
      <c r="CK214" s="21"/>
      <c r="CO214" s="23"/>
      <c r="CS214" s="21"/>
      <c r="CW214" s="23"/>
      <c r="DA214" s="21"/>
      <c r="DE214" s="23"/>
      <c r="DI214" s="21"/>
      <c r="DM214" s="23"/>
    </row>
    <row r="215" spans="73:117">
      <c r="BU215" s="23"/>
      <c r="BX215" s="21"/>
      <c r="CA215" s="23"/>
      <c r="CD215" s="21"/>
      <c r="CK215" s="21"/>
      <c r="CO215" s="23"/>
      <c r="CS215" s="21"/>
      <c r="CW215" s="23"/>
      <c r="DA215" s="21"/>
      <c r="DE215" s="23"/>
      <c r="DI215" s="21"/>
      <c r="DM215" s="23"/>
    </row>
    <row r="216" spans="73:117">
      <c r="BU216" s="23"/>
      <c r="BX216" s="21"/>
      <c r="CA216" s="23"/>
      <c r="CD216" s="21"/>
      <c r="CK216" s="21"/>
      <c r="CO216" s="23"/>
      <c r="CS216" s="21"/>
      <c r="CW216" s="23"/>
      <c r="DA216" s="21"/>
      <c r="DE216" s="23"/>
      <c r="DI216" s="21"/>
      <c r="DM216" s="23"/>
    </row>
    <row r="217" spans="73:117">
      <c r="BU217" s="23"/>
      <c r="BX217" s="21"/>
      <c r="CA217" s="23"/>
      <c r="CD217" s="21"/>
      <c r="CK217" s="21"/>
      <c r="CO217" s="23"/>
      <c r="CS217" s="21"/>
      <c r="CW217" s="23"/>
      <c r="DA217" s="21"/>
      <c r="DE217" s="23"/>
      <c r="DI217" s="21"/>
      <c r="DM217" s="23"/>
    </row>
    <row r="218" spans="73:117">
      <c r="BU218" s="23"/>
      <c r="BX218" s="21"/>
      <c r="CA218" s="23"/>
      <c r="CD218" s="21"/>
      <c r="CK218" s="21"/>
      <c r="CO218" s="23"/>
      <c r="CS218" s="21"/>
      <c r="CW218" s="23"/>
      <c r="DA218" s="21"/>
      <c r="DE218" s="23"/>
      <c r="DI218" s="21"/>
      <c r="DM218" s="23"/>
    </row>
    <row r="219" spans="73:117">
      <c r="BU219" s="23"/>
      <c r="BX219" s="21"/>
      <c r="CA219" s="23"/>
      <c r="CD219" s="21"/>
      <c r="CK219" s="21"/>
      <c r="CO219" s="23"/>
      <c r="CS219" s="21"/>
      <c r="CW219" s="23"/>
      <c r="DA219" s="21"/>
      <c r="DE219" s="23"/>
      <c r="DI219" s="21"/>
      <c r="DM219" s="23"/>
    </row>
    <row r="220" spans="73:117">
      <c r="BU220" s="23"/>
      <c r="BX220" s="21"/>
      <c r="CA220" s="23"/>
      <c r="CD220" s="21"/>
      <c r="CK220" s="21"/>
      <c r="CO220" s="23"/>
      <c r="CS220" s="21"/>
      <c r="CW220" s="23"/>
      <c r="DA220" s="21"/>
      <c r="DE220" s="23"/>
      <c r="DI220" s="21"/>
      <c r="DM220" s="23"/>
    </row>
    <row r="221" spans="73:117">
      <c r="BU221" s="23"/>
      <c r="BX221" s="21"/>
      <c r="CA221" s="23"/>
      <c r="CD221" s="21"/>
      <c r="CK221" s="21"/>
      <c r="CO221" s="23"/>
      <c r="CS221" s="21"/>
      <c r="CW221" s="23"/>
      <c r="DA221" s="21"/>
      <c r="DE221" s="23"/>
      <c r="DI221" s="21"/>
      <c r="DM221" s="23"/>
    </row>
    <row r="222" spans="73:117">
      <c r="BU222" s="23"/>
      <c r="BX222" s="21"/>
      <c r="CA222" s="23"/>
      <c r="CD222" s="21"/>
      <c r="CK222" s="21"/>
      <c r="CO222" s="23"/>
      <c r="CS222" s="21"/>
      <c r="CW222" s="23"/>
      <c r="DA222" s="21"/>
      <c r="DE222" s="23"/>
      <c r="DI222" s="21"/>
      <c r="DM222" s="23"/>
    </row>
    <row r="223" spans="73:117">
      <c r="BU223" s="23"/>
      <c r="BX223" s="21"/>
      <c r="CA223" s="23"/>
      <c r="CD223" s="21"/>
      <c r="CK223" s="21"/>
      <c r="CO223" s="23"/>
      <c r="CS223" s="21"/>
      <c r="CW223" s="23"/>
      <c r="DA223" s="21"/>
      <c r="DE223" s="23"/>
      <c r="DI223" s="21"/>
      <c r="DM223" s="23"/>
    </row>
    <row r="224" spans="73:117">
      <c r="BU224" s="23"/>
      <c r="BX224" s="21"/>
      <c r="CA224" s="23"/>
      <c r="CD224" s="21"/>
      <c r="CK224" s="21"/>
      <c r="CO224" s="23"/>
      <c r="CS224" s="21"/>
      <c r="CW224" s="23"/>
      <c r="DA224" s="21"/>
      <c r="DE224" s="23"/>
      <c r="DI224" s="21"/>
      <c r="DM224" s="23"/>
    </row>
    <row r="225" spans="73:117">
      <c r="BU225" s="23"/>
      <c r="BX225" s="21"/>
      <c r="CA225" s="23"/>
      <c r="CD225" s="21"/>
      <c r="CK225" s="21"/>
      <c r="CO225" s="23"/>
      <c r="CS225" s="21"/>
      <c r="CW225" s="23"/>
      <c r="DA225" s="21"/>
      <c r="DE225" s="23"/>
      <c r="DI225" s="21"/>
      <c r="DM225" s="23"/>
    </row>
    <row r="226" spans="73:117">
      <c r="BU226" s="23"/>
      <c r="BX226" s="21"/>
      <c r="CA226" s="23"/>
      <c r="CD226" s="21"/>
      <c r="CK226" s="21"/>
      <c r="CO226" s="23"/>
      <c r="CS226" s="21"/>
      <c r="CW226" s="23"/>
      <c r="DA226" s="21"/>
      <c r="DE226" s="23"/>
      <c r="DI226" s="21"/>
      <c r="DM226" s="23"/>
    </row>
    <row r="227" spans="73:117">
      <c r="BU227" s="23"/>
      <c r="BX227" s="21"/>
      <c r="CA227" s="23"/>
      <c r="CD227" s="21"/>
      <c r="CK227" s="21"/>
      <c r="CO227" s="23"/>
      <c r="CS227" s="21"/>
      <c r="CW227" s="23"/>
      <c r="DA227" s="21"/>
      <c r="DE227" s="23"/>
      <c r="DI227" s="21"/>
      <c r="DM227" s="23"/>
    </row>
    <row r="228" spans="73:117">
      <c r="BU228" s="23"/>
      <c r="BX228" s="21"/>
      <c r="CA228" s="23"/>
      <c r="CD228" s="21"/>
      <c r="CK228" s="21"/>
      <c r="CO228" s="23"/>
      <c r="CS228" s="21"/>
      <c r="CW228" s="23"/>
      <c r="DA228" s="21"/>
      <c r="DE228" s="23"/>
      <c r="DI228" s="21"/>
      <c r="DM228" s="23"/>
    </row>
    <row r="229" spans="73:117">
      <c r="BU229" s="23"/>
      <c r="BX229" s="21"/>
      <c r="CA229" s="23"/>
      <c r="CD229" s="21"/>
      <c r="CK229" s="21"/>
      <c r="CO229" s="23"/>
      <c r="CS229" s="21"/>
      <c r="CW229" s="23"/>
      <c r="DA229" s="21"/>
      <c r="DE229" s="23"/>
      <c r="DI229" s="21"/>
      <c r="DM229" s="23"/>
    </row>
    <row r="230" spans="73:117">
      <c r="BU230" s="23"/>
      <c r="BX230" s="21"/>
      <c r="CA230" s="23"/>
      <c r="CD230" s="21"/>
      <c r="CK230" s="21"/>
      <c r="CO230" s="23"/>
      <c r="CS230" s="21"/>
      <c r="CW230" s="23"/>
      <c r="DA230" s="21"/>
      <c r="DE230" s="23"/>
      <c r="DI230" s="21"/>
      <c r="DM230" s="23"/>
    </row>
    <row r="231" spans="73:117">
      <c r="BU231" s="23"/>
      <c r="BX231" s="21"/>
      <c r="CA231" s="23"/>
      <c r="CD231" s="21"/>
      <c r="CK231" s="21"/>
      <c r="CO231" s="23"/>
      <c r="CS231" s="21"/>
      <c r="CW231" s="23"/>
      <c r="DA231" s="21"/>
      <c r="DE231" s="23"/>
      <c r="DI231" s="21"/>
      <c r="DM231" s="23"/>
    </row>
    <row r="232" spans="73:117">
      <c r="BU232" s="23"/>
      <c r="BX232" s="21"/>
      <c r="CA232" s="23"/>
      <c r="CD232" s="21"/>
      <c r="CK232" s="21"/>
      <c r="CO232" s="23"/>
      <c r="CS232" s="21"/>
      <c r="CW232" s="23"/>
      <c r="DA232" s="21"/>
      <c r="DE232" s="23"/>
      <c r="DI232" s="21"/>
      <c r="DM232" s="23"/>
    </row>
    <row r="233" spans="73:117">
      <c r="BU233" s="23"/>
      <c r="BX233" s="21"/>
      <c r="CA233" s="23"/>
      <c r="CD233" s="21"/>
      <c r="CK233" s="21"/>
      <c r="CO233" s="23"/>
      <c r="CS233" s="21"/>
      <c r="CW233" s="23"/>
      <c r="DA233" s="21"/>
      <c r="DE233" s="23"/>
      <c r="DI233" s="21"/>
      <c r="DM233" s="23"/>
    </row>
    <row r="234" spans="73:117">
      <c r="BU234" s="23"/>
      <c r="BX234" s="21"/>
      <c r="CA234" s="23"/>
      <c r="CD234" s="21"/>
      <c r="CK234" s="21"/>
      <c r="CO234" s="23"/>
      <c r="CS234" s="21"/>
      <c r="CW234" s="23"/>
      <c r="DA234" s="21"/>
      <c r="DE234" s="23"/>
      <c r="DI234" s="21"/>
      <c r="DM234" s="23"/>
    </row>
    <row r="235" spans="73:117">
      <c r="BU235" s="23"/>
      <c r="BX235" s="21"/>
      <c r="CA235" s="23"/>
      <c r="CD235" s="21"/>
      <c r="CK235" s="21"/>
      <c r="CO235" s="23"/>
      <c r="CS235" s="21"/>
      <c r="CW235" s="23"/>
      <c r="DA235" s="21"/>
      <c r="DE235" s="23"/>
      <c r="DI235" s="21"/>
      <c r="DM235" s="23"/>
    </row>
    <row r="236" spans="73:117">
      <c r="BU236" s="23"/>
      <c r="BX236" s="21"/>
      <c r="CA236" s="23"/>
      <c r="CD236" s="21"/>
      <c r="CK236" s="21"/>
      <c r="CO236" s="23"/>
      <c r="CS236" s="21"/>
      <c r="CW236" s="23"/>
      <c r="DA236" s="21"/>
      <c r="DE236" s="23"/>
      <c r="DI236" s="21"/>
      <c r="DM236" s="23"/>
    </row>
    <row r="237" spans="73:117">
      <c r="BU237" s="23"/>
      <c r="BX237" s="21"/>
      <c r="CA237" s="23"/>
      <c r="CD237" s="21"/>
      <c r="CK237" s="21"/>
      <c r="CO237" s="23"/>
      <c r="CS237" s="21"/>
      <c r="CW237" s="23"/>
      <c r="DA237" s="21"/>
      <c r="DE237" s="23"/>
      <c r="DI237" s="21"/>
      <c r="DM237" s="23"/>
    </row>
    <row r="238" spans="73:117">
      <c r="BU238" s="23"/>
      <c r="BX238" s="21"/>
      <c r="CA238" s="23"/>
      <c r="CD238" s="21"/>
      <c r="CK238" s="21"/>
      <c r="CO238" s="23"/>
      <c r="CS238" s="21"/>
      <c r="CW238" s="23"/>
      <c r="DA238" s="21"/>
      <c r="DE238" s="23"/>
      <c r="DI238" s="21"/>
      <c r="DM238" s="23"/>
    </row>
    <row r="239" spans="73:117">
      <c r="BU239" s="23"/>
      <c r="BX239" s="21"/>
      <c r="CA239" s="23"/>
      <c r="CD239" s="21"/>
      <c r="CK239" s="21"/>
      <c r="CO239" s="23"/>
      <c r="CS239" s="21"/>
      <c r="CW239" s="23"/>
      <c r="DA239" s="21"/>
      <c r="DE239" s="23"/>
      <c r="DI239" s="21"/>
      <c r="DM239" s="23"/>
    </row>
    <row r="240" spans="73:117">
      <c r="BU240" s="23"/>
      <c r="BX240" s="21"/>
      <c r="CA240" s="23"/>
      <c r="CD240" s="21"/>
      <c r="CK240" s="21"/>
      <c r="CO240" s="23"/>
      <c r="CS240" s="21"/>
      <c r="CW240" s="23"/>
      <c r="DA240" s="21"/>
      <c r="DE240" s="23"/>
      <c r="DI240" s="21"/>
      <c r="DM240" s="23"/>
    </row>
    <row r="241" spans="73:117">
      <c r="BU241" s="23"/>
      <c r="BX241" s="21"/>
      <c r="CA241" s="23"/>
      <c r="CD241" s="21"/>
      <c r="CK241" s="21"/>
      <c r="CO241" s="23"/>
      <c r="CS241" s="21"/>
      <c r="CW241" s="23"/>
      <c r="DA241" s="21"/>
      <c r="DE241" s="23"/>
      <c r="DI241" s="21"/>
      <c r="DM241" s="23"/>
    </row>
    <row r="242" spans="73:117">
      <c r="BU242" s="23"/>
      <c r="BX242" s="21"/>
      <c r="CA242" s="23"/>
      <c r="CD242" s="21"/>
      <c r="CK242" s="21"/>
      <c r="CO242" s="23"/>
      <c r="CS242" s="21"/>
      <c r="CW242" s="23"/>
      <c r="DA242" s="21"/>
      <c r="DE242" s="23"/>
      <c r="DI242" s="21"/>
      <c r="DM242" s="23"/>
    </row>
    <row r="243" spans="73:117">
      <c r="BU243" s="23"/>
      <c r="BX243" s="21"/>
      <c r="CA243" s="23"/>
      <c r="CD243" s="21"/>
      <c r="CK243" s="21"/>
      <c r="CO243" s="23"/>
      <c r="CS243" s="21"/>
      <c r="CW243" s="23"/>
      <c r="DA243" s="21"/>
      <c r="DE243" s="23"/>
      <c r="DI243" s="21"/>
      <c r="DM243" s="23"/>
    </row>
    <row r="244" spans="73:117">
      <c r="BU244" s="23"/>
      <c r="BX244" s="21"/>
      <c r="CA244" s="23"/>
      <c r="CD244" s="21"/>
      <c r="CK244" s="21"/>
      <c r="CO244" s="23"/>
      <c r="CS244" s="21"/>
      <c r="CW244" s="23"/>
      <c r="DA244" s="21"/>
      <c r="DE244" s="23"/>
      <c r="DI244" s="21"/>
      <c r="DM244" s="23"/>
    </row>
    <row r="245" spans="73:117">
      <c r="BU245" s="23"/>
      <c r="BX245" s="21"/>
      <c r="CA245" s="23"/>
      <c r="CD245" s="21"/>
      <c r="CK245" s="21"/>
      <c r="CO245" s="23"/>
      <c r="CS245" s="21"/>
      <c r="CW245" s="23"/>
      <c r="DA245" s="21"/>
      <c r="DE245" s="23"/>
      <c r="DI245" s="21"/>
      <c r="DM245" s="23"/>
    </row>
    <row r="246" spans="73:117">
      <c r="BU246" s="23"/>
      <c r="BX246" s="21"/>
      <c r="CA246" s="23"/>
      <c r="CD246" s="21"/>
      <c r="CK246" s="21"/>
      <c r="CO246" s="23"/>
      <c r="CS246" s="21"/>
      <c r="CW246" s="23"/>
      <c r="DA246" s="21"/>
      <c r="DE246" s="23"/>
      <c r="DI246" s="21"/>
      <c r="DM246" s="23"/>
    </row>
    <row r="247" spans="73:117">
      <c r="BU247" s="23"/>
      <c r="BX247" s="21"/>
      <c r="CA247" s="23"/>
      <c r="CD247" s="21"/>
      <c r="CK247" s="21"/>
      <c r="CO247" s="23"/>
      <c r="CS247" s="21"/>
      <c r="CW247" s="23"/>
      <c r="DA247" s="21"/>
      <c r="DE247" s="23"/>
      <c r="DI247" s="21"/>
      <c r="DM247" s="23"/>
    </row>
    <row r="248" spans="73:117">
      <c r="BU248" s="23"/>
      <c r="BX248" s="21"/>
      <c r="CA248" s="23"/>
      <c r="CD248" s="21"/>
      <c r="CK248" s="21"/>
      <c r="CO248" s="23"/>
      <c r="CS248" s="21"/>
      <c r="CW248" s="23"/>
      <c r="DA248" s="21"/>
      <c r="DE248" s="23"/>
      <c r="DI248" s="21"/>
      <c r="DM248" s="23"/>
    </row>
    <row r="249" spans="73:117">
      <c r="BU249" s="23"/>
      <c r="BX249" s="21"/>
      <c r="CA249" s="23"/>
      <c r="CD249" s="21"/>
      <c r="CK249" s="21"/>
      <c r="CO249" s="23"/>
      <c r="CS249" s="21"/>
      <c r="CW249" s="23"/>
      <c r="DA249" s="21"/>
      <c r="DE249" s="23"/>
      <c r="DI249" s="21"/>
      <c r="DM249" s="23"/>
    </row>
    <row r="250" spans="73:117">
      <c r="BU250" s="23"/>
      <c r="BX250" s="21"/>
      <c r="CA250" s="23"/>
      <c r="CD250" s="21"/>
      <c r="CK250" s="21"/>
      <c r="CO250" s="23"/>
      <c r="CS250" s="21"/>
      <c r="CW250" s="23"/>
      <c r="DA250" s="21"/>
      <c r="DE250" s="23"/>
      <c r="DI250" s="21"/>
      <c r="DM250" s="23"/>
    </row>
    <row r="251" spans="73:117">
      <c r="BU251" s="23"/>
      <c r="BX251" s="21"/>
      <c r="CA251" s="23"/>
      <c r="CD251" s="21"/>
      <c r="CK251" s="21"/>
      <c r="CO251" s="23"/>
      <c r="CS251" s="21"/>
      <c r="CW251" s="23"/>
      <c r="DA251" s="21"/>
      <c r="DE251" s="23"/>
      <c r="DI251" s="21"/>
      <c r="DM251" s="23"/>
    </row>
    <row r="252" spans="73:117">
      <c r="BU252" s="23"/>
      <c r="BX252" s="21"/>
      <c r="CA252" s="23"/>
      <c r="CD252" s="21"/>
      <c r="CK252" s="21"/>
      <c r="CO252" s="23"/>
      <c r="CS252" s="21"/>
      <c r="CW252" s="23"/>
      <c r="DA252" s="21"/>
      <c r="DE252" s="23"/>
      <c r="DI252" s="21"/>
      <c r="DM252" s="23"/>
    </row>
    <row r="253" spans="73:117">
      <c r="BU253" s="23"/>
      <c r="BX253" s="21"/>
      <c r="CA253" s="23"/>
      <c r="CD253" s="21"/>
      <c r="CK253" s="21"/>
      <c r="CO253" s="23"/>
      <c r="CS253" s="21"/>
      <c r="CW253" s="23"/>
      <c r="DA253" s="21"/>
      <c r="DE253" s="23"/>
      <c r="DI253" s="21"/>
      <c r="DM253" s="23"/>
    </row>
    <row r="254" spans="73:117">
      <c r="BU254" s="23"/>
      <c r="BX254" s="21"/>
      <c r="CA254" s="23"/>
      <c r="CD254" s="21"/>
      <c r="CK254" s="21"/>
      <c r="CO254" s="23"/>
      <c r="CS254" s="21"/>
      <c r="CW254" s="23"/>
      <c r="DA254" s="21"/>
      <c r="DE254" s="23"/>
      <c r="DI254" s="21"/>
      <c r="DM254" s="23"/>
    </row>
    <row r="255" spans="73:117">
      <c r="BU255" s="23"/>
      <c r="BX255" s="21"/>
      <c r="CA255" s="23"/>
      <c r="CD255" s="21"/>
      <c r="CK255" s="21"/>
      <c r="CO255" s="23"/>
      <c r="CS255" s="21"/>
      <c r="CW255" s="23"/>
      <c r="DA255" s="21"/>
      <c r="DE255" s="23"/>
      <c r="DI255" s="21"/>
      <c r="DM255" s="23"/>
    </row>
    <row r="256" spans="73:117">
      <c r="BU256" s="23"/>
      <c r="BX256" s="21"/>
      <c r="CA256" s="23"/>
      <c r="CD256" s="21"/>
      <c r="CK256" s="21"/>
      <c r="CO256" s="23"/>
      <c r="CS256" s="21"/>
      <c r="CW256" s="23"/>
      <c r="DA256" s="21"/>
      <c r="DE256" s="23"/>
      <c r="DI256" s="21"/>
      <c r="DM256" s="23"/>
    </row>
    <row r="257" spans="73:117">
      <c r="BU257" s="23"/>
      <c r="BX257" s="21"/>
      <c r="CA257" s="23"/>
      <c r="CD257" s="21"/>
      <c r="CK257" s="21"/>
      <c r="CO257" s="23"/>
      <c r="CS257" s="21"/>
      <c r="CW257" s="23"/>
      <c r="DA257" s="21"/>
      <c r="DE257" s="23"/>
      <c r="DI257" s="21"/>
      <c r="DM257" s="23"/>
    </row>
    <row r="258" spans="73:117">
      <c r="BU258" s="23"/>
      <c r="BX258" s="21"/>
      <c r="CA258" s="23"/>
      <c r="CD258" s="21"/>
      <c r="CK258" s="21"/>
      <c r="CO258" s="23"/>
      <c r="CS258" s="21"/>
      <c r="CW258" s="23"/>
      <c r="DA258" s="21"/>
      <c r="DE258" s="23"/>
      <c r="DI258" s="21"/>
      <c r="DM258" s="23"/>
    </row>
    <row r="259" spans="73:117">
      <c r="BU259" s="23"/>
      <c r="BX259" s="21"/>
      <c r="CA259" s="23"/>
      <c r="CD259" s="21"/>
      <c r="CK259" s="21"/>
      <c r="CO259" s="23"/>
      <c r="CS259" s="21"/>
      <c r="CW259" s="23"/>
      <c r="DA259" s="21"/>
      <c r="DE259" s="23"/>
      <c r="DI259" s="21"/>
      <c r="DM259" s="23"/>
    </row>
    <row r="260" spans="73:117">
      <c r="BU260" s="23"/>
      <c r="BX260" s="21"/>
      <c r="CA260" s="23"/>
      <c r="CD260" s="21"/>
      <c r="CK260" s="21"/>
      <c r="CO260" s="23"/>
      <c r="CS260" s="21"/>
      <c r="CW260" s="23"/>
      <c r="DA260" s="21"/>
      <c r="DE260" s="23"/>
      <c r="DI260" s="21"/>
      <c r="DM260" s="23"/>
    </row>
    <row r="261" spans="73:117">
      <c r="BU261" s="23"/>
      <c r="BX261" s="21"/>
      <c r="CA261" s="23"/>
      <c r="CD261" s="21"/>
      <c r="CK261" s="21"/>
      <c r="CO261" s="23"/>
      <c r="CS261" s="21"/>
      <c r="CW261" s="23"/>
      <c r="DA261" s="21"/>
      <c r="DE261" s="23"/>
      <c r="DI261" s="21"/>
      <c r="DM261" s="23"/>
    </row>
    <row r="262" spans="73:117">
      <c r="BU262" s="23"/>
      <c r="BX262" s="21"/>
      <c r="CA262" s="23"/>
      <c r="CD262" s="21"/>
      <c r="CK262" s="21"/>
      <c r="CO262" s="23"/>
      <c r="CS262" s="21"/>
      <c r="CW262" s="23"/>
      <c r="DA262" s="21"/>
      <c r="DE262" s="23"/>
      <c r="DI262" s="21"/>
      <c r="DM262" s="23"/>
    </row>
    <row r="263" spans="73:117">
      <c r="BU263" s="23"/>
      <c r="BX263" s="21"/>
      <c r="CA263" s="23"/>
      <c r="CD263" s="21"/>
      <c r="CK263" s="21"/>
      <c r="CO263" s="23"/>
      <c r="CS263" s="21"/>
      <c r="CW263" s="23"/>
      <c r="DA263" s="21"/>
      <c r="DE263" s="23"/>
      <c r="DI263" s="21"/>
      <c r="DM263" s="23"/>
    </row>
    <row r="264" spans="73:117">
      <c r="BU264" s="23"/>
      <c r="BX264" s="21"/>
      <c r="CA264" s="23"/>
      <c r="CD264" s="21"/>
      <c r="CK264" s="21"/>
      <c r="CO264" s="23"/>
      <c r="CS264" s="21"/>
      <c r="CW264" s="23"/>
      <c r="DA264" s="21"/>
      <c r="DE264" s="23"/>
      <c r="DI264" s="21"/>
      <c r="DM264" s="23"/>
    </row>
    <row r="265" spans="73:117">
      <c r="BU265" s="23"/>
      <c r="BX265" s="21"/>
      <c r="CA265" s="23"/>
      <c r="CD265" s="21"/>
      <c r="CK265" s="21"/>
      <c r="CO265" s="23"/>
      <c r="CS265" s="21"/>
      <c r="CW265" s="23"/>
      <c r="DA265" s="21"/>
      <c r="DE265" s="23"/>
      <c r="DI265" s="21"/>
      <c r="DM265" s="23"/>
    </row>
    <row r="266" spans="73:117">
      <c r="BU266" s="23"/>
      <c r="BX266" s="21"/>
      <c r="CA266" s="23"/>
      <c r="CD266" s="21"/>
      <c r="CK266" s="21"/>
      <c r="CO266" s="23"/>
      <c r="CS266" s="21"/>
      <c r="CW266" s="23"/>
      <c r="DA266" s="21"/>
      <c r="DE266" s="23"/>
      <c r="DI266" s="21"/>
      <c r="DM266" s="23"/>
    </row>
    <row r="267" spans="73:117">
      <c r="BU267" s="23"/>
      <c r="BX267" s="21"/>
      <c r="CA267" s="23"/>
      <c r="CD267" s="21"/>
      <c r="CK267" s="21"/>
      <c r="CO267" s="23"/>
      <c r="CS267" s="21"/>
      <c r="CW267" s="23"/>
      <c r="DA267" s="21"/>
      <c r="DE267" s="23"/>
      <c r="DI267" s="21"/>
      <c r="DM267" s="23"/>
    </row>
    <row r="268" spans="73:117">
      <c r="BU268" s="23"/>
      <c r="BX268" s="21"/>
      <c r="CA268" s="23"/>
      <c r="CD268" s="21"/>
      <c r="CK268" s="21"/>
      <c r="CO268" s="23"/>
      <c r="CS268" s="21"/>
      <c r="CW268" s="23"/>
      <c r="DA268" s="21"/>
      <c r="DE268" s="23"/>
      <c r="DI268" s="21"/>
      <c r="DM268" s="23"/>
    </row>
    <row r="269" spans="73:117">
      <c r="BU269" s="23"/>
      <c r="BX269" s="21"/>
      <c r="CA269" s="23"/>
      <c r="CD269" s="21"/>
      <c r="CK269" s="21"/>
      <c r="CO269" s="23"/>
      <c r="CS269" s="21"/>
      <c r="CW269" s="23"/>
      <c r="DA269" s="21"/>
      <c r="DE269" s="23"/>
      <c r="DI269" s="21"/>
      <c r="DM269" s="23"/>
    </row>
    <row r="270" spans="73:117">
      <c r="BU270" s="23"/>
      <c r="BX270" s="21"/>
      <c r="CA270" s="23"/>
      <c r="CD270" s="21"/>
      <c r="CK270" s="21"/>
      <c r="CO270" s="23"/>
      <c r="CS270" s="21"/>
      <c r="CW270" s="23"/>
      <c r="DA270" s="21"/>
      <c r="DE270" s="23"/>
      <c r="DI270" s="21"/>
      <c r="DM270" s="23"/>
    </row>
    <row r="271" spans="73:117">
      <c r="BU271" s="23"/>
      <c r="BX271" s="21"/>
      <c r="CA271" s="23"/>
      <c r="CD271" s="21"/>
      <c r="CK271" s="21"/>
      <c r="CO271" s="23"/>
      <c r="CS271" s="21"/>
      <c r="CW271" s="23"/>
      <c r="DA271" s="21"/>
      <c r="DE271" s="23"/>
      <c r="DI271" s="21"/>
      <c r="DM271" s="23"/>
    </row>
    <row r="272" spans="73:117">
      <c r="BU272" s="23"/>
      <c r="BX272" s="21"/>
      <c r="CA272" s="23"/>
      <c r="CD272" s="21"/>
      <c r="CK272" s="21"/>
      <c r="CO272" s="23"/>
      <c r="CS272" s="21"/>
      <c r="CW272" s="23"/>
      <c r="DA272" s="21"/>
      <c r="DE272" s="23"/>
      <c r="DI272" s="21"/>
      <c r="DM272" s="23"/>
    </row>
    <row r="273" spans="73:117">
      <c r="BU273" s="23"/>
      <c r="BX273" s="21"/>
      <c r="CA273" s="23"/>
      <c r="CD273" s="21"/>
      <c r="CK273" s="21"/>
      <c r="CO273" s="23"/>
      <c r="CS273" s="21"/>
      <c r="CW273" s="23"/>
      <c r="DA273" s="21"/>
      <c r="DE273" s="23"/>
      <c r="DI273" s="21"/>
      <c r="DM273" s="23"/>
    </row>
    <row r="274" spans="73:117">
      <c r="BU274" s="23"/>
      <c r="BX274" s="21"/>
      <c r="CA274" s="23"/>
      <c r="CD274" s="21"/>
      <c r="CK274" s="21"/>
      <c r="CO274" s="23"/>
      <c r="CS274" s="21"/>
      <c r="CW274" s="23"/>
      <c r="DA274" s="21"/>
      <c r="DE274" s="23"/>
      <c r="DI274" s="21"/>
      <c r="DM274" s="23"/>
    </row>
    <row r="275" spans="73:117">
      <c r="BU275" s="23"/>
      <c r="BX275" s="21"/>
      <c r="CA275" s="23"/>
      <c r="CD275" s="21"/>
      <c r="CK275" s="21"/>
      <c r="CO275" s="23"/>
      <c r="CS275" s="21"/>
      <c r="CW275" s="23"/>
      <c r="DA275" s="21"/>
      <c r="DE275" s="23"/>
      <c r="DI275" s="21"/>
      <c r="DM275" s="23"/>
    </row>
    <row r="276" spans="73:117">
      <c r="BU276" s="23"/>
      <c r="BX276" s="21"/>
      <c r="CA276" s="23"/>
      <c r="CD276" s="21"/>
      <c r="CK276" s="21"/>
      <c r="CO276" s="23"/>
      <c r="CS276" s="21"/>
      <c r="CW276" s="23"/>
      <c r="DA276" s="21"/>
      <c r="DE276" s="23"/>
      <c r="DI276" s="21"/>
      <c r="DM276" s="23"/>
    </row>
    <row r="277" spans="73:117">
      <c r="BU277" s="23"/>
      <c r="BX277" s="21"/>
      <c r="CA277" s="23"/>
      <c r="CD277" s="21"/>
      <c r="CK277" s="21"/>
      <c r="CO277" s="23"/>
      <c r="CS277" s="21"/>
      <c r="CW277" s="23"/>
      <c r="DA277" s="21"/>
      <c r="DE277" s="23"/>
      <c r="DI277" s="21"/>
      <c r="DM277" s="23"/>
    </row>
    <row r="278" spans="73:117">
      <c r="BU278" s="23"/>
      <c r="BX278" s="21"/>
      <c r="CA278" s="23"/>
      <c r="CD278" s="21"/>
      <c r="CK278" s="21"/>
      <c r="CO278" s="23"/>
      <c r="CS278" s="21"/>
      <c r="CW278" s="23"/>
      <c r="DA278" s="21"/>
      <c r="DE278" s="23"/>
      <c r="DI278" s="21"/>
      <c r="DM278" s="23"/>
    </row>
    <row r="279" spans="73:117">
      <c r="BU279" s="23"/>
      <c r="BX279" s="21"/>
      <c r="CA279" s="23"/>
      <c r="CD279" s="21"/>
      <c r="CK279" s="21"/>
      <c r="CO279" s="23"/>
      <c r="CS279" s="21"/>
      <c r="CW279" s="23"/>
      <c r="DA279" s="21"/>
      <c r="DE279" s="23"/>
      <c r="DI279" s="21"/>
      <c r="DM279" s="23"/>
    </row>
    <row r="280" spans="73:117">
      <c r="BU280" s="23"/>
      <c r="BX280" s="21"/>
      <c r="CA280" s="23"/>
      <c r="CD280" s="21"/>
      <c r="CK280" s="21"/>
      <c r="CO280" s="23"/>
      <c r="CS280" s="21"/>
      <c r="CW280" s="23"/>
      <c r="DA280" s="21"/>
      <c r="DE280" s="23"/>
      <c r="DI280" s="21"/>
      <c r="DM280" s="23"/>
    </row>
    <row r="281" spans="73:117">
      <c r="BU281" s="23"/>
      <c r="BX281" s="21"/>
      <c r="CA281" s="23"/>
      <c r="CD281" s="21"/>
      <c r="CK281" s="21"/>
      <c r="CO281" s="23"/>
      <c r="CS281" s="21"/>
      <c r="CW281" s="23"/>
      <c r="DA281" s="21"/>
      <c r="DE281" s="23"/>
      <c r="DI281" s="21"/>
      <c r="DM281" s="23"/>
    </row>
    <row r="282" spans="73:117">
      <c r="BU282" s="23"/>
      <c r="BX282" s="21"/>
      <c r="CA282" s="23"/>
      <c r="CD282" s="21"/>
      <c r="CK282" s="21"/>
      <c r="CO282" s="23"/>
      <c r="CS282" s="21"/>
      <c r="CW282" s="23"/>
      <c r="DA282" s="21"/>
      <c r="DE282" s="23"/>
      <c r="DI282" s="21"/>
      <c r="DM282" s="23"/>
    </row>
    <row r="283" spans="73:117">
      <c r="BU283" s="23"/>
      <c r="BX283" s="21"/>
      <c r="CA283" s="23"/>
      <c r="CD283" s="21"/>
      <c r="CK283" s="21"/>
      <c r="CO283" s="23"/>
      <c r="CS283" s="21"/>
      <c r="CW283" s="23"/>
      <c r="DA283" s="21"/>
      <c r="DE283" s="23"/>
      <c r="DI283" s="21"/>
      <c r="DM283" s="23"/>
    </row>
    <row r="284" spans="73:117">
      <c r="BU284" s="23"/>
      <c r="BX284" s="21"/>
      <c r="CA284" s="23"/>
      <c r="CD284" s="21"/>
      <c r="CK284" s="21"/>
      <c r="CO284" s="23"/>
      <c r="CS284" s="21"/>
      <c r="CW284" s="23"/>
      <c r="DA284" s="21"/>
      <c r="DE284" s="23"/>
      <c r="DI284" s="21"/>
      <c r="DM284" s="23"/>
    </row>
    <row r="285" spans="73:117">
      <c r="BU285" s="23"/>
      <c r="BX285" s="21"/>
      <c r="CA285" s="23"/>
      <c r="CD285" s="21"/>
      <c r="CK285" s="21"/>
      <c r="CO285" s="23"/>
      <c r="CS285" s="21"/>
      <c r="CW285" s="23"/>
      <c r="DA285" s="21"/>
      <c r="DE285" s="23"/>
      <c r="DI285" s="21"/>
      <c r="DM285" s="23"/>
    </row>
    <row r="286" spans="73:117">
      <c r="BU286" s="23"/>
      <c r="BX286" s="21"/>
      <c r="CA286" s="23"/>
      <c r="CD286" s="21"/>
      <c r="CK286" s="21"/>
      <c r="CO286" s="23"/>
      <c r="CS286" s="21"/>
      <c r="CW286" s="23"/>
      <c r="DA286" s="21"/>
      <c r="DE286" s="23"/>
      <c r="DI286" s="21"/>
      <c r="DM286" s="23"/>
    </row>
    <row r="287" spans="73:117">
      <c r="BU287" s="23"/>
      <c r="BX287" s="21"/>
      <c r="CA287" s="23"/>
      <c r="CD287" s="21"/>
      <c r="CK287" s="21"/>
      <c r="CO287" s="23"/>
      <c r="CS287" s="21"/>
      <c r="CW287" s="23"/>
      <c r="DA287" s="21"/>
      <c r="DE287" s="23"/>
      <c r="DI287" s="21"/>
      <c r="DM287" s="23"/>
    </row>
    <row r="288" spans="73:117">
      <c r="BU288" s="23"/>
      <c r="BX288" s="21"/>
      <c r="CA288" s="23"/>
      <c r="CD288" s="21"/>
      <c r="CK288" s="21"/>
      <c r="CO288" s="23"/>
      <c r="CS288" s="21"/>
      <c r="CW288" s="23"/>
      <c r="DA288" s="21"/>
      <c r="DE288" s="23"/>
      <c r="DI288" s="21"/>
      <c r="DM288" s="23"/>
    </row>
    <row r="289" spans="73:117">
      <c r="BU289" s="23"/>
      <c r="BX289" s="21"/>
      <c r="CA289" s="23"/>
      <c r="CD289" s="21"/>
      <c r="CK289" s="21"/>
      <c r="CO289" s="23"/>
      <c r="CS289" s="21"/>
      <c r="CW289" s="23"/>
      <c r="DA289" s="21"/>
      <c r="DE289" s="23"/>
      <c r="DI289" s="21"/>
      <c r="DM289" s="23"/>
    </row>
    <row r="290" spans="73:117">
      <c r="BU290" s="23"/>
      <c r="BX290" s="21"/>
      <c r="CA290" s="23"/>
      <c r="CD290" s="21"/>
      <c r="CK290" s="21"/>
      <c r="CO290" s="23"/>
      <c r="CS290" s="21"/>
      <c r="CW290" s="23"/>
      <c r="DA290" s="21"/>
      <c r="DE290" s="23"/>
      <c r="DI290" s="21"/>
      <c r="DM290" s="23"/>
    </row>
    <row r="291" spans="73:117">
      <c r="BU291" s="23"/>
      <c r="BX291" s="21"/>
      <c r="CA291" s="23"/>
      <c r="CD291" s="21"/>
      <c r="CK291" s="21"/>
      <c r="CO291" s="23"/>
      <c r="CS291" s="21"/>
      <c r="CW291" s="23"/>
      <c r="DA291" s="21"/>
      <c r="DE291" s="23"/>
      <c r="DI291" s="21"/>
      <c r="DM291" s="23"/>
    </row>
    <row r="292" spans="73:117">
      <c r="BU292" s="23"/>
      <c r="BX292" s="21"/>
      <c r="CA292" s="23"/>
      <c r="CD292" s="21"/>
      <c r="CK292" s="21"/>
      <c r="CO292" s="23"/>
      <c r="CS292" s="21"/>
      <c r="CW292" s="23"/>
      <c r="DA292" s="21"/>
      <c r="DE292" s="23"/>
      <c r="DI292" s="21"/>
      <c r="DM292" s="23"/>
    </row>
    <row r="293" spans="73:117">
      <c r="BU293" s="23"/>
      <c r="BX293" s="21"/>
      <c r="CA293" s="23"/>
      <c r="CD293" s="21"/>
      <c r="CK293" s="21"/>
      <c r="CO293" s="23"/>
      <c r="CS293" s="21"/>
      <c r="CW293" s="23"/>
      <c r="DA293" s="21"/>
      <c r="DE293" s="23"/>
      <c r="DI293" s="21"/>
      <c r="DM293" s="23"/>
    </row>
    <row r="294" spans="73:117">
      <c r="BU294" s="23"/>
      <c r="BX294" s="21"/>
      <c r="CA294" s="23"/>
      <c r="CD294" s="21"/>
      <c r="CK294" s="21"/>
      <c r="CO294" s="23"/>
      <c r="CS294" s="21"/>
      <c r="CW294" s="23"/>
      <c r="DA294" s="21"/>
      <c r="DE294" s="23"/>
      <c r="DI294" s="21"/>
      <c r="DM294" s="23"/>
    </row>
    <row r="295" spans="73:117">
      <c r="BU295" s="23"/>
      <c r="BX295" s="21"/>
      <c r="CA295" s="23"/>
      <c r="CD295" s="21"/>
      <c r="CK295" s="21"/>
      <c r="CO295" s="23"/>
      <c r="CS295" s="21"/>
      <c r="CW295" s="23"/>
      <c r="DA295" s="21"/>
      <c r="DE295" s="23"/>
      <c r="DI295" s="21"/>
      <c r="DM295" s="23"/>
    </row>
    <row r="296" spans="73:117">
      <c r="BU296" s="23"/>
      <c r="BX296" s="21"/>
      <c r="CA296" s="23"/>
      <c r="CD296" s="21"/>
      <c r="CK296" s="21"/>
      <c r="CO296" s="23"/>
      <c r="CS296" s="21"/>
      <c r="CW296" s="23"/>
      <c r="DA296" s="21"/>
      <c r="DE296" s="23"/>
      <c r="DI296" s="21"/>
      <c r="DM296" s="23"/>
    </row>
    <row r="297" spans="73:117">
      <c r="BU297" s="23"/>
      <c r="BX297" s="21"/>
      <c r="CA297" s="23"/>
      <c r="CD297" s="21"/>
      <c r="CK297" s="21"/>
      <c r="CO297" s="23"/>
      <c r="CS297" s="21"/>
      <c r="CW297" s="23"/>
      <c r="DA297" s="21"/>
      <c r="DE297" s="23"/>
      <c r="DI297" s="21"/>
      <c r="DM297" s="23"/>
    </row>
    <row r="298" spans="73:117">
      <c r="BU298" s="23"/>
      <c r="BX298" s="21"/>
      <c r="CA298" s="23"/>
      <c r="CD298" s="21"/>
      <c r="CK298" s="21"/>
      <c r="CO298" s="23"/>
      <c r="CS298" s="21"/>
      <c r="CW298" s="23"/>
      <c r="DA298" s="21"/>
      <c r="DE298" s="23"/>
      <c r="DI298" s="21"/>
      <c r="DM298" s="23"/>
    </row>
    <row r="299" spans="73:117">
      <c r="BU299" s="23"/>
      <c r="BX299" s="21"/>
      <c r="CA299" s="23"/>
      <c r="CD299" s="21"/>
      <c r="CK299" s="21"/>
      <c r="CO299" s="23"/>
      <c r="CS299" s="21"/>
      <c r="CW299" s="23"/>
      <c r="DA299" s="21"/>
      <c r="DE299" s="23"/>
      <c r="DI299" s="21"/>
      <c r="DM299" s="23"/>
    </row>
    <row r="300" spans="73:117">
      <c r="BU300" s="23"/>
      <c r="BX300" s="21"/>
      <c r="CA300" s="23"/>
      <c r="CD300" s="21"/>
      <c r="CK300" s="21"/>
      <c r="CO300" s="23"/>
      <c r="CS300" s="21"/>
      <c r="CW300" s="23"/>
      <c r="DA300" s="21"/>
      <c r="DE300" s="23"/>
      <c r="DI300" s="21"/>
      <c r="DM300" s="23"/>
    </row>
    <row r="301" spans="73:117">
      <c r="BU301" s="23"/>
      <c r="BX301" s="21"/>
      <c r="CA301" s="23"/>
      <c r="CD301" s="21"/>
      <c r="CK301" s="21"/>
      <c r="CO301" s="23"/>
      <c r="CS301" s="21"/>
      <c r="CW301" s="23"/>
      <c r="DA301" s="21"/>
      <c r="DE301" s="23"/>
      <c r="DI301" s="21"/>
      <c r="DM301" s="23"/>
    </row>
    <row r="302" spans="73:117">
      <c r="BU302" s="23"/>
      <c r="BX302" s="21"/>
      <c r="CA302" s="23"/>
      <c r="CD302" s="21"/>
      <c r="CK302" s="21"/>
      <c r="CO302" s="23"/>
      <c r="CS302" s="21"/>
      <c r="CW302" s="23"/>
      <c r="DA302" s="21"/>
      <c r="DE302" s="23"/>
      <c r="DI302" s="21"/>
      <c r="DM302" s="23"/>
    </row>
    <row r="303" spans="73:117">
      <c r="BU303" s="23"/>
      <c r="BX303" s="21"/>
      <c r="CA303" s="23"/>
      <c r="CD303" s="21"/>
      <c r="CK303" s="21"/>
      <c r="CO303" s="23"/>
      <c r="CS303" s="21"/>
      <c r="CW303" s="23"/>
      <c r="DA303" s="21"/>
      <c r="DE303" s="23"/>
      <c r="DI303" s="21"/>
      <c r="DM303" s="23"/>
    </row>
    <row r="304" spans="73:117">
      <c r="BU304" s="23"/>
      <c r="BX304" s="21"/>
      <c r="CA304" s="23"/>
      <c r="CD304" s="21"/>
      <c r="CK304" s="21"/>
      <c r="CO304" s="23"/>
      <c r="CS304" s="21"/>
      <c r="CW304" s="23"/>
      <c r="DA304" s="21"/>
      <c r="DE304" s="23"/>
      <c r="DI304" s="21"/>
      <c r="DM304" s="23"/>
    </row>
    <row r="305" spans="73:117">
      <c r="BU305" s="23"/>
      <c r="BX305" s="21"/>
      <c r="CA305" s="23"/>
      <c r="CD305" s="21"/>
      <c r="CK305" s="21"/>
      <c r="CO305" s="23"/>
      <c r="CS305" s="21"/>
      <c r="CW305" s="23"/>
      <c r="DA305" s="21"/>
      <c r="DE305" s="23"/>
      <c r="DI305" s="21"/>
      <c r="DM305" s="23"/>
    </row>
    <row r="306" spans="73:117">
      <c r="BU306" s="23"/>
      <c r="BX306" s="21"/>
      <c r="CA306" s="23"/>
      <c r="CD306" s="21"/>
      <c r="CK306" s="21"/>
      <c r="CO306" s="23"/>
      <c r="CS306" s="21"/>
      <c r="CW306" s="23"/>
      <c r="DA306" s="21"/>
      <c r="DE306" s="23"/>
      <c r="DI306" s="21"/>
      <c r="DM306" s="23"/>
    </row>
    <row r="307" spans="73:117">
      <c r="BU307" s="23"/>
      <c r="BX307" s="21"/>
      <c r="CA307" s="23"/>
      <c r="CD307" s="21"/>
      <c r="CK307" s="21"/>
      <c r="CO307" s="23"/>
      <c r="CS307" s="21"/>
      <c r="CW307" s="23"/>
      <c r="DA307" s="21"/>
      <c r="DE307" s="23"/>
      <c r="DI307" s="21"/>
      <c r="DM307" s="23"/>
    </row>
    <row r="308" spans="73:117">
      <c r="BU308" s="23"/>
      <c r="BX308" s="21"/>
      <c r="CA308" s="23"/>
      <c r="CD308" s="21"/>
      <c r="CK308" s="21"/>
      <c r="CO308" s="23"/>
      <c r="CS308" s="21"/>
      <c r="CW308" s="23"/>
      <c r="DA308" s="21"/>
      <c r="DE308" s="23"/>
      <c r="DI308" s="21"/>
      <c r="DM308" s="23"/>
    </row>
    <row r="309" spans="73:117">
      <c r="BU309" s="23"/>
      <c r="BX309" s="21"/>
      <c r="CA309" s="23"/>
      <c r="CD309" s="21"/>
      <c r="CK309" s="21"/>
      <c r="CO309" s="23"/>
      <c r="CS309" s="21"/>
      <c r="CW309" s="23"/>
      <c r="DA309" s="21"/>
      <c r="DE309" s="23"/>
      <c r="DI309" s="21"/>
      <c r="DM309" s="23"/>
    </row>
    <row r="310" spans="73:117">
      <c r="BU310" s="23"/>
      <c r="BX310" s="21"/>
      <c r="CA310" s="23"/>
      <c r="CD310" s="21"/>
      <c r="CK310" s="21"/>
      <c r="CO310" s="23"/>
      <c r="CS310" s="21"/>
      <c r="CW310" s="23"/>
      <c r="DA310" s="21"/>
      <c r="DE310" s="23"/>
      <c r="DI310" s="21"/>
      <c r="DM310" s="23"/>
    </row>
    <row r="311" spans="73:117">
      <c r="BU311" s="23"/>
      <c r="BX311" s="21"/>
      <c r="CA311" s="23"/>
      <c r="CD311" s="21"/>
      <c r="CK311" s="21"/>
      <c r="CO311" s="23"/>
      <c r="CS311" s="21"/>
      <c r="CW311" s="23"/>
      <c r="DA311" s="21"/>
      <c r="DE311" s="23"/>
      <c r="DI311" s="21"/>
      <c r="DM311" s="23"/>
    </row>
    <row r="312" spans="73:117">
      <c r="BU312" s="23"/>
      <c r="BX312" s="21"/>
      <c r="CA312" s="23"/>
      <c r="CD312" s="21"/>
      <c r="CK312" s="21"/>
      <c r="CO312" s="23"/>
      <c r="CS312" s="21"/>
      <c r="CW312" s="23"/>
      <c r="DA312" s="21"/>
      <c r="DE312" s="23"/>
      <c r="DI312" s="21"/>
      <c r="DM312" s="23"/>
    </row>
    <row r="313" spans="73:117">
      <c r="BU313" s="23"/>
      <c r="BX313" s="21"/>
      <c r="CA313" s="23"/>
      <c r="CD313" s="21"/>
      <c r="CK313" s="21"/>
      <c r="CO313" s="23"/>
      <c r="CS313" s="21"/>
      <c r="CW313" s="23"/>
      <c r="DA313" s="21"/>
      <c r="DE313" s="23"/>
      <c r="DI313" s="21"/>
      <c r="DM313" s="23"/>
    </row>
    <row r="314" spans="73:117">
      <c r="BU314" s="23"/>
      <c r="BX314" s="21"/>
      <c r="CA314" s="23"/>
      <c r="CD314" s="21"/>
      <c r="CK314" s="21"/>
      <c r="CO314" s="23"/>
      <c r="CS314" s="21"/>
      <c r="CW314" s="23"/>
      <c r="DA314" s="21"/>
      <c r="DE314" s="23"/>
      <c r="DI314" s="21"/>
      <c r="DM314" s="23"/>
    </row>
    <row r="315" spans="73:117">
      <c r="BU315" s="23"/>
      <c r="BX315" s="21"/>
      <c r="CA315" s="23"/>
      <c r="CD315" s="21"/>
      <c r="CK315" s="21"/>
      <c r="CO315" s="23"/>
      <c r="CS315" s="21"/>
      <c r="CW315" s="23"/>
      <c r="DA315" s="21"/>
      <c r="DE315" s="23"/>
      <c r="DI315" s="21"/>
      <c r="DM315" s="23"/>
    </row>
    <row r="316" spans="73:117">
      <c r="BU316" s="23"/>
      <c r="BX316" s="21"/>
      <c r="CA316" s="23"/>
      <c r="CD316" s="21"/>
      <c r="CK316" s="21"/>
      <c r="CO316" s="23"/>
      <c r="CS316" s="21"/>
      <c r="CW316" s="23"/>
      <c r="DA316" s="21"/>
      <c r="DE316" s="23"/>
      <c r="DI316" s="21"/>
      <c r="DM316" s="23"/>
    </row>
    <row r="317" spans="73:117">
      <c r="BU317" s="23"/>
      <c r="BX317" s="21"/>
      <c r="CA317" s="23"/>
      <c r="CD317" s="21"/>
      <c r="CK317" s="21"/>
      <c r="CO317" s="23"/>
      <c r="CS317" s="21"/>
      <c r="CW317" s="23"/>
      <c r="DA317" s="21"/>
      <c r="DE317" s="23"/>
      <c r="DI317" s="21"/>
      <c r="DM317" s="23"/>
    </row>
    <row r="318" spans="73:117">
      <c r="BU318" s="23"/>
      <c r="BX318" s="21"/>
      <c r="CA318" s="23"/>
      <c r="CD318" s="21"/>
      <c r="CK318" s="21"/>
      <c r="CO318" s="23"/>
      <c r="CS318" s="21"/>
      <c r="CW318" s="23"/>
      <c r="DA318" s="21"/>
      <c r="DE318" s="23"/>
      <c r="DI318" s="21"/>
      <c r="DM318" s="23"/>
    </row>
    <row r="319" spans="73:117">
      <c r="BU319" s="23"/>
      <c r="BX319" s="21"/>
      <c r="CA319" s="23"/>
      <c r="CD319" s="21"/>
      <c r="CK319" s="21"/>
      <c r="CO319" s="23"/>
      <c r="CS319" s="21"/>
      <c r="CW319" s="23"/>
      <c r="DA319" s="21"/>
      <c r="DE319" s="23"/>
      <c r="DI319" s="21"/>
      <c r="DM319" s="23"/>
    </row>
    <row r="320" spans="73:117">
      <c r="BU320" s="23"/>
      <c r="BX320" s="21"/>
      <c r="CA320" s="23"/>
      <c r="CD320" s="21"/>
      <c r="CK320" s="21"/>
      <c r="CO320" s="23"/>
      <c r="CS320" s="21"/>
      <c r="CW320" s="23"/>
      <c r="DA320" s="21"/>
      <c r="DE320" s="23"/>
      <c r="DI320" s="21"/>
      <c r="DM320" s="23"/>
    </row>
    <row r="321" spans="73:117">
      <c r="BU321" s="23"/>
      <c r="BX321" s="21"/>
      <c r="CA321" s="23"/>
      <c r="CD321" s="21"/>
      <c r="CK321" s="21"/>
      <c r="CO321" s="23"/>
      <c r="CS321" s="21"/>
      <c r="CW321" s="23"/>
      <c r="DA321" s="21"/>
      <c r="DE321" s="23"/>
      <c r="DI321" s="21"/>
      <c r="DM321" s="23"/>
    </row>
    <row r="322" spans="73:117">
      <c r="BU322" s="23"/>
      <c r="BX322" s="21"/>
      <c r="CA322" s="23"/>
      <c r="CD322" s="21"/>
      <c r="CK322" s="21"/>
      <c r="CO322" s="23"/>
      <c r="CS322" s="21"/>
      <c r="CW322" s="23"/>
      <c r="DA322" s="21"/>
      <c r="DE322" s="23"/>
      <c r="DI322" s="21"/>
      <c r="DM322" s="23"/>
    </row>
    <row r="323" spans="73:117">
      <c r="BU323" s="23"/>
      <c r="BX323" s="21"/>
      <c r="CA323" s="23"/>
      <c r="CD323" s="21"/>
      <c r="CK323" s="21"/>
      <c r="CO323" s="23"/>
      <c r="CS323" s="21"/>
      <c r="CW323" s="23"/>
      <c r="DA323" s="21"/>
      <c r="DE323" s="23"/>
      <c r="DI323" s="21"/>
      <c r="DM323" s="23"/>
    </row>
    <row r="324" spans="73:117">
      <c r="BU324" s="23"/>
      <c r="BX324" s="21"/>
      <c r="CA324" s="23"/>
      <c r="CD324" s="21"/>
      <c r="CK324" s="21"/>
      <c r="CO324" s="23"/>
      <c r="CS324" s="21"/>
      <c r="CW324" s="23"/>
      <c r="DA324" s="21"/>
      <c r="DE324" s="23"/>
      <c r="DI324" s="21"/>
      <c r="DM324" s="23"/>
    </row>
    <row r="325" spans="73:117">
      <c r="BU325" s="23"/>
      <c r="BX325" s="21"/>
      <c r="CA325" s="23"/>
      <c r="CD325" s="21"/>
      <c r="CK325" s="21"/>
      <c r="CO325" s="23"/>
      <c r="CS325" s="21"/>
      <c r="CW325" s="23"/>
      <c r="DA325" s="21"/>
      <c r="DE325" s="23"/>
      <c r="DI325" s="21"/>
      <c r="DM325" s="23"/>
    </row>
    <row r="326" spans="73:117">
      <c r="BU326" s="23"/>
      <c r="BX326" s="21"/>
      <c r="CA326" s="23"/>
      <c r="CD326" s="21"/>
      <c r="CK326" s="21"/>
      <c r="CO326" s="23"/>
      <c r="CS326" s="21"/>
      <c r="CW326" s="23"/>
      <c r="DA326" s="21"/>
      <c r="DE326" s="23"/>
      <c r="DI326" s="21"/>
      <c r="DM326" s="23"/>
    </row>
    <row r="327" spans="73:117">
      <c r="BU327" s="23"/>
      <c r="BX327" s="21"/>
      <c r="CA327" s="23"/>
      <c r="CD327" s="21"/>
      <c r="CK327" s="21"/>
      <c r="CO327" s="23"/>
      <c r="CS327" s="21"/>
      <c r="CW327" s="23"/>
      <c r="DA327" s="21"/>
      <c r="DE327" s="23"/>
      <c r="DI327" s="21"/>
      <c r="DM327" s="23"/>
    </row>
    <row r="328" spans="73:117">
      <c r="BU328" s="23"/>
      <c r="BX328" s="21"/>
      <c r="CA328" s="23"/>
      <c r="CD328" s="21"/>
      <c r="CK328" s="21"/>
      <c r="CO328" s="23"/>
      <c r="CS328" s="21"/>
      <c r="CW328" s="23"/>
      <c r="DA328" s="21"/>
      <c r="DE328" s="23"/>
      <c r="DI328" s="21"/>
      <c r="DM328" s="23"/>
    </row>
    <row r="329" spans="73:117">
      <c r="BU329" s="23"/>
      <c r="BX329" s="21"/>
      <c r="CA329" s="23"/>
      <c r="CD329" s="21"/>
      <c r="CK329" s="21"/>
      <c r="CO329" s="23"/>
      <c r="CS329" s="21"/>
      <c r="CW329" s="23"/>
      <c r="DA329" s="21"/>
      <c r="DE329" s="23"/>
      <c r="DI329" s="21"/>
      <c r="DM329" s="23"/>
    </row>
    <row r="330" spans="73:117">
      <c r="BU330" s="23"/>
      <c r="BX330" s="21"/>
      <c r="CA330" s="23"/>
      <c r="CD330" s="21"/>
      <c r="CK330" s="21"/>
      <c r="CO330" s="23"/>
      <c r="CS330" s="21"/>
      <c r="CW330" s="23"/>
      <c r="DA330" s="21"/>
      <c r="DE330" s="23"/>
      <c r="DI330" s="21"/>
      <c r="DM330" s="23"/>
    </row>
    <row r="331" spans="73:117">
      <c r="BU331" s="23"/>
      <c r="BX331" s="21"/>
      <c r="CA331" s="23"/>
      <c r="CD331" s="21"/>
      <c r="CK331" s="21"/>
      <c r="CO331" s="23"/>
      <c r="CS331" s="21"/>
      <c r="CW331" s="23"/>
      <c r="DA331" s="21"/>
      <c r="DE331" s="23"/>
      <c r="DI331" s="21"/>
      <c r="DM331" s="23"/>
    </row>
    <row r="332" spans="73:117">
      <c r="BU332" s="23"/>
      <c r="BX332" s="21"/>
      <c r="CA332" s="23"/>
      <c r="CD332" s="21"/>
      <c r="CK332" s="21"/>
      <c r="CO332" s="23"/>
      <c r="CS332" s="21"/>
      <c r="CW332" s="23"/>
      <c r="DA332" s="21"/>
      <c r="DE332" s="23"/>
      <c r="DI332" s="21"/>
      <c r="DM332" s="23"/>
    </row>
    <row r="333" spans="73:117">
      <c r="BU333" s="23"/>
      <c r="BX333" s="21"/>
      <c r="CA333" s="23"/>
      <c r="CD333" s="21"/>
      <c r="CK333" s="21"/>
      <c r="CO333" s="23"/>
      <c r="CS333" s="21"/>
      <c r="CW333" s="23"/>
      <c r="DA333" s="21"/>
      <c r="DE333" s="23"/>
      <c r="DI333" s="21"/>
      <c r="DM333" s="23"/>
    </row>
    <row r="334" spans="73:117">
      <c r="BU334" s="23"/>
      <c r="BX334" s="21"/>
      <c r="CA334" s="23"/>
      <c r="CD334" s="21"/>
      <c r="CK334" s="21"/>
      <c r="CO334" s="23"/>
      <c r="CS334" s="21"/>
      <c r="CW334" s="23"/>
      <c r="DA334" s="21"/>
      <c r="DE334" s="23"/>
      <c r="DI334" s="21"/>
      <c r="DM334" s="23"/>
    </row>
    <row r="335" spans="73:117">
      <c r="BU335" s="23"/>
      <c r="BX335" s="21"/>
      <c r="CA335" s="23"/>
      <c r="CD335" s="21"/>
      <c r="CK335" s="21"/>
      <c r="CO335" s="23"/>
      <c r="CS335" s="21"/>
      <c r="CW335" s="23"/>
      <c r="DA335" s="21"/>
      <c r="DE335" s="23"/>
      <c r="DI335" s="21"/>
      <c r="DM335" s="23"/>
    </row>
    <row r="336" spans="73:117">
      <c r="BU336" s="23"/>
      <c r="BX336" s="21"/>
      <c r="CA336" s="23"/>
      <c r="CD336" s="21"/>
      <c r="CK336" s="21"/>
      <c r="CO336" s="23"/>
      <c r="CS336" s="21"/>
      <c r="CW336" s="23"/>
      <c r="DA336" s="21"/>
      <c r="DE336" s="23"/>
      <c r="DI336" s="21"/>
      <c r="DM336" s="23"/>
    </row>
    <row r="337" spans="73:117">
      <c r="BU337" s="23"/>
      <c r="BX337" s="21"/>
      <c r="CA337" s="23"/>
      <c r="CD337" s="21"/>
      <c r="CK337" s="21"/>
      <c r="CO337" s="23"/>
      <c r="CS337" s="21"/>
      <c r="CW337" s="23"/>
      <c r="DA337" s="21"/>
      <c r="DE337" s="23"/>
      <c r="DI337" s="21"/>
      <c r="DM337" s="23"/>
    </row>
    <row r="338" spans="73:117">
      <c r="BU338" s="23"/>
      <c r="BX338" s="21"/>
      <c r="CA338" s="23"/>
      <c r="CD338" s="21"/>
      <c r="CK338" s="21"/>
      <c r="CO338" s="23"/>
      <c r="CS338" s="21"/>
      <c r="CW338" s="23"/>
      <c r="DA338" s="21"/>
      <c r="DE338" s="23"/>
      <c r="DI338" s="21"/>
      <c r="DM338" s="23"/>
    </row>
    <row r="339" spans="73:117">
      <c r="BU339" s="23"/>
      <c r="BX339" s="21"/>
      <c r="CA339" s="23"/>
      <c r="CD339" s="21"/>
      <c r="CK339" s="21"/>
      <c r="CO339" s="23"/>
      <c r="CS339" s="21"/>
      <c r="CW339" s="23"/>
      <c r="DA339" s="21"/>
      <c r="DE339" s="23"/>
      <c r="DI339" s="21"/>
      <c r="DM339" s="23"/>
    </row>
    <row r="340" spans="73:117">
      <c r="BU340" s="23"/>
      <c r="BX340" s="21"/>
      <c r="CA340" s="23"/>
      <c r="CD340" s="21"/>
      <c r="CK340" s="21"/>
      <c r="CO340" s="23"/>
      <c r="CS340" s="21"/>
      <c r="CW340" s="23"/>
      <c r="DA340" s="21"/>
      <c r="DE340" s="23"/>
      <c r="DI340" s="21"/>
      <c r="DM340" s="23"/>
    </row>
    <row r="341" spans="73:117">
      <c r="BU341" s="23"/>
      <c r="BX341" s="21"/>
      <c r="CA341" s="23"/>
      <c r="CD341" s="21"/>
      <c r="CK341" s="21"/>
      <c r="CO341" s="23"/>
      <c r="CS341" s="21"/>
      <c r="CW341" s="23"/>
      <c r="DA341" s="21"/>
      <c r="DE341" s="23"/>
      <c r="DI341" s="21"/>
      <c r="DM341" s="23"/>
    </row>
    <row r="342" spans="73:117">
      <c r="BU342" s="23"/>
      <c r="BX342" s="21"/>
      <c r="CA342" s="23"/>
      <c r="CD342" s="21"/>
      <c r="CK342" s="21"/>
      <c r="CO342" s="23"/>
      <c r="CS342" s="21"/>
      <c r="CW342" s="23"/>
      <c r="DA342" s="21"/>
      <c r="DE342" s="23"/>
      <c r="DI342" s="21"/>
      <c r="DM342" s="23"/>
    </row>
    <row r="343" spans="73:117">
      <c r="BU343" s="23"/>
      <c r="BX343" s="21"/>
      <c r="CA343" s="23"/>
      <c r="CD343" s="21"/>
      <c r="CK343" s="21"/>
      <c r="CO343" s="23"/>
      <c r="CS343" s="21"/>
      <c r="CW343" s="23"/>
      <c r="DA343" s="21"/>
      <c r="DE343" s="23"/>
      <c r="DI343" s="21"/>
      <c r="DM343" s="23"/>
    </row>
    <row r="344" spans="73:117">
      <c r="BU344" s="23"/>
      <c r="BX344" s="21"/>
      <c r="CA344" s="23"/>
      <c r="CD344" s="21"/>
      <c r="CK344" s="21"/>
      <c r="CO344" s="23"/>
      <c r="CS344" s="21"/>
      <c r="CW344" s="23"/>
      <c r="DA344" s="21"/>
      <c r="DE344" s="23"/>
      <c r="DI344" s="21"/>
      <c r="DM344" s="23"/>
    </row>
    <row r="345" spans="73:117">
      <c r="BU345" s="23"/>
      <c r="BX345" s="21"/>
      <c r="CA345" s="23"/>
      <c r="CD345" s="21"/>
      <c r="CK345" s="21"/>
      <c r="CO345" s="23"/>
      <c r="CS345" s="21"/>
      <c r="CW345" s="23"/>
      <c r="DA345" s="21"/>
      <c r="DE345" s="23"/>
      <c r="DI345" s="21"/>
      <c r="DM345" s="23"/>
    </row>
    <row r="346" spans="73:117">
      <c r="BU346" s="23"/>
      <c r="BX346" s="21"/>
      <c r="CA346" s="23"/>
      <c r="CD346" s="21"/>
      <c r="CK346" s="21"/>
      <c r="CO346" s="23"/>
      <c r="CS346" s="21"/>
      <c r="CW346" s="23"/>
      <c r="DA346" s="21"/>
      <c r="DE346" s="23"/>
      <c r="DI346" s="21"/>
      <c r="DM346" s="23"/>
    </row>
    <row r="347" spans="73:117">
      <c r="BU347" s="23"/>
      <c r="BX347" s="21"/>
      <c r="CA347" s="23"/>
      <c r="CD347" s="21"/>
      <c r="CK347" s="21"/>
      <c r="CO347" s="23"/>
      <c r="CS347" s="21"/>
      <c r="CW347" s="23"/>
      <c r="DA347" s="21"/>
      <c r="DE347" s="23"/>
      <c r="DI347" s="21"/>
      <c r="DM347" s="23"/>
    </row>
    <row r="348" spans="73:117">
      <c r="BU348" s="23"/>
      <c r="BX348" s="21"/>
      <c r="CA348" s="23"/>
      <c r="CD348" s="21"/>
      <c r="CK348" s="21"/>
      <c r="CO348" s="23"/>
      <c r="CS348" s="21"/>
      <c r="CW348" s="23"/>
      <c r="DA348" s="21"/>
      <c r="DE348" s="23"/>
      <c r="DI348" s="21"/>
      <c r="DM348" s="23"/>
    </row>
    <row r="349" spans="73:117">
      <c r="BU349" s="23"/>
      <c r="BX349" s="21"/>
      <c r="CA349" s="23"/>
      <c r="CD349" s="21"/>
      <c r="CK349" s="21"/>
      <c r="CO349" s="23"/>
      <c r="CS349" s="21"/>
      <c r="CW349" s="23"/>
      <c r="DA349" s="21"/>
      <c r="DE349" s="23"/>
      <c r="DI349" s="21"/>
      <c r="DM349" s="23"/>
    </row>
    <row r="350" spans="73:117">
      <c r="BU350" s="23"/>
      <c r="BX350" s="21"/>
      <c r="CA350" s="23"/>
      <c r="CD350" s="21"/>
      <c r="CK350" s="21"/>
      <c r="CO350" s="23"/>
      <c r="CS350" s="21"/>
      <c r="CW350" s="23"/>
      <c r="DA350" s="21"/>
      <c r="DE350" s="23"/>
      <c r="DI350" s="21"/>
      <c r="DM350" s="23"/>
    </row>
    <row r="351" spans="73:117">
      <c r="BU351" s="23"/>
      <c r="BX351" s="21"/>
      <c r="CA351" s="23"/>
      <c r="CD351" s="21"/>
      <c r="CK351" s="21"/>
      <c r="CO351" s="23"/>
      <c r="CS351" s="21"/>
      <c r="CW351" s="23"/>
      <c r="DA351" s="21"/>
      <c r="DE351" s="23"/>
      <c r="DI351" s="21"/>
      <c r="DM351" s="23"/>
    </row>
    <row r="352" spans="73:117">
      <c r="BU352" s="23"/>
      <c r="BX352" s="21"/>
      <c r="CA352" s="23"/>
      <c r="CD352" s="21"/>
      <c r="CK352" s="21"/>
      <c r="CO352" s="23"/>
      <c r="CS352" s="21"/>
      <c r="CW352" s="23"/>
      <c r="DA352" s="21"/>
      <c r="DE352" s="23"/>
      <c r="DI352" s="21"/>
      <c r="DM352" s="23"/>
    </row>
    <row r="353" spans="73:117">
      <c r="BU353" s="23"/>
      <c r="BX353" s="21"/>
      <c r="CA353" s="23"/>
      <c r="CD353" s="21"/>
      <c r="CK353" s="21"/>
      <c r="CO353" s="23"/>
      <c r="CS353" s="21"/>
      <c r="CW353" s="23"/>
      <c r="DA353" s="21"/>
      <c r="DE353" s="23"/>
      <c r="DI353" s="21"/>
      <c r="DM353" s="23"/>
    </row>
    <row r="354" spans="73:117">
      <c r="BU354" s="23"/>
      <c r="BX354" s="21"/>
      <c r="CA354" s="23"/>
      <c r="CD354" s="21"/>
      <c r="CK354" s="21"/>
      <c r="CO354" s="23"/>
      <c r="CS354" s="21"/>
      <c r="CW354" s="23"/>
      <c r="DA354" s="21"/>
      <c r="DE354" s="23"/>
      <c r="DI354" s="21"/>
      <c r="DM354" s="23"/>
    </row>
    <row r="355" spans="73:117">
      <c r="BU355" s="23"/>
      <c r="BX355" s="21"/>
      <c r="CA355" s="23"/>
      <c r="CD355" s="21"/>
      <c r="CK355" s="21"/>
      <c r="CO355" s="23"/>
      <c r="CS355" s="21"/>
      <c r="CW355" s="23"/>
      <c r="DA355" s="21"/>
      <c r="DE355" s="23"/>
      <c r="DI355" s="21"/>
      <c r="DM355" s="23"/>
    </row>
    <row r="356" spans="73:117">
      <c r="BU356" s="23"/>
      <c r="BX356" s="21"/>
      <c r="CA356" s="23"/>
      <c r="CD356" s="21"/>
      <c r="CK356" s="21"/>
      <c r="CO356" s="23"/>
      <c r="CS356" s="21"/>
      <c r="CW356" s="23"/>
      <c r="DA356" s="21"/>
      <c r="DE356" s="23"/>
      <c r="DI356" s="21"/>
      <c r="DM356" s="23"/>
    </row>
    <row r="357" spans="73:117">
      <c r="BU357" s="23"/>
      <c r="BX357" s="21"/>
      <c r="CA357" s="23"/>
      <c r="CD357" s="21"/>
      <c r="CK357" s="21"/>
      <c r="CO357" s="23"/>
      <c r="CS357" s="21"/>
      <c r="CW357" s="23"/>
      <c r="DA357" s="21"/>
      <c r="DE357" s="23"/>
      <c r="DI357" s="21"/>
      <c r="DM357" s="23"/>
    </row>
    <row r="358" spans="73:117">
      <c r="BU358" s="23"/>
      <c r="BX358" s="21"/>
      <c r="CA358" s="23"/>
      <c r="CD358" s="21"/>
      <c r="CK358" s="21"/>
      <c r="CO358" s="23"/>
      <c r="CS358" s="21"/>
      <c r="CW358" s="23"/>
      <c r="DA358" s="21"/>
      <c r="DE358" s="23"/>
      <c r="DI358" s="21"/>
      <c r="DM358" s="23"/>
    </row>
    <row r="359" spans="73:117">
      <c r="BU359" s="23"/>
      <c r="BX359" s="21"/>
      <c r="CA359" s="23"/>
      <c r="CD359" s="21"/>
      <c r="CK359" s="21"/>
      <c r="CO359" s="23"/>
      <c r="CS359" s="21"/>
      <c r="CW359" s="23"/>
      <c r="DA359" s="21"/>
      <c r="DE359" s="23"/>
      <c r="DI359" s="21"/>
      <c r="DM359" s="23"/>
    </row>
    <row r="360" spans="73:117">
      <c r="BU360" s="23"/>
      <c r="BX360" s="21"/>
      <c r="CA360" s="23"/>
      <c r="CD360" s="21"/>
      <c r="CK360" s="21"/>
      <c r="CO360" s="23"/>
      <c r="CS360" s="21"/>
      <c r="CW360" s="23"/>
      <c r="DA360" s="21"/>
      <c r="DE360" s="23"/>
      <c r="DI360" s="21"/>
      <c r="DM360" s="23"/>
    </row>
    <row r="361" spans="73:117">
      <c r="BU361" s="23"/>
      <c r="BX361" s="21"/>
      <c r="CA361" s="23"/>
      <c r="CD361" s="21"/>
      <c r="CK361" s="21"/>
      <c r="CO361" s="23"/>
      <c r="CS361" s="21"/>
      <c r="CW361" s="23"/>
      <c r="DA361" s="21"/>
      <c r="DE361" s="23"/>
      <c r="DI361" s="21"/>
      <c r="DM361" s="23"/>
    </row>
    <row r="362" spans="73:117">
      <c r="BU362" s="23"/>
      <c r="BX362" s="21"/>
      <c r="CA362" s="23"/>
      <c r="CD362" s="21"/>
      <c r="CK362" s="21"/>
      <c r="CO362" s="23"/>
      <c r="CS362" s="21"/>
      <c r="CW362" s="23"/>
      <c r="DA362" s="21"/>
      <c r="DE362" s="23"/>
      <c r="DI362" s="21"/>
      <c r="DM362" s="23"/>
    </row>
    <row r="363" spans="73:117">
      <c r="BU363" s="23"/>
      <c r="BX363" s="21"/>
      <c r="CA363" s="23"/>
      <c r="CD363" s="21"/>
      <c r="CK363" s="21"/>
      <c r="CO363" s="23"/>
      <c r="CS363" s="21"/>
      <c r="CW363" s="23"/>
      <c r="DA363" s="21"/>
      <c r="DE363" s="23"/>
      <c r="DI363" s="21"/>
      <c r="DM363" s="23"/>
    </row>
    <row r="364" spans="73:117">
      <c r="BU364" s="23"/>
      <c r="BX364" s="21"/>
      <c r="CA364" s="23"/>
      <c r="CD364" s="21"/>
      <c r="CK364" s="21"/>
      <c r="CO364" s="23"/>
      <c r="CS364" s="21"/>
      <c r="CW364" s="23"/>
      <c r="DA364" s="21"/>
      <c r="DE364" s="23"/>
      <c r="DI364" s="21"/>
      <c r="DM364" s="23"/>
    </row>
    <row r="365" spans="73:117">
      <c r="BU365" s="23"/>
      <c r="BX365" s="21"/>
      <c r="CA365" s="23"/>
      <c r="CD365" s="21"/>
      <c r="CK365" s="21"/>
      <c r="CO365" s="23"/>
      <c r="CS365" s="21"/>
      <c r="CW365" s="23"/>
      <c r="DA365" s="21"/>
      <c r="DE365" s="23"/>
      <c r="DI365" s="21"/>
      <c r="DM365" s="23"/>
    </row>
    <row r="366" spans="73:117">
      <c r="BU366" s="23"/>
      <c r="BX366" s="21"/>
      <c r="CA366" s="23"/>
      <c r="CD366" s="21"/>
      <c r="CK366" s="21"/>
      <c r="CO366" s="23"/>
      <c r="CS366" s="21"/>
      <c r="CW366" s="23"/>
      <c r="DA366" s="21"/>
      <c r="DE366" s="23"/>
      <c r="DI366" s="21"/>
      <c r="DM366" s="23"/>
    </row>
    <row r="367" spans="73:117">
      <c r="BU367" s="23"/>
      <c r="BX367" s="21"/>
      <c r="CA367" s="23"/>
      <c r="CD367" s="21"/>
      <c r="CK367" s="21"/>
      <c r="CO367" s="23"/>
      <c r="CS367" s="21"/>
      <c r="CW367" s="23"/>
      <c r="DA367" s="21"/>
      <c r="DE367" s="23"/>
      <c r="DI367" s="21"/>
      <c r="DM367" s="23"/>
    </row>
    <row r="368" spans="73:117">
      <c r="BU368" s="23"/>
      <c r="BX368" s="21"/>
      <c r="CA368" s="23"/>
      <c r="CD368" s="21"/>
      <c r="CK368" s="21"/>
      <c r="CO368" s="23"/>
      <c r="CS368" s="21"/>
      <c r="CW368" s="23"/>
      <c r="DA368" s="21"/>
      <c r="DE368" s="23"/>
      <c r="DI368" s="21"/>
      <c r="DM368" s="23"/>
    </row>
    <row r="369" spans="73:117">
      <c r="BU369" s="23"/>
      <c r="BX369" s="21"/>
      <c r="CA369" s="23"/>
      <c r="CD369" s="21"/>
      <c r="CK369" s="21"/>
      <c r="CO369" s="23"/>
      <c r="CS369" s="21"/>
      <c r="CW369" s="23"/>
      <c r="DA369" s="21"/>
      <c r="DE369" s="23"/>
      <c r="DI369" s="21"/>
      <c r="DM369" s="23"/>
    </row>
    <row r="370" spans="73:117">
      <c r="BU370" s="23"/>
      <c r="BX370" s="21"/>
      <c r="CA370" s="23"/>
      <c r="CD370" s="21"/>
      <c r="CK370" s="21"/>
      <c r="CO370" s="23"/>
      <c r="CS370" s="21"/>
      <c r="CW370" s="23"/>
      <c r="DA370" s="21"/>
      <c r="DE370" s="23"/>
      <c r="DI370" s="21"/>
      <c r="DM370" s="23"/>
    </row>
    <row r="371" spans="73:117">
      <c r="BU371" s="23"/>
      <c r="BX371" s="21"/>
      <c r="CA371" s="23"/>
      <c r="CD371" s="21"/>
      <c r="CK371" s="21"/>
      <c r="CO371" s="23"/>
      <c r="CS371" s="21"/>
      <c r="CW371" s="23"/>
      <c r="DA371" s="21"/>
      <c r="DE371" s="23"/>
      <c r="DI371" s="21"/>
      <c r="DM371" s="23"/>
    </row>
    <row r="372" spans="73:117">
      <c r="BU372" s="23"/>
      <c r="BX372" s="21"/>
      <c r="CA372" s="23"/>
      <c r="CD372" s="21"/>
      <c r="CK372" s="21"/>
      <c r="CO372" s="23"/>
      <c r="CS372" s="21"/>
      <c r="CW372" s="23"/>
      <c r="DA372" s="21"/>
      <c r="DE372" s="23"/>
      <c r="DI372" s="21"/>
      <c r="DM372" s="23"/>
    </row>
    <row r="373" spans="73:117">
      <c r="BU373" s="23"/>
      <c r="BX373" s="21"/>
      <c r="CA373" s="23"/>
      <c r="CD373" s="21"/>
      <c r="CK373" s="21"/>
      <c r="CO373" s="23"/>
      <c r="CS373" s="21"/>
      <c r="CW373" s="23"/>
      <c r="DA373" s="21"/>
      <c r="DE373" s="23"/>
      <c r="DI373" s="21"/>
      <c r="DM373" s="23"/>
    </row>
    <row r="374" spans="73:117">
      <c r="BU374" s="23"/>
      <c r="BX374" s="21"/>
      <c r="CA374" s="23"/>
      <c r="CD374" s="21"/>
      <c r="CK374" s="21"/>
      <c r="CO374" s="23"/>
      <c r="CS374" s="21"/>
      <c r="CW374" s="23"/>
      <c r="DA374" s="21"/>
      <c r="DE374" s="23"/>
      <c r="DI374" s="21"/>
      <c r="DM374" s="23"/>
    </row>
    <row r="375" spans="73:117">
      <c r="BU375" s="23"/>
      <c r="BX375" s="21"/>
      <c r="CA375" s="23"/>
      <c r="CD375" s="21"/>
      <c r="CK375" s="21"/>
      <c r="CO375" s="23"/>
      <c r="CS375" s="21"/>
      <c r="CW375" s="23"/>
      <c r="DA375" s="21"/>
      <c r="DE375" s="23"/>
      <c r="DI375" s="21"/>
      <c r="DM375" s="23"/>
    </row>
    <row r="376" spans="73:117">
      <c r="BU376" s="23"/>
      <c r="BX376" s="21"/>
      <c r="CA376" s="23"/>
      <c r="CD376" s="21"/>
      <c r="CK376" s="21"/>
      <c r="CO376" s="23"/>
      <c r="CS376" s="21"/>
      <c r="CW376" s="23"/>
      <c r="DA376" s="21"/>
      <c r="DE376" s="23"/>
      <c r="DI376" s="21"/>
      <c r="DM376" s="23"/>
    </row>
    <row r="377" spans="73:117">
      <c r="BU377" s="23"/>
      <c r="BX377" s="21"/>
      <c r="CA377" s="23"/>
      <c r="CD377" s="21"/>
      <c r="CK377" s="21"/>
      <c r="CO377" s="23"/>
      <c r="CS377" s="21"/>
      <c r="CW377" s="23"/>
      <c r="DA377" s="21"/>
      <c r="DE377" s="23"/>
      <c r="DI377" s="21"/>
      <c r="DM377" s="23"/>
    </row>
    <row r="378" spans="73:117">
      <c r="BU378" s="23"/>
      <c r="BX378" s="21"/>
      <c r="CA378" s="23"/>
      <c r="CD378" s="21"/>
      <c r="CK378" s="21"/>
      <c r="CO378" s="23"/>
      <c r="CS378" s="21"/>
      <c r="CW378" s="23"/>
      <c r="DA378" s="21"/>
      <c r="DE378" s="23"/>
      <c r="DI378" s="21"/>
      <c r="DM378" s="23"/>
    </row>
    <row r="379" spans="73:117">
      <c r="BU379" s="23"/>
      <c r="BX379" s="21"/>
      <c r="CA379" s="23"/>
      <c r="CD379" s="21"/>
      <c r="CK379" s="21"/>
      <c r="CO379" s="23"/>
      <c r="CS379" s="21"/>
      <c r="CW379" s="23"/>
      <c r="DA379" s="21"/>
      <c r="DE379" s="23"/>
      <c r="DI379" s="21"/>
      <c r="DM379" s="23"/>
    </row>
    <row r="380" spans="73:117">
      <c r="BU380" s="23"/>
      <c r="BX380" s="21"/>
      <c r="CA380" s="23"/>
      <c r="CD380" s="21"/>
      <c r="CK380" s="21"/>
      <c r="CO380" s="23"/>
      <c r="CS380" s="21"/>
      <c r="CW380" s="23"/>
      <c r="DA380" s="21"/>
      <c r="DE380" s="23"/>
      <c r="DI380" s="21"/>
      <c r="DM380" s="23"/>
    </row>
    <row r="381" spans="73:117">
      <c r="BU381" s="23"/>
      <c r="BX381" s="21"/>
      <c r="CA381" s="23"/>
      <c r="CD381" s="21"/>
      <c r="CK381" s="21"/>
      <c r="CO381" s="23"/>
      <c r="CS381" s="21"/>
      <c r="CW381" s="23"/>
      <c r="DA381" s="21"/>
      <c r="DE381" s="23"/>
      <c r="DI381" s="21"/>
      <c r="DM381" s="23"/>
    </row>
    <row r="382" spans="73:117">
      <c r="BU382" s="23"/>
      <c r="BX382" s="21"/>
      <c r="CA382" s="23"/>
      <c r="CD382" s="21"/>
      <c r="CK382" s="21"/>
      <c r="CO382" s="23"/>
      <c r="CS382" s="21"/>
      <c r="CW382" s="23"/>
      <c r="DA382" s="21"/>
      <c r="DE382" s="23"/>
      <c r="DI382" s="21"/>
      <c r="DM382" s="23"/>
    </row>
    <row r="383" spans="73:117">
      <c r="BU383" s="23"/>
      <c r="BX383" s="21"/>
      <c r="CA383" s="23"/>
      <c r="CD383" s="21"/>
      <c r="CK383" s="21"/>
      <c r="CO383" s="23"/>
      <c r="CS383" s="21"/>
      <c r="CW383" s="23"/>
      <c r="DA383" s="21"/>
      <c r="DE383" s="23"/>
      <c r="DI383" s="21"/>
      <c r="DM383" s="23"/>
    </row>
    <row r="384" spans="73:117">
      <c r="BU384" s="23"/>
      <c r="BX384" s="21"/>
      <c r="CA384" s="23"/>
      <c r="CD384" s="21"/>
      <c r="CK384" s="21"/>
      <c r="CO384" s="23"/>
      <c r="CS384" s="21"/>
      <c r="CW384" s="23"/>
      <c r="DA384" s="21"/>
      <c r="DE384" s="23"/>
      <c r="DI384" s="21"/>
      <c r="DM384" s="23"/>
    </row>
    <row r="385" spans="73:117">
      <c r="BU385" s="23"/>
      <c r="BX385" s="21"/>
      <c r="CA385" s="23"/>
      <c r="CD385" s="21"/>
      <c r="CK385" s="21"/>
      <c r="CO385" s="23"/>
      <c r="CS385" s="21"/>
      <c r="CW385" s="23"/>
      <c r="DA385" s="21"/>
      <c r="DE385" s="23"/>
      <c r="DI385" s="21"/>
      <c r="DM385" s="23"/>
    </row>
    <row r="386" spans="73:117">
      <c r="BU386" s="23"/>
      <c r="BX386" s="21"/>
      <c r="CA386" s="23"/>
      <c r="CD386" s="21"/>
      <c r="CK386" s="21"/>
      <c r="CO386" s="23"/>
      <c r="CS386" s="21"/>
      <c r="CW386" s="23"/>
      <c r="DA386" s="21"/>
      <c r="DE386" s="23"/>
      <c r="DI386" s="21"/>
      <c r="DM386" s="23"/>
    </row>
    <row r="387" spans="73:117">
      <c r="BU387" s="23"/>
      <c r="BX387" s="21"/>
      <c r="CA387" s="23"/>
      <c r="CD387" s="21"/>
      <c r="CK387" s="21"/>
      <c r="CO387" s="23"/>
      <c r="CS387" s="21"/>
      <c r="CW387" s="23"/>
      <c r="DA387" s="21"/>
      <c r="DE387" s="23"/>
      <c r="DI387" s="21"/>
      <c r="DM387" s="23"/>
    </row>
    <row r="388" spans="73:117">
      <c r="BU388" s="23"/>
      <c r="BX388" s="21"/>
      <c r="CA388" s="23"/>
      <c r="CD388" s="21"/>
      <c r="CK388" s="21"/>
      <c r="CO388" s="23"/>
      <c r="CS388" s="21"/>
      <c r="CW388" s="23"/>
      <c r="DA388" s="21"/>
      <c r="DE388" s="23"/>
      <c r="DI388" s="21"/>
      <c r="DM388" s="23"/>
    </row>
    <row r="389" spans="73:117">
      <c r="BU389" s="23"/>
      <c r="BX389" s="21"/>
      <c r="CA389" s="23"/>
      <c r="CD389" s="21"/>
      <c r="CK389" s="21"/>
      <c r="CO389" s="23"/>
      <c r="CS389" s="21"/>
      <c r="CW389" s="23"/>
      <c r="DA389" s="21"/>
      <c r="DE389" s="23"/>
      <c r="DI389" s="21"/>
      <c r="DM389" s="23"/>
    </row>
    <row r="390" spans="73:117">
      <c r="BU390" s="23"/>
      <c r="BX390" s="21"/>
      <c r="CA390" s="23"/>
      <c r="CD390" s="21"/>
      <c r="CK390" s="21"/>
      <c r="CO390" s="23"/>
      <c r="CS390" s="21"/>
      <c r="CW390" s="23"/>
      <c r="DA390" s="21"/>
      <c r="DE390" s="23"/>
      <c r="DI390" s="21"/>
      <c r="DM390" s="23"/>
    </row>
    <row r="391" spans="73:117">
      <c r="BU391" s="23"/>
      <c r="BX391" s="21"/>
      <c r="CA391" s="23"/>
      <c r="CD391" s="21"/>
      <c r="CK391" s="21"/>
      <c r="CO391" s="23"/>
      <c r="CS391" s="21"/>
      <c r="CW391" s="23"/>
      <c r="DA391" s="21"/>
      <c r="DE391" s="23"/>
      <c r="DI391" s="21"/>
      <c r="DM391" s="23"/>
    </row>
    <row r="392" spans="73:117">
      <c r="BU392" s="23"/>
      <c r="BX392" s="21"/>
      <c r="CA392" s="23"/>
      <c r="CD392" s="21"/>
      <c r="CK392" s="21"/>
      <c r="CO392" s="23"/>
      <c r="CS392" s="21"/>
      <c r="CW392" s="23"/>
      <c r="DA392" s="21"/>
      <c r="DE392" s="23"/>
      <c r="DI392" s="21"/>
      <c r="DM392" s="23"/>
    </row>
    <row r="393" spans="73:117">
      <c r="BU393" s="23"/>
      <c r="BX393" s="21"/>
      <c r="CA393" s="23"/>
      <c r="CD393" s="21"/>
      <c r="CK393" s="21"/>
      <c r="CO393" s="23"/>
      <c r="CS393" s="21"/>
      <c r="CW393" s="23"/>
      <c r="DA393" s="21"/>
      <c r="DE393" s="23"/>
      <c r="DI393" s="21"/>
      <c r="DM393" s="23"/>
    </row>
    <row r="394" spans="73:117">
      <c r="BU394" s="23"/>
      <c r="BX394" s="21"/>
      <c r="CA394" s="23"/>
      <c r="CD394" s="21"/>
      <c r="CK394" s="21"/>
      <c r="CO394" s="23"/>
      <c r="CS394" s="21"/>
      <c r="CW394" s="23"/>
      <c r="DA394" s="21"/>
      <c r="DE394" s="23"/>
      <c r="DI394" s="21"/>
      <c r="DM394" s="23"/>
    </row>
    <row r="395" spans="73:117">
      <c r="BU395" s="23"/>
      <c r="BX395" s="21"/>
      <c r="CA395" s="23"/>
      <c r="CD395" s="21"/>
      <c r="CK395" s="21"/>
      <c r="CO395" s="23"/>
      <c r="CS395" s="21"/>
      <c r="CW395" s="23"/>
      <c r="DA395" s="21"/>
      <c r="DE395" s="23"/>
      <c r="DI395" s="21"/>
      <c r="DM395" s="23"/>
    </row>
    <row r="396" spans="73:117">
      <c r="BU396" s="23"/>
      <c r="BX396" s="21"/>
      <c r="CA396" s="23"/>
      <c r="CD396" s="21"/>
      <c r="CK396" s="21"/>
      <c r="CO396" s="23"/>
      <c r="CS396" s="21"/>
      <c r="CW396" s="23"/>
      <c r="DA396" s="21"/>
      <c r="DE396" s="23"/>
      <c r="DI396" s="21"/>
      <c r="DM396" s="23"/>
    </row>
    <row r="397" spans="73:117">
      <c r="BU397" s="23"/>
      <c r="BX397" s="21"/>
      <c r="CA397" s="23"/>
      <c r="CD397" s="21"/>
      <c r="CK397" s="21"/>
      <c r="CO397" s="23"/>
      <c r="CS397" s="21"/>
      <c r="CW397" s="23"/>
      <c r="DA397" s="21"/>
      <c r="DE397" s="23"/>
      <c r="DI397" s="21"/>
      <c r="DM397" s="23"/>
    </row>
    <row r="398" spans="73:117">
      <c r="BU398" s="23"/>
      <c r="BX398" s="21"/>
      <c r="CA398" s="23"/>
      <c r="CD398" s="21"/>
      <c r="CK398" s="21"/>
      <c r="CO398" s="23"/>
      <c r="CS398" s="21"/>
      <c r="CW398" s="23"/>
      <c r="DA398" s="21"/>
      <c r="DE398" s="23"/>
      <c r="DI398" s="21"/>
      <c r="DM398" s="23"/>
    </row>
    <row r="399" spans="73:117">
      <c r="BU399" s="23"/>
      <c r="BX399" s="21"/>
      <c r="CA399" s="23"/>
      <c r="CD399" s="21"/>
      <c r="CK399" s="21"/>
      <c r="CO399" s="23"/>
      <c r="CS399" s="21"/>
      <c r="CW399" s="23"/>
      <c r="DA399" s="21"/>
      <c r="DE399" s="23"/>
      <c r="DI399" s="21"/>
      <c r="DM399" s="23"/>
    </row>
    <row r="400" spans="73:117">
      <c r="BU400" s="23"/>
      <c r="BX400" s="21"/>
      <c r="CA400" s="23"/>
      <c r="CD400" s="21"/>
      <c r="CK400" s="21"/>
      <c r="CO400" s="23"/>
      <c r="CS400" s="21"/>
      <c r="CW400" s="23"/>
      <c r="DA400" s="21"/>
      <c r="DE400" s="23"/>
      <c r="DI400" s="21"/>
      <c r="DM400" s="23"/>
    </row>
    <row r="401" spans="73:117">
      <c r="BU401" s="23"/>
      <c r="BX401" s="21"/>
      <c r="CA401" s="23"/>
      <c r="CD401" s="21"/>
      <c r="CK401" s="21"/>
      <c r="CO401" s="23"/>
      <c r="CS401" s="21"/>
      <c r="CW401" s="23"/>
      <c r="DA401" s="21"/>
      <c r="DE401" s="23"/>
      <c r="DI401" s="21"/>
      <c r="DM401" s="23"/>
    </row>
    <row r="402" spans="73:117">
      <c r="BU402" s="23"/>
      <c r="BX402" s="21"/>
      <c r="CA402" s="23"/>
      <c r="CD402" s="21"/>
      <c r="CK402" s="21"/>
      <c r="CO402" s="23"/>
      <c r="CS402" s="21"/>
      <c r="CW402" s="23"/>
      <c r="DA402" s="21"/>
      <c r="DE402" s="23"/>
      <c r="DI402" s="21"/>
      <c r="DM402" s="23"/>
    </row>
    <row r="403" spans="73:117">
      <c r="BU403" s="23"/>
      <c r="BX403" s="21"/>
      <c r="CA403" s="23"/>
      <c r="CD403" s="21"/>
      <c r="CK403" s="21"/>
      <c r="CO403" s="23"/>
      <c r="CS403" s="21"/>
      <c r="CW403" s="23"/>
      <c r="DA403" s="21"/>
      <c r="DE403" s="23"/>
      <c r="DI403" s="21"/>
      <c r="DM403" s="23"/>
    </row>
    <row r="404" spans="73:117">
      <c r="BU404" s="23"/>
      <c r="BX404" s="21"/>
      <c r="CA404" s="23"/>
      <c r="CD404" s="21"/>
      <c r="CK404" s="21"/>
      <c r="CO404" s="23"/>
      <c r="CS404" s="21"/>
      <c r="CW404" s="23"/>
      <c r="DA404" s="21"/>
      <c r="DE404" s="23"/>
      <c r="DI404" s="21"/>
      <c r="DM404" s="23"/>
    </row>
    <row r="405" spans="73:117">
      <c r="BU405" s="23"/>
      <c r="BX405" s="21"/>
      <c r="CA405" s="23"/>
      <c r="CD405" s="21"/>
      <c r="CK405" s="21"/>
      <c r="CO405" s="23"/>
      <c r="CS405" s="21"/>
      <c r="CW405" s="23"/>
      <c r="DA405" s="21"/>
      <c r="DE405" s="23"/>
      <c r="DI405" s="21"/>
      <c r="DM405" s="23"/>
    </row>
    <row r="406" spans="73:117">
      <c r="BU406" s="23"/>
      <c r="BX406" s="21"/>
      <c r="CA406" s="23"/>
      <c r="CD406" s="21"/>
      <c r="CK406" s="21"/>
      <c r="CO406" s="23"/>
      <c r="CS406" s="21"/>
      <c r="CW406" s="23"/>
      <c r="DA406" s="21"/>
      <c r="DE406" s="23"/>
      <c r="DI406" s="21"/>
      <c r="DM406" s="23"/>
    </row>
    <row r="407" spans="73:117">
      <c r="BU407" s="23"/>
      <c r="BX407" s="21"/>
      <c r="CA407" s="23"/>
      <c r="CD407" s="21"/>
      <c r="CK407" s="21"/>
      <c r="CO407" s="23"/>
      <c r="CS407" s="21"/>
      <c r="CW407" s="23"/>
      <c r="DA407" s="21"/>
      <c r="DE407" s="23"/>
      <c r="DI407" s="21"/>
      <c r="DM407" s="23"/>
    </row>
    <row r="408" spans="73:117">
      <c r="BU408" s="23"/>
      <c r="BX408" s="21"/>
      <c r="CA408" s="23"/>
      <c r="CD408" s="21"/>
      <c r="CK408" s="21"/>
      <c r="CO408" s="23"/>
      <c r="CS408" s="21"/>
      <c r="CW408" s="23"/>
      <c r="DA408" s="21"/>
      <c r="DE408" s="23"/>
      <c r="DI408" s="21"/>
      <c r="DM408" s="23"/>
    </row>
    <row r="409" spans="73:117">
      <c r="BU409" s="23"/>
      <c r="BX409" s="21"/>
      <c r="CA409" s="23"/>
      <c r="CD409" s="21"/>
      <c r="CK409" s="21"/>
      <c r="CO409" s="23"/>
      <c r="CS409" s="21"/>
      <c r="CW409" s="23"/>
      <c r="DA409" s="21"/>
      <c r="DE409" s="23"/>
      <c r="DI409" s="21"/>
      <c r="DM409" s="23"/>
    </row>
    <row r="410" spans="73:117">
      <c r="BU410" s="23"/>
      <c r="BX410" s="21"/>
      <c r="CA410" s="23"/>
      <c r="CD410" s="21"/>
      <c r="CK410" s="21"/>
      <c r="CO410" s="23"/>
      <c r="CS410" s="21"/>
      <c r="CW410" s="23"/>
      <c r="DA410" s="21"/>
      <c r="DE410" s="23"/>
      <c r="DI410" s="21"/>
      <c r="DM410" s="23"/>
    </row>
    <row r="411" spans="73:117">
      <c r="BU411" s="23"/>
      <c r="BX411" s="21"/>
      <c r="CA411" s="23"/>
      <c r="CD411" s="21"/>
      <c r="CK411" s="21"/>
      <c r="CO411" s="23"/>
      <c r="CS411" s="21"/>
      <c r="CW411" s="23"/>
      <c r="DA411" s="21"/>
      <c r="DE411" s="23"/>
      <c r="DI411" s="21"/>
      <c r="DM411" s="23"/>
    </row>
    <row r="412" spans="73:117">
      <c r="BU412" s="23"/>
      <c r="BX412" s="21"/>
      <c r="CA412" s="23"/>
      <c r="CD412" s="21"/>
      <c r="CK412" s="21"/>
      <c r="CO412" s="23"/>
      <c r="CS412" s="21"/>
      <c r="CW412" s="23"/>
      <c r="DA412" s="21"/>
      <c r="DE412" s="23"/>
      <c r="DI412" s="21"/>
      <c r="DM412" s="23"/>
    </row>
    <row r="413" spans="73:117">
      <c r="BU413" s="23"/>
      <c r="BX413" s="21"/>
      <c r="CA413" s="23"/>
      <c r="CD413" s="21"/>
      <c r="CK413" s="21"/>
      <c r="CO413" s="23"/>
      <c r="CS413" s="21"/>
      <c r="CW413" s="23"/>
      <c r="DA413" s="21"/>
      <c r="DE413" s="23"/>
      <c r="DI413" s="21"/>
      <c r="DM413" s="23"/>
    </row>
    <row r="414" spans="73:117">
      <c r="BU414" s="23"/>
      <c r="BX414" s="21"/>
      <c r="CA414" s="23"/>
      <c r="CD414" s="21"/>
      <c r="CK414" s="21"/>
      <c r="CO414" s="23"/>
      <c r="CS414" s="21"/>
      <c r="CW414" s="23"/>
      <c r="DA414" s="21"/>
      <c r="DE414" s="23"/>
      <c r="DI414" s="21"/>
      <c r="DM414" s="23"/>
    </row>
    <row r="415" spans="73:117">
      <c r="BU415" s="23"/>
      <c r="BX415" s="21"/>
      <c r="CA415" s="23"/>
      <c r="CD415" s="21"/>
      <c r="CK415" s="21"/>
      <c r="CO415" s="23"/>
      <c r="CS415" s="21"/>
      <c r="CW415" s="23"/>
      <c r="DA415" s="21"/>
      <c r="DE415" s="23"/>
      <c r="DI415" s="21"/>
      <c r="DM415" s="23"/>
    </row>
    <row r="416" spans="73:117">
      <c r="BU416" s="23"/>
      <c r="BX416" s="21"/>
      <c r="CA416" s="23"/>
      <c r="CD416" s="21"/>
      <c r="CK416" s="21"/>
      <c r="CO416" s="23"/>
      <c r="CS416" s="21"/>
      <c r="CW416" s="23"/>
      <c r="DA416" s="21"/>
      <c r="DE416" s="23"/>
      <c r="DI416" s="21"/>
      <c r="DM416" s="23"/>
    </row>
    <row r="417" spans="73:117">
      <c r="BU417" s="23"/>
      <c r="BX417" s="21"/>
      <c r="CA417" s="23"/>
      <c r="CD417" s="21"/>
      <c r="CK417" s="21"/>
      <c r="CO417" s="23"/>
      <c r="CS417" s="21"/>
      <c r="CW417" s="23"/>
      <c r="DA417" s="21"/>
      <c r="DE417" s="23"/>
      <c r="DI417" s="21"/>
      <c r="DM417" s="23"/>
    </row>
    <row r="418" spans="73:117">
      <c r="BU418" s="23"/>
      <c r="BX418" s="21"/>
      <c r="CA418" s="23"/>
      <c r="CD418" s="21"/>
      <c r="CK418" s="21"/>
      <c r="CO418" s="23"/>
      <c r="CS418" s="21"/>
      <c r="CW418" s="23"/>
      <c r="DA418" s="21"/>
      <c r="DE418" s="23"/>
      <c r="DI418" s="21"/>
      <c r="DM418" s="23"/>
    </row>
    <row r="419" spans="73:117">
      <c r="BU419" s="23"/>
      <c r="BX419" s="21"/>
      <c r="CA419" s="23"/>
      <c r="CD419" s="21"/>
      <c r="CK419" s="21"/>
      <c r="CO419" s="23"/>
      <c r="CS419" s="21"/>
      <c r="CW419" s="23"/>
      <c r="DA419" s="21"/>
      <c r="DE419" s="23"/>
      <c r="DI419" s="21"/>
      <c r="DM419" s="23"/>
    </row>
    <row r="420" spans="73:117">
      <c r="BU420" s="23"/>
      <c r="BX420" s="21"/>
      <c r="CA420" s="23"/>
      <c r="CD420" s="21"/>
      <c r="CK420" s="21"/>
      <c r="CO420" s="23"/>
      <c r="CS420" s="21"/>
      <c r="CW420" s="23"/>
      <c r="DA420" s="21"/>
      <c r="DE420" s="23"/>
      <c r="DI420" s="21"/>
      <c r="DM420" s="23"/>
    </row>
    <row r="421" spans="73:117">
      <c r="BU421" s="23"/>
      <c r="BX421" s="21"/>
      <c r="CA421" s="23"/>
      <c r="CD421" s="21"/>
      <c r="CK421" s="21"/>
      <c r="CO421" s="23"/>
      <c r="CS421" s="21"/>
      <c r="CW421" s="23"/>
      <c r="DA421" s="21"/>
      <c r="DE421" s="23"/>
      <c r="DI421" s="21"/>
      <c r="DM421" s="23"/>
    </row>
    <row r="422" spans="73:117">
      <c r="BU422" s="23"/>
      <c r="BX422" s="21"/>
      <c r="CA422" s="23"/>
      <c r="CD422" s="21"/>
      <c r="CK422" s="21"/>
      <c r="CO422" s="23"/>
      <c r="CS422" s="21"/>
      <c r="CW422" s="23"/>
      <c r="DA422" s="21"/>
      <c r="DE422" s="23"/>
      <c r="DI422" s="21"/>
      <c r="DM422" s="23"/>
    </row>
    <row r="423" spans="73:117">
      <c r="BU423" s="23"/>
      <c r="BX423" s="21"/>
      <c r="CA423" s="23"/>
      <c r="CD423" s="21"/>
      <c r="CK423" s="21"/>
      <c r="CO423" s="23"/>
      <c r="CS423" s="21"/>
      <c r="CW423" s="23"/>
      <c r="DA423" s="21"/>
      <c r="DE423" s="23"/>
      <c r="DI423" s="21"/>
      <c r="DM423" s="23"/>
    </row>
    <row r="424" spans="73:117">
      <c r="BU424" s="23"/>
      <c r="BX424" s="21"/>
      <c r="CA424" s="23"/>
      <c r="CD424" s="21"/>
      <c r="CK424" s="21"/>
      <c r="CO424" s="23"/>
      <c r="CS424" s="21"/>
      <c r="CW424" s="23"/>
      <c r="DA424" s="21"/>
      <c r="DE424" s="23"/>
      <c r="DI424" s="21"/>
      <c r="DM424" s="23"/>
    </row>
    <row r="425" spans="73:117">
      <c r="BU425" s="23"/>
      <c r="BX425" s="21"/>
      <c r="CA425" s="23"/>
      <c r="CD425" s="21"/>
      <c r="CK425" s="21"/>
      <c r="CO425" s="23"/>
      <c r="CS425" s="21"/>
      <c r="CW425" s="23"/>
      <c r="DA425" s="21"/>
      <c r="DE425" s="23"/>
      <c r="DI425" s="21"/>
      <c r="DM425" s="23"/>
    </row>
    <row r="426" spans="73:117">
      <c r="BU426" s="23"/>
      <c r="BX426" s="21"/>
      <c r="CA426" s="23"/>
      <c r="CD426" s="21"/>
      <c r="CK426" s="21"/>
      <c r="CO426" s="23"/>
      <c r="CS426" s="21"/>
      <c r="CW426" s="23"/>
      <c r="DA426" s="21"/>
      <c r="DE426" s="23"/>
      <c r="DI426" s="21"/>
      <c r="DM426" s="23"/>
    </row>
    <row r="427" spans="73:117">
      <c r="BU427" s="23"/>
      <c r="BX427" s="21"/>
      <c r="CA427" s="23"/>
      <c r="CD427" s="21"/>
      <c r="CK427" s="21"/>
      <c r="CO427" s="23"/>
      <c r="CS427" s="21"/>
      <c r="CW427" s="23"/>
      <c r="DA427" s="21"/>
      <c r="DE427" s="23"/>
      <c r="DI427" s="21"/>
      <c r="DM427" s="23"/>
    </row>
    <row r="428" spans="73:117">
      <c r="BU428" s="23"/>
      <c r="BX428" s="21"/>
      <c r="CA428" s="23"/>
      <c r="CD428" s="21"/>
      <c r="CK428" s="21"/>
      <c r="CO428" s="23"/>
      <c r="CS428" s="21"/>
      <c r="CW428" s="23"/>
      <c r="DA428" s="21"/>
      <c r="DE428" s="23"/>
      <c r="DI428" s="21"/>
      <c r="DM428" s="23"/>
    </row>
    <row r="429" spans="73:117">
      <c r="BU429" s="23"/>
      <c r="BX429" s="21"/>
      <c r="CA429" s="23"/>
      <c r="CD429" s="21"/>
      <c r="CK429" s="21"/>
      <c r="CO429" s="23"/>
      <c r="CS429" s="21"/>
      <c r="CW429" s="23"/>
      <c r="DA429" s="21"/>
      <c r="DE429" s="23"/>
      <c r="DI429" s="21"/>
      <c r="DM429" s="23"/>
    </row>
    <row r="430" spans="73:117">
      <c r="BU430" s="23"/>
      <c r="BX430" s="21"/>
      <c r="CA430" s="23"/>
      <c r="CD430" s="21"/>
      <c r="CK430" s="21"/>
      <c r="CO430" s="23"/>
      <c r="CS430" s="21"/>
      <c r="CW430" s="23"/>
      <c r="DA430" s="21"/>
      <c r="DE430" s="23"/>
      <c r="DI430" s="21"/>
      <c r="DM430" s="23"/>
    </row>
    <row r="431" spans="73:117">
      <c r="BU431" s="23"/>
      <c r="BX431" s="21"/>
      <c r="CA431" s="23"/>
      <c r="CD431" s="21"/>
      <c r="CK431" s="21"/>
      <c r="CO431" s="23"/>
      <c r="CS431" s="21"/>
      <c r="CW431" s="23"/>
      <c r="DA431" s="21"/>
      <c r="DE431" s="23"/>
      <c r="DI431" s="21"/>
      <c r="DM431" s="23"/>
    </row>
    <row r="432" spans="73:117">
      <c r="BU432" s="23"/>
      <c r="BX432" s="21"/>
      <c r="CA432" s="23"/>
      <c r="CD432" s="21"/>
      <c r="CK432" s="21"/>
      <c r="CO432" s="23"/>
      <c r="CS432" s="21"/>
      <c r="CW432" s="23"/>
      <c r="DA432" s="21"/>
      <c r="DE432" s="23"/>
      <c r="DI432" s="21"/>
      <c r="DM432" s="23"/>
    </row>
    <row r="433" spans="73:117">
      <c r="BU433" s="23"/>
      <c r="BX433" s="21"/>
      <c r="CA433" s="23"/>
      <c r="CD433" s="21"/>
      <c r="CK433" s="21"/>
      <c r="CO433" s="23"/>
      <c r="CS433" s="21"/>
      <c r="CW433" s="23"/>
      <c r="DA433" s="21"/>
      <c r="DE433" s="23"/>
      <c r="DI433" s="21"/>
      <c r="DM433" s="23"/>
    </row>
    <row r="434" spans="73:117">
      <c r="BU434" s="23"/>
      <c r="BX434" s="21"/>
      <c r="CA434" s="23"/>
      <c r="CD434" s="21"/>
      <c r="CK434" s="21"/>
      <c r="CO434" s="23"/>
      <c r="CS434" s="21"/>
      <c r="CW434" s="23"/>
      <c r="DA434" s="21"/>
      <c r="DE434" s="23"/>
      <c r="DI434" s="21"/>
      <c r="DM434" s="23"/>
    </row>
    <row r="435" spans="73:117">
      <c r="BU435" s="23"/>
      <c r="BX435" s="21"/>
      <c r="CA435" s="23"/>
      <c r="CD435" s="21"/>
      <c r="CK435" s="21"/>
      <c r="CO435" s="23"/>
      <c r="CS435" s="21"/>
      <c r="CW435" s="23"/>
      <c r="DA435" s="21"/>
      <c r="DE435" s="23"/>
      <c r="DI435" s="21"/>
      <c r="DM435" s="23"/>
    </row>
    <row r="436" spans="73:117">
      <c r="BU436" s="23"/>
      <c r="BX436" s="21"/>
      <c r="CA436" s="23"/>
      <c r="CD436" s="21"/>
      <c r="CK436" s="21"/>
      <c r="CO436" s="23"/>
      <c r="CS436" s="21"/>
      <c r="CW436" s="23"/>
      <c r="DA436" s="21"/>
      <c r="DE436" s="23"/>
      <c r="DI436" s="21"/>
      <c r="DM436" s="23"/>
    </row>
    <row r="437" spans="73:117">
      <c r="BU437" s="23"/>
      <c r="BX437" s="21"/>
      <c r="CA437" s="23"/>
      <c r="CD437" s="21"/>
      <c r="CK437" s="21"/>
      <c r="CO437" s="23"/>
      <c r="CS437" s="21"/>
      <c r="CW437" s="23"/>
      <c r="DA437" s="21"/>
      <c r="DE437" s="23"/>
      <c r="DI437" s="21"/>
      <c r="DM437" s="23"/>
    </row>
    <row r="438" spans="73:117">
      <c r="BU438" s="23"/>
      <c r="BX438" s="21"/>
      <c r="CA438" s="23"/>
      <c r="CD438" s="21"/>
      <c r="CK438" s="21"/>
      <c r="CO438" s="23"/>
      <c r="CS438" s="21"/>
      <c r="CW438" s="23"/>
      <c r="DA438" s="21"/>
      <c r="DE438" s="23"/>
      <c r="DI438" s="21"/>
      <c r="DM438" s="23"/>
    </row>
    <row r="439" spans="73:117">
      <c r="BU439" s="23"/>
      <c r="BX439" s="21"/>
      <c r="CA439" s="23"/>
      <c r="CD439" s="21"/>
      <c r="CK439" s="21"/>
      <c r="CO439" s="23"/>
      <c r="CS439" s="21"/>
      <c r="CW439" s="23"/>
      <c r="DA439" s="21"/>
      <c r="DE439" s="23"/>
      <c r="DI439" s="21"/>
      <c r="DM439" s="23"/>
    </row>
    <row r="440" spans="73:117">
      <c r="BU440" s="23"/>
      <c r="BX440" s="21"/>
      <c r="CA440" s="23"/>
      <c r="CD440" s="21"/>
      <c r="CK440" s="21"/>
      <c r="CO440" s="23"/>
      <c r="CS440" s="21"/>
      <c r="CW440" s="23"/>
      <c r="DA440" s="21"/>
      <c r="DE440" s="23"/>
      <c r="DI440" s="21"/>
      <c r="DM440" s="23"/>
    </row>
    <row r="441" spans="73:117">
      <c r="BU441" s="23"/>
      <c r="BX441" s="21"/>
      <c r="CA441" s="23"/>
      <c r="CD441" s="21"/>
      <c r="CK441" s="21"/>
      <c r="CO441" s="23"/>
      <c r="CS441" s="21"/>
      <c r="CW441" s="23"/>
      <c r="DA441" s="21"/>
      <c r="DE441" s="23"/>
      <c r="DI441" s="21"/>
      <c r="DM441" s="23"/>
    </row>
    <row r="442" spans="73:117">
      <c r="BU442" s="23"/>
      <c r="BX442" s="21"/>
      <c r="CA442" s="23"/>
      <c r="CD442" s="21"/>
      <c r="CK442" s="21"/>
      <c r="CO442" s="23"/>
      <c r="CS442" s="21"/>
      <c r="CW442" s="23"/>
      <c r="DA442" s="21"/>
      <c r="DE442" s="23"/>
      <c r="DI442" s="21"/>
      <c r="DM442" s="23"/>
    </row>
    <row r="443" spans="73:117">
      <c r="BU443" s="23"/>
      <c r="BX443" s="21"/>
      <c r="CA443" s="23"/>
      <c r="CD443" s="21"/>
      <c r="CK443" s="21"/>
      <c r="CO443" s="23"/>
      <c r="CS443" s="21"/>
      <c r="CW443" s="23"/>
      <c r="DA443" s="21"/>
      <c r="DE443" s="23"/>
      <c r="DI443" s="21"/>
      <c r="DM443" s="23"/>
    </row>
    <row r="444" spans="73:117">
      <c r="BU444" s="23"/>
      <c r="BX444" s="21"/>
      <c r="CA444" s="23"/>
      <c r="CD444" s="21"/>
      <c r="CK444" s="21"/>
      <c r="CO444" s="23"/>
      <c r="CS444" s="21"/>
      <c r="CW444" s="23"/>
      <c r="DA444" s="21"/>
      <c r="DE444" s="23"/>
      <c r="DI444" s="21"/>
      <c r="DM444" s="23"/>
    </row>
    <row r="445" spans="73:117">
      <c r="BU445" s="23"/>
      <c r="BX445" s="21"/>
      <c r="CA445" s="23"/>
      <c r="CD445" s="21"/>
      <c r="CK445" s="21"/>
      <c r="CO445" s="23"/>
      <c r="CS445" s="21"/>
      <c r="CW445" s="23"/>
      <c r="DA445" s="21"/>
      <c r="DE445" s="23"/>
      <c r="DI445" s="21"/>
      <c r="DM445" s="23"/>
    </row>
    <row r="446" spans="73:117">
      <c r="BU446" s="23"/>
      <c r="BX446" s="21"/>
      <c r="CA446" s="23"/>
      <c r="CD446" s="21"/>
      <c r="CK446" s="21"/>
      <c r="CO446" s="23"/>
      <c r="CS446" s="21"/>
      <c r="CW446" s="23"/>
      <c r="DA446" s="21"/>
      <c r="DE446" s="23"/>
      <c r="DI446" s="21"/>
      <c r="DM446" s="23"/>
    </row>
    <row r="447" spans="73:117">
      <c r="BU447" s="23"/>
      <c r="BX447" s="21"/>
      <c r="CA447" s="23"/>
      <c r="CD447" s="21"/>
      <c r="CK447" s="21"/>
      <c r="CO447" s="23"/>
      <c r="CS447" s="21"/>
      <c r="CW447" s="23"/>
      <c r="DA447" s="21"/>
      <c r="DE447" s="23"/>
      <c r="DI447" s="21"/>
      <c r="DM447" s="23"/>
    </row>
    <row r="448" spans="73:117">
      <c r="BU448" s="23"/>
      <c r="BX448" s="21"/>
      <c r="CA448" s="23"/>
      <c r="CD448" s="21"/>
      <c r="CK448" s="21"/>
      <c r="CO448" s="23"/>
      <c r="CS448" s="21"/>
      <c r="CW448" s="23"/>
      <c r="DA448" s="21"/>
      <c r="DE448" s="23"/>
      <c r="DI448" s="21"/>
      <c r="DM448" s="23"/>
    </row>
    <row r="449" spans="73:117">
      <c r="BU449" s="23"/>
      <c r="BX449" s="21"/>
      <c r="CA449" s="23"/>
      <c r="CD449" s="21"/>
      <c r="CK449" s="21"/>
      <c r="CO449" s="23"/>
      <c r="CS449" s="21"/>
      <c r="CW449" s="23"/>
      <c r="DA449" s="21"/>
      <c r="DE449" s="23"/>
      <c r="DI449" s="21"/>
      <c r="DM449" s="23"/>
    </row>
    <row r="450" spans="73:117">
      <c r="BU450" s="23"/>
      <c r="BX450" s="21"/>
      <c r="CA450" s="23"/>
      <c r="CD450" s="21"/>
      <c r="CK450" s="21"/>
      <c r="CO450" s="23"/>
      <c r="CS450" s="21"/>
      <c r="CW450" s="23"/>
      <c r="DA450" s="21"/>
      <c r="DE450" s="23"/>
      <c r="DI450" s="21"/>
      <c r="DM450" s="23"/>
    </row>
    <row r="451" spans="73:117">
      <c r="BU451" s="23"/>
      <c r="BX451" s="21"/>
      <c r="CA451" s="23"/>
      <c r="CD451" s="21"/>
      <c r="CK451" s="21"/>
      <c r="CO451" s="23"/>
      <c r="CS451" s="21"/>
      <c r="CW451" s="23"/>
      <c r="DA451" s="21"/>
      <c r="DE451" s="23"/>
      <c r="DI451" s="21"/>
      <c r="DM451" s="23"/>
    </row>
    <row r="452" spans="73:117">
      <c r="BU452" s="23"/>
      <c r="BX452" s="21"/>
      <c r="CA452" s="23"/>
      <c r="CD452" s="21"/>
      <c r="CK452" s="21"/>
      <c r="CO452" s="23"/>
      <c r="CS452" s="21"/>
      <c r="CW452" s="23"/>
      <c r="DA452" s="21"/>
      <c r="DE452" s="23"/>
      <c r="DI452" s="21"/>
      <c r="DM452" s="23"/>
    </row>
    <row r="453" spans="73:117">
      <c r="BU453" s="23"/>
      <c r="BX453" s="21"/>
      <c r="CA453" s="23"/>
      <c r="CD453" s="21"/>
      <c r="CK453" s="21"/>
      <c r="CO453" s="23"/>
      <c r="CS453" s="21"/>
      <c r="CW453" s="23"/>
      <c r="DA453" s="21"/>
      <c r="DE453" s="23"/>
      <c r="DI453" s="21"/>
      <c r="DM453" s="23"/>
    </row>
    <row r="454" spans="73:117">
      <c r="BU454" s="23"/>
      <c r="BX454" s="21"/>
      <c r="CA454" s="23"/>
      <c r="CD454" s="21"/>
      <c r="CK454" s="21"/>
      <c r="CO454" s="23"/>
      <c r="CS454" s="21"/>
      <c r="CW454" s="23"/>
      <c r="DA454" s="21"/>
      <c r="DE454" s="23"/>
      <c r="DI454" s="21"/>
      <c r="DM454" s="23"/>
    </row>
    <row r="455" spans="73:117">
      <c r="BU455" s="23"/>
      <c r="BX455" s="21"/>
      <c r="CA455" s="23"/>
      <c r="CD455" s="21"/>
      <c r="CK455" s="21"/>
      <c r="CO455" s="23"/>
      <c r="CS455" s="21"/>
      <c r="CW455" s="23"/>
      <c r="DA455" s="21"/>
      <c r="DE455" s="23"/>
      <c r="DI455" s="21"/>
      <c r="DM455" s="23"/>
    </row>
    <row r="456" spans="73:117">
      <c r="BU456" s="23"/>
      <c r="BX456" s="21"/>
      <c r="CA456" s="23"/>
      <c r="CD456" s="21"/>
      <c r="CK456" s="21"/>
      <c r="CO456" s="23"/>
      <c r="CS456" s="21"/>
      <c r="CW456" s="23"/>
      <c r="DA456" s="21"/>
      <c r="DE456" s="23"/>
      <c r="DI456" s="21"/>
      <c r="DM456" s="23"/>
    </row>
    <row r="457" spans="73:117">
      <c r="BU457" s="23"/>
      <c r="BX457" s="21"/>
      <c r="CA457" s="23"/>
      <c r="CD457" s="21"/>
      <c r="CK457" s="21"/>
      <c r="CO457" s="23"/>
      <c r="CS457" s="21"/>
      <c r="CW457" s="23"/>
      <c r="DA457" s="21"/>
      <c r="DE457" s="23"/>
      <c r="DI457" s="21"/>
      <c r="DM457" s="23"/>
    </row>
    <row r="458" spans="73:117">
      <c r="BU458" s="23"/>
      <c r="BX458" s="21"/>
      <c r="CA458" s="23"/>
      <c r="CD458" s="21"/>
      <c r="CK458" s="21"/>
      <c r="CO458" s="23"/>
      <c r="CS458" s="21"/>
      <c r="CW458" s="23"/>
      <c r="DA458" s="21"/>
      <c r="DE458" s="23"/>
      <c r="DI458" s="21"/>
      <c r="DM458" s="23"/>
    </row>
    <row r="459" spans="73:117">
      <c r="BU459" s="23"/>
      <c r="BX459" s="21"/>
      <c r="CA459" s="23"/>
      <c r="CD459" s="21"/>
      <c r="CK459" s="21"/>
      <c r="CO459" s="23"/>
      <c r="CS459" s="21"/>
      <c r="CW459" s="23"/>
      <c r="DA459" s="21"/>
      <c r="DE459" s="23"/>
      <c r="DI459" s="21"/>
      <c r="DM459" s="23"/>
    </row>
    <row r="460" spans="73:117">
      <c r="BU460" s="23"/>
      <c r="BX460" s="21"/>
      <c r="CA460" s="23"/>
      <c r="CD460" s="21"/>
      <c r="CK460" s="21"/>
      <c r="CO460" s="23"/>
      <c r="CS460" s="21"/>
      <c r="CW460" s="23"/>
      <c r="DA460" s="21"/>
      <c r="DE460" s="23"/>
      <c r="DI460" s="21"/>
      <c r="DM460" s="23"/>
    </row>
    <row r="461" spans="73:117">
      <c r="BU461" s="23"/>
      <c r="BX461" s="21"/>
      <c r="CA461" s="23"/>
      <c r="CD461" s="21"/>
      <c r="CK461" s="21"/>
      <c r="CO461" s="23"/>
      <c r="CS461" s="21"/>
      <c r="CW461" s="23"/>
      <c r="DA461" s="21"/>
      <c r="DE461" s="23"/>
      <c r="DI461" s="21"/>
      <c r="DM461" s="23"/>
    </row>
    <row r="462" spans="73:117">
      <c r="BU462" s="23"/>
      <c r="BX462" s="21"/>
      <c r="CA462" s="23"/>
      <c r="CD462" s="21"/>
      <c r="CK462" s="21"/>
      <c r="CO462" s="23"/>
      <c r="CS462" s="21"/>
      <c r="CW462" s="23"/>
      <c r="DA462" s="21"/>
      <c r="DE462" s="23"/>
      <c r="DI462" s="21"/>
      <c r="DM462" s="23"/>
    </row>
    <row r="463" spans="73:117">
      <c r="BU463" s="23"/>
      <c r="BX463" s="21"/>
      <c r="CA463" s="23"/>
      <c r="CD463" s="21"/>
      <c r="CK463" s="21"/>
      <c r="CO463" s="23"/>
      <c r="CS463" s="21"/>
      <c r="CW463" s="23"/>
      <c r="DA463" s="21"/>
      <c r="DE463" s="23"/>
      <c r="DI463" s="21"/>
      <c r="DM463" s="23"/>
    </row>
    <row r="464" spans="73:117">
      <c r="BU464" s="23"/>
      <c r="BX464" s="21"/>
      <c r="CA464" s="23"/>
      <c r="CD464" s="21"/>
      <c r="CK464" s="21"/>
      <c r="CO464" s="23"/>
      <c r="CS464" s="21"/>
      <c r="CW464" s="23"/>
      <c r="DA464" s="21"/>
      <c r="DE464" s="23"/>
      <c r="DI464" s="21"/>
      <c r="DM464" s="23"/>
    </row>
    <row r="465" spans="73:117">
      <c r="BU465" s="23"/>
      <c r="BX465" s="21"/>
      <c r="CA465" s="23"/>
      <c r="CD465" s="21"/>
      <c r="CK465" s="21"/>
      <c r="CO465" s="23"/>
      <c r="CS465" s="21"/>
      <c r="CW465" s="23"/>
      <c r="DA465" s="21"/>
      <c r="DE465" s="23"/>
      <c r="DI465" s="21"/>
      <c r="DM465" s="23"/>
    </row>
    <row r="466" spans="73:117">
      <c r="BU466" s="23"/>
      <c r="BX466" s="21"/>
      <c r="CA466" s="23"/>
      <c r="CD466" s="21"/>
      <c r="CK466" s="21"/>
      <c r="CO466" s="23"/>
      <c r="CS466" s="21"/>
      <c r="CW466" s="23"/>
      <c r="DA466" s="21"/>
      <c r="DE466" s="23"/>
      <c r="DI466" s="21"/>
      <c r="DM466" s="23"/>
    </row>
    <row r="467" spans="73:117">
      <c r="BU467" s="23"/>
      <c r="BX467" s="21"/>
      <c r="CA467" s="23"/>
      <c r="CD467" s="21"/>
      <c r="CK467" s="21"/>
      <c r="CO467" s="23"/>
      <c r="CS467" s="21"/>
      <c r="CW467" s="23"/>
      <c r="DA467" s="21"/>
      <c r="DE467" s="23"/>
      <c r="DI467" s="21"/>
      <c r="DM467" s="23"/>
    </row>
    <row r="468" spans="73:117">
      <c r="BU468" s="23"/>
      <c r="BX468" s="21"/>
      <c r="CA468" s="23"/>
      <c r="CD468" s="21"/>
      <c r="CK468" s="21"/>
      <c r="CO468" s="23"/>
      <c r="CS468" s="21"/>
      <c r="CW468" s="23"/>
      <c r="DA468" s="21"/>
      <c r="DE468" s="23"/>
      <c r="DI468" s="21"/>
      <c r="DM468" s="23"/>
    </row>
    <row r="469" spans="73:117">
      <c r="BU469" s="23"/>
      <c r="BX469" s="21"/>
      <c r="CA469" s="23"/>
      <c r="CD469" s="21"/>
      <c r="CK469" s="21"/>
      <c r="CO469" s="23"/>
      <c r="CS469" s="21"/>
      <c r="CW469" s="23"/>
      <c r="DA469" s="21"/>
      <c r="DE469" s="23"/>
      <c r="DI469" s="21"/>
      <c r="DM469" s="23"/>
    </row>
    <row r="470" spans="73:117">
      <c r="BU470" s="23"/>
      <c r="BX470" s="21"/>
      <c r="CA470" s="23"/>
      <c r="CD470" s="21"/>
      <c r="CK470" s="21"/>
      <c r="CO470" s="23"/>
      <c r="CS470" s="21"/>
      <c r="CW470" s="23"/>
      <c r="DA470" s="21"/>
      <c r="DE470" s="23"/>
      <c r="DI470" s="21"/>
      <c r="DM470" s="23"/>
    </row>
    <row r="471" spans="73:117">
      <c r="BU471" s="23"/>
      <c r="BX471" s="21"/>
      <c r="CA471" s="23"/>
      <c r="CD471" s="21"/>
      <c r="CK471" s="21"/>
      <c r="CO471" s="23"/>
      <c r="CS471" s="21"/>
      <c r="CW471" s="23"/>
      <c r="DA471" s="21"/>
      <c r="DE471" s="23"/>
      <c r="DI471" s="21"/>
      <c r="DM471" s="23"/>
    </row>
    <row r="472" spans="73:117">
      <c r="BU472" s="23"/>
      <c r="BX472" s="21"/>
      <c r="CA472" s="23"/>
      <c r="CD472" s="21"/>
      <c r="CK472" s="21"/>
      <c r="CO472" s="23"/>
      <c r="CS472" s="21"/>
      <c r="CW472" s="23"/>
      <c r="DA472" s="21"/>
      <c r="DE472" s="23"/>
      <c r="DI472" s="21"/>
      <c r="DM472" s="23"/>
    </row>
    <row r="473" spans="73:117">
      <c r="BU473" s="23"/>
      <c r="BX473" s="21"/>
      <c r="CA473" s="23"/>
      <c r="CD473" s="21"/>
      <c r="CK473" s="21"/>
      <c r="CO473" s="23"/>
      <c r="CS473" s="21"/>
      <c r="CW473" s="23"/>
      <c r="DA473" s="21"/>
      <c r="DE473" s="23"/>
      <c r="DI473" s="21"/>
      <c r="DM473" s="23"/>
    </row>
    <row r="474" spans="73:117">
      <c r="BU474" s="23"/>
      <c r="BX474" s="21"/>
      <c r="CA474" s="23"/>
      <c r="CD474" s="21"/>
      <c r="CK474" s="21"/>
      <c r="CO474" s="23"/>
      <c r="CS474" s="21"/>
      <c r="CW474" s="23"/>
      <c r="DA474" s="21"/>
      <c r="DE474" s="23"/>
      <c r="DI474" s="21"/>
      <c r="DM474" s="23"/>
    </row>
    <row r="475" spans="73:117">
      <c r="BU475" s="23"/>
      <c r="BX475" s="21"/>
      <c r="CA475" s="23"/>
      <c r="CD475" s="21"/>
      <c r="CK475" s="21"/>
      <c r="CO475" s="23"/>
      <c r="CS475" s="21"/>
      <c r="CW475" s="23"/>
      <c r="DA475" s="21"/>
      <c r="DE475" s="23"/>
      <c r="DI475" s="21"/>
      <c r="DM475" s="23"/>
    </row>
    <row r="476" spans="73:117">
      <c r="BU476" s="23"/>
      <c r="BX476" s="21"/>
      <c r="CA476" s="23"/>
      <c r="CD476" s="21"/>
      <c r="CK476" s="21"/>
      <c r="CO476" s="23"/>
      <c r="CS476" s="21"/>
      <c r="CW476" s="23"/>
      <c r="DA476" s="21"/>
      <c r="DE476" s="23"/>
      <c r="DI476" s="21"/>
      <c r="DM476" s="23"/>
    </row>
    <row r="477" spans="73:117">
      <c r="BU477" s="23"/>
      <c r="BX477" s="21"/>
      <c r="CA477" s="23"/>
      <c r="CD477" s="21"/>
      <c r="CK477" s="21"/>
      <c r="CO477" s="23"/>
      <c r="CS477" s="21"/>
      <c r="CW477" s="23"/>
      <c r="DA477" s="21"/>
      <c r="DE477" s="23"/>
      <c r="DI477" s="21"/>
      <c r="DM477" s="23"/>
    </row>
    <row r="478" spans="73:117">
      <c r="BU478" s="23"/>
      <c r="BX478" s="21"/>
      <c r="CA478" s="23"/>
      <c r="CD478" s="21"/>
      <c r="CK478" s="21"/>
      <c r="CO478" s="23"/>
      <c r="CS478" s="21"/>
      <c r="CW478" s="23"/>
      <c r="DA478" s="21"/>
      <c r="DE478" s="23"/>
      <c r="DI478" s="21"/>
      <c r="DM478" s="23"/>
    </row>
    <row r="479" spans="73:117">
      <c r="BU479" s="23"/>
      <c r="BX479" s="21"/>
      <c r="CA479" s="23"/>
      <c r="CD479" s="21"/>
      <c r="CK479" s="21"/>
      <c r="CO479" s="23"/>
      <c r="CS479" s="21"/>
      <c r="CW479" s="23"/>
      <c r="DA479" s="21"/>
      <c r="DE479" s="23"/>
      <c r="DI479" s="21"/>
      <c r="DM479" s="23"/>
    </row>
    <row r="480" spans="73:117">
      <c r="BU480" s="23"/>
      <c r="BX480" s="21"/>
      <c r="CA480" s="23"/>
      <c r="CD480" s="21"/>
      <c r="CK480" s="21"/>
      <c r="CO480" s="23"/>
      <c r="CS480" s="21"/>
      <c r="CW480" s="23"/>
      <c r="DA480" s="21"/>
      <c r="DE480" s="23"/>
      <c r="DI480" s="21"/>
      <c r="DM480" s="23"/>
    </row>
    <row r="481" spans="73:117">
      <c r="BU481" s="23"/>
      <c r="BX481" s="21"/>
      <c r="CA481" s="23"/>
      <c r="CD481" s="21"/>
      <c r="CK481" s="21"/>
      <c r="CO481" s="23"/>
      <c r="CS481" s="21"/>
      <c r="CW481" s="23"/>
      <c r="DA481" s="21"/>
      <c r="DE481" s="23"/>
      <c r="DI481" s="21"/>
      <c r="DM481" s="23"/>
    </row>
    <row r="482" spans="73:117">
      <c r="BU482" s="23"/>
      <c r="BX482" s="21"/>
      <c r="CA482" s="23"/>
      <c r="CD482" s="21"/>
      <c r="CK482" s="21"/>
      <c r="CO482" s="23"/>
      <c r="CS482" s="21"/>
      <c r="CW482" s="23"/>
      <c r="DA482" s="21"/>
      <c r="DE482" s="23"/>
      <c r="DI482" s="21"/>
      <c r="DM482" s="23"/>
    </row>
    <row r="483" spans="73:117">
      <c r="BU483" s="23"/>
      <c r="BX483" s="21"/>
      <c r="CA483" s="23"/>
      <c r="CD483" s="21"/>
      <c r="CK483" s="21"/>
      <c r="CO483" s="23"/>
      <c r="CS483" s="21"/>
      <c r="CW483" s="23"/>
      <c r="DA483" s="21"/>
      <c r="DE483" s="23"/>
      <c r="DI483" s="21"/>
      <c r="DM483" s="23"/>
    </row>
    <row r="484" spans="73:117">
      <c r="BU484" s="23"/>
      <c r="BX484" s="21"/>
      <c r="CA484" s="23"/>
      <c r="CD484" s="21"/>
      <c r="CK484" s="21"/>
      <c r="CO484" s="23"/>
      <c r="CS484" s="21"/>
      <c r="CW484" s="23"/>
      <c r="DA484" s="21"/>
      <c r="DE484" s="23"/>
      <c r="DI484" s="21"/>
      <c r="DM484" s="23"/>
    </row>
    <row r="485" spans="73:117">
      <c r="BU485" s="23"/>
      <c r="BX485" s="21"/>
      <c r="CA485" s="23"/>
      <c r="CD485" s="21"/>
      <c r="CK485" s="21"/>
      <c r="CO485" s="23"/>
      <c r="CS485" s="21"/>
      <c r="CW485" s="23"/>
      <c r="DA485" s="21"/>
      <c r="DE485" s="23"/>
      <c r="DI485" s="21"/>
      <c r="DM485" s="23"/>
    </row>
    <row r="486" spans="73:117">
      <c r="BU486" s="23"/>
      <c r="BX486" s="21"/>
      <c r="CA486" s="23"/>
      <c r="CD486" s="21"/>
      <c r="CK486" s="21"/>
      <c r="CO486" s="23"/>
      <c r="CS486" s="21"/>
      <c r="CW486" s="23"/>
      <c r="DA486" s="21"/>
      <c r="DE486" s="23"/>
      <c r="DI486" s="21"/>
      <c r="DM486" s="23"/>
    </row>
    <row r="487" spans="73:117">
      <c r="BU487" s="23"/>
      <c r="BX487" s="21"/>
      <c r="CA487" s="23"/>
      <c r="CD487" s="21"/>
      <c r="CK487" s="21"/>
      <c r="CO487" s="23"/>
      <c r="CS487" s="21"/>
      <c r="CW487" s="23"/>
      <c r="DA487" s="21"/>
      <c r="DE487" s="23"/>
      <c r="DI487" s="21"/>
      <c r="DM487" s="23"/>
    </row>
    <row r="488" spans="73:117">
      <c r="BU488" s="23"/>
      <c r="BX488" s="21"/>
      <c r="CA488" s="23"/>
      <c r="CD488" s="21"/>
      <c r="CK488" s="21"/>
      <c r="CO488" s="23"/>
      <c r="CS488" s="21"/>
      <c r="CW488" s="23"/>
      <c r="DA488" s="21"/>
      <c r="DE488" s="23"/>
      <c r="DI488" s="21"/>
      <c r="DM488" s="23"/>
    </row>
    <row r="489" spans="73:117">
      <c r="BU489" s="23"/>
      <c r="BX489" s="21"/>
      <c r="CA489" s="23"/>
      <c r="CD489" s="21"/>
      <c r="CK489" s="21"/>
      <c r="CO489" s="23"/>
      <c r="CS489" s="21"/>
      <c r="CW489" s="23"/>
      <c r="DA489" s="21"/>
      <c r="DE489" s="23"/>
      <c r="DI489" s="21"/>
      <c r="DM489" s="23"/>
    </row>
    <row r="490" spans="73:117">
      <c r="BU490" s="23"/>
      <c r="BX490" s="21"/>
      <c r="CA490" s="23"/>
      <c r="CD490" s="21"/>
      <c r="CK490" s="21"/>
      <c r="CO490" s="23"/>
      <c r="CS490" s="21"/>
      <c r="CW490" s="23"/>
      <c r="DA490" s="21"/>
      <c r="DE490" s="23"/>
      <c r="DI490" s="21"/>
      <c r="DM490" s="23"/>
    </row>
    <row r="491" spans="73:117">
      <c r="BU491" s="23"/>
      <c r="BX491" s="21"/>
      <c r="CA491" s="23"/>
      <c r="CD491" s="21"/>
      <c r="CK491" s="21"/>
      <c r="CO491" s="23"/>
      <c r="CS491" s="21"/>
      <c r="CW491" s="23"/>
      <c r="DA491" s="21"/>
      <c r="DE491" s="23"/>
      <c r="DI491" s="21"/>
      <c r="DM491" s="23"/>
    </row>
    <row r="492" spans="73:117">
      <c r="BU492" s="23"/>
      <c r="BX492" s="21"/>
      <c r="CA492" s="23"/>
      <c r="CD492" s="21"/>
      <c r="CK492" s="21"/>
      <c r="CO492" s="23"/>
      <c r="CS492" s="21"/>
      <c r="CW492" s="23"/>
      <c r="DA492" s="21"/>
      <c r="DE492" s="23"/>
      <c r="DI492" s="21"/>
      <c r="DM492" s="23"/>
    </row>
    <row r="493" spans="73:117">
      <c r="BU493" s="23"/>
      <c r="BX493" s="21"/>
      <c r="CA493" s="23"/>
      <c r="CD493" s="21"/>
      <c r="CK493" s="21"/>
      <c r="CO493" s="23"/>
      <c r="CS493" s="21"/>
      <c r="CW493" s="23"/>
      <c r="DA493" s="21"/>
      <c r="DE493" s="23"/>
      <c r="DI493" s="21"/>
      <c r="DM493" s="23"/>
    </row>
    <row r="494" spans="73:117">
      <c r="BU494" s="23"/>
      <c r="BX494" s="21"/>
      <c r="CA494" s="23"/>
      <c r="CD494" s="21"/>
      <c r="CK494" s="21"/>
      <c r="CO494" s="23"/>
      <c r="CS494" s="21"/>
      <c r="CW494" s="23"/>
      <c r="DA494" s="21"/>
      <c r="DE494" s="23"/>
      <c r="DI494" s="21"/>
      <c r="DM494" s="23"/>
    </row>
    <row r="495" spans="73:117">
      <c r="BU495" s="23"/>
      <c r="BX495" s="21"/>
      <c r="CA495" s="23"/>
      <c r="CD495" s="21"/>
      <c r="CK495" s="21"/>
      <c r="CO495" s="23"/>
      <c r="CS495" s="21"/>
      <c r="CW495" s="23"/>
      <c r="DA495" s="21"/>
      <c r="DE495" s="23"/>
      <c r="DI495" s="21"/>
      <c r="DM495" s="23"/>
    </row>
    <row r="496" spans="73:117">
      <c r="BU496" s="23"/>
      <c r="BX496" s="21"/>
      <c r="CA496" s="23"/>
      <c r="CD496" s="21"/>
      <c r="CK496" s="21"/>
      <c r="CO496" s="23"/>
      <c r="CS496" s="21"/>
      <c r="CW496" s="23"/>
      <c r="DA496" s="21"/>
      <c r="DE496" s="23"/>
      <c r="DI496" s="21"/>
      <c r="DM496" s="23"/>
    </row>
    <row r="497" spans="73:117">
      <c r="BU497" s="23"/>
      <c r="BX497" s="21"/>
      <c r="CA497" s="23"/>
      <c r="CD497" s="21"/>
      <c r="CK497" s="21"/>
      <c r="CO497" s="23"/>
      <c r="CS497" s="21"/>
      <c r="CW497" s="23"/>
      <c r="DA497" s="21"/>
      <c r="DE497" s="23"/>
      <c r="DI497" s="21"/>
      <c r="DM497" s="23"/>
    </row>
    <row r="498" spans="73:117">
      <c r="BU498" s="23"/>
      <c r="BX498" s="21"/>
      <c r="CA498" s="23"/>
      <c r="CD498" s="21"/>
      <c r="CK498" s="21"/>
      <c r="CO498" s="23"/>
      <c r="CS498" s="21"/>
      <c r="CW498" s="23"/>
      <c r="DA498" s="21"/>
      <c r="DE498" s="23"/>
      <c r="DI498" s="21"/>
      <c r="DM498" s="23"/>
    </row>
    <row r="499" spans="73:117">
      <c r="BU499" s="23"/>
      <c r="BX499" s="21"/>
      <c r="CA499" s="23"/>
      <c r="CD499" s="21"/>
      <c r="CK499" s="21"/>
      <c r="CO499" s="23"/>
      <c r="CS499" s="21"/>
      <c r="CW499" s="23"/>
      <c r="DA499" s="21"/>
      <c r="DE499" s="23"/>
      <c r="DI499" s="21"/>
      <c r="DM499" s="23"/>
    </row>
    <row r="500" spans="73:117">
      <c r="BU500" s="23"/>
      <c r="BX500" s="21"/>
      <c r="CA500" s="23"/>
      <c r="CD500" s="21"/>
      <c r="CK500" s="21"/>
      <c r="CO500" s="23"/>
      <c r="CS500" s="21"/>
      <c r="CW500" s="23"/>
      <c r="DA500" s="21"/>
      <c r="DE500" s="23"/>
      <c r="DI500" s="21"/>
      <c r="DM500" s="23"/>
    </row>
    <row r="501" spans="73:117">
      <c r="BU501" s="23"/>
      <c r="BX501" s="21"/>
      <c r="CA501" s="23"/>
      <c r="CD501" s="21"/>
      <c r="CK501" s="21"/>
      <c r="CO501" s="23"/>
      <c r="CS501" s="21"/>
      <c r="CW501" s="23"/>
      <c r="DA501" s="21"/>
      <c r="DE501" s="23"/>
      <c r="DI501" s="21"/>
      <c r="DM501" s="23"/>
    </row>
    <row r="502" spans="73:117">
      <c r="BU502" s="23"/>
      <c r="BX502" s="21"/>
      <c r="CA502" s="23"/>
      <c r="CD502" s="21"/>
      <c r="CK502" s="21"/>
      <c r="CO502" s="23"/>
      <c r="CS502" s="21"/>
      <c r="CW502" s="23"/>
      <c r="DA502" s="21"/>
      <c r="DE502" s="23"/>
      <c r="DI502" s="21"/>
      <c r="DM502" s="23"/>
    </row>
    <row r="503" spans="73:117">
      <c r="BU503" s="23"/>
      <c r="BX503" s="21"/>
      <c r="CA503" s="23"/>
      <c r="CD503" s="21"/>
      <c r="CK503" s="21"/>
      <c r="CO503" s="23"/>
      <c r="CS503" s="21"/>
      <c r="CW503" s="23"/>
      <c r="DA503" s="21"/>
      <c r="DE503" s="23"/>
      <c r="DI503" s="21"/>
      <c r="DM503" s="23"/>
    </row>
    <row r="504" spans="73:117">
      <c r="BU504" s="23"/>
      <c r="BX504" s="21"/>
      <c r="CA504" s="23"/>
      <c r="CD504" s="21"/>
      <c r="CK504" s="21"/>
      <c r="CO504" s="23"/>
      <c r="CS504" s="21"/>
      <c r="CW504" s="23"/>
      <c r="DA504" s="21"/>
      <c r="DE504" s="23"/>
      <c r="DI504" s="21"/>
      <c r="DM504" s="23"/>
    </row>
    <row r="505" spans="73:117">
      <c r="BU505" s="23"/>
      <c r="BX505" s="21"/>
      <c r="CA505" s="23"/>
      <c r="CD505" s="21"/>
      <c r="CK505" s="21"/>
      <c r="CO505" s="23"/>
      <c r="CS505" s="21"/>
      <c r="CW505" s="23"/>
      <c r="DA505" s="21"/>
      <c r="DE505" s="23"/>
      <c r="DI505" s="21"/>
      <c r="DM505" s="23"/>
    </row>
    <row r="506" spans="73:117">
      <c r="BU506" s="23"/>
      <c r="BX506" s="21"/>
      <c r="CA506" s="23"/>
      <c r="CD506" s="21"/>
      <c r="CK506" s="21"/>
      <c r="CO506" s="23"/>
      <c r="CS506" s="21"/>
      <c r="CW506" s="23"/>
      <c r="DA506" s="21"/>
      <c r="DE506" s="23"/>
      <c r="DI506" s="21"/>
      <c r="DM506" s="23"/>
    </row>
    <row r="507" spans="73:117">
      <c r="BU507" s="23"/>
      <c r="BX507" s="21"/>
      <c r="CA507" s="23"/>
      <c r="CD507" s="21"/>
      <c r="CK507" s="21"/>
      <c r="CO507" s="23"/>
      <c r="CS507" s="21"/>
      <c r="CW507" s="23"/>
      <c r="DA507" s="21"/>
      <c r="DE507" s="23"/>
      <c r="DI507" s="21"/>
      <c r="DM507" s="23"/>
    </row>
    <row r="508" spans="73:117">
      <c r="BU508" s="23"/>
      <c r="BX508" s="21"/>
      <c r="CA508" s="23"/>
      <c r="CD508" s="21"/>
      <c r="CK508" s="21"/>
      <c r="CO508" s="23"/>
      <c r="CS508" s="21"/>
      <c r="CW508" s="23"/>
      <c r="DA508" s="21"/>
      <c r="DE508" s="23"/>
      <c r="DI508" s="21"/>
      <c r="DM508" s="23"/>
    </row>
    <row r="509" spans="73:117">
      <c r="BU509" s="23"/>
      <c r="BX509" s="21"/>
      <c r="CA509" s="23"/>
      <c r="CD509" s="21"/>
      <c r="CK509" s="21"/>
      <c r="CO509" s="23"/>
      <c r="CS509" s="21"/>
      <c r="CW509" s="23"/>
      <c r="DA509" s="21"/>
      <c r="DE509" s="23"/>
      <c r="DI509" s="21"/>
      <c r="DM509" s="23"/>
    </row>
    <row r="510" spans="73:117">
      <c r="BU510" s="23"/>
      <c r="BX510" s="21"/>
      <c r="CA510" s="23"/>
      <c r="CD510" s="21"/>
      <c r="CK510" s="21"/>
      <c r="CO510" s="23"/>
      <c r="CS510" s="21"/>
      <c r="CW510" s="23"/>
      <c r="DA510" s="21"/>
      <c r="DE510" s="23"/>
      <c r="DI510" s="21"/>
      <c r="DM510" s="23"/>
    </row>
    <row r="511" spans="73:117">
      <c r="BU511" s="23"/>
      <c r="BX511" s="21"/>
      <c r="CA511" s="23"/>
      <c r="CD511" s="21"/>
      <c r="CK511" s="21"/>
      <c r="CO511" s="23"/>
      <c r="CS511" s="21"/>
      <c r="CW511" s="23"/>
      <c r="DA511" s="21"/>
      <c r="DE511" s="23"/>
      <c r="DI511" s="21"/>
      <c r="DM511" s="23"/>
    </row>
    <row r="512" spans="73:117">
      <c r="BU512" s="23"/>
      <c r="BX512" s="21"/>
      <c r="CA512" s="23"/>
      <c r="CD512" s="21"/>
      <c r="CK512" s="21"/>
      <c r="CO512" s="23"/>
      <c r="CS512" s="21"/>
      <c r="CW512" s="23"/>
      <c r="DA512" s="21"/>
      <c r="DE512" s="23"/>
      <c r="DI512" s="21"/>
      <c r="DM512" s="23"/>
    </row>
    <row r="513" spans="73:117">
      <c r="BU513" s="23"/>
      <c r="BX513" s="21"/>
      <c r="CA513" s="23"/>
      <c r="CD513" s="21"/>
      <c r="CK513" s="21"/>
      <c r="CO513" s="23"/>
      <c r="CS513" s="21"/>
      <c r="CW513" s="23"/>
      <c r="DA513" s="21"/>
      <c r="DE513" s="23"/>
      <c r="DI513" s="21"/>
      <c r="DM513" s="23"/>
    </row>
    <row r="514" spans="73:117">
      <c r="BU514" s="23"/>
      <c r="BX514" s="21"/>
      <c r="CA514" s="23"/>
      <c r="CD514" s="21"/>
      <c r="CK514" s="21"/>
      <c r="CO514" s="23"/>
      <c r="CS514" s="21"/>
      <c r="CW514" s="23"/>
      <c r="DA514" s="21"/>
      <c r="DE514" s="23"/>
      <c r="DI514" s="21"/>
      <c r="DM514" s="23"/>
    </row>
    <row r="515" spans="73:117">
      <c r="BU515" s="23"/>
      <c r="BX515" s="21"/>
      <c r="CA515" s="23"/>
      <c r="CD515" s="21"/>
      <c r="CK515" s="21"/>
      <c r="CO515" s="23"/>
      <c r="CS515" s="21"/>
      <c r="CW515" s="23"/>
      <c r="DA515" s="21"/>
      <c r="DE515" s="23"/>
      <c r="DI515" s="21"/>
      <c r="DM515" s="23"/>
    </row>
    <row r="516" spans="73:117">
      <c r="BU516" s="23"/>
      <c r="BX516" s="21"/>
      <c r="CA516" s="23"/>
      <c r="CD516" s="21"/>
      <c r="CK516" s="21"/>
      <c r="CO516" s="23"/>
      <c r="CS516" s="21"/>
      <c r="CW516" s="23"/>
      <c r="DA516" s="21"/>
      <c r="DE516" s="23"/>
      <c r="DI516" s="21"/>
      <c r="DM516" s="23"/>
    </row>
    <row r="517" spans="73:117">
      <c r="BU517" s="23"/>
      <c r="BX517" s="21"/>
      <c r="CA517" s="23"/>
      <c r="CD517" s="21"/>
      <c r="CK517" s="21"/>
      <c r="CO517" s="23"/>
      <c r="CS517" s="21"/>
      <c r="CW517" s="23"/>
      <c r="DA517" s="21"/>
      <c r="DE517" s="23"/>
      <c r="DI517" s="21"/>
      <c r="DM517" s="23"/>
    </row>
    <row r="518" spans="73:117">
      <c r="BU518" s="23"/>
      <c r="BX518" s="21"/>
      <c r="CA518" s="23"/>
      <c r="CD518" s="21"/>
      <c r="CK518" s="21"/>
      <c r="CO518" s="23"/>
      <c r="CS518" s="21"/>
      <c r="CW518" s="23"/>
      <c r="DA518" s="21"/>
      <c r="DE518" s="23"/>
      <c r="DI518" s="21"/>
      <c r="DM518" s="23"/>
    </row>
    <row r="519" spans="73:117">
      <c r="BU519" s="23"/>
      <c r="BX519" s="21"/>
      <c r="CA519" s="23"/>
      <c r="CD519" s="21"/>
      <c r="CK519" s="21"/>
      <c r="CO519" s="23"/>
      <c r="CS519" s="21"/>
      <c r="CW519" s="23"/>
      <c r="DA519" s="21"/>
      <c r="DE519" s="23"/>
      <c r="DI519" s="21"/>
      <c r="DM519" s="23"/>
    </row>
    <row r="520" spans="73:117">
      <c r="BU520" s="23"/>
      <c r="BX520" s="21"/>
      <c r="CA520" s="23"/>
      <c r="CD520" s="21"/>
      <c r="CK520" s="21"/>
      <c r="CO520" s="23"/>
      <c r="CS520" s="21"/>
      <c r="CW520" s="23"/>
      <c r="DA520" s="21"/>
      <c r="DE520" s="23"/>
      <c r="DI520" s="21"/>
      <c r="DM520" s="23"/>
    </row>
    <row r="521" spans="73:117">
      <c r="BU521" s="23"/>
      <c r="BX521" s="21"/>
      <c r="CA521" s="23"/>
      <c r="CD521" s="21"/>
      <c r="CK521" s="21"/>
      <c r="CO521" s="23"/>
      <c r="CS521" s="21"/>
      <c r="CW521" s="23"/>
      <c r="DA521" s="21"/>
      <c r="DE521" s="23"/>
      <c r="DI521" s="21"/>
      <c r="DM521" s="23"/>
    </row>
    <row r="522" spans="73:117">
      <c r="BU522" s="23"/>
      <c r="BX522" s="21"/>
      <c r="CA522" s="23"/>
      <c r="CD522" s="21"/>
      <c r="CK522" s="21"/>
      <c r="CO522" s="23"/>
      <c r="CS522" s="21"/>
      <c r="CW522" s="23"/>
      <c r="DA522" s="21"/>
      <c r="DE522" s="23"/>
      <c r="DI522" s="21"/>
      <c r="DM522" s="23"/>
    </row>
    <row r="523" spans="73:117">
      <c r="BU523" s="23"/>
      <c r="BX523" s="21"/>
      <c r="CA523" s="23"/>
      <c r="CD523" s="21"/>
      <c r="CK523" s="21"/>
      <c r="CO523" s="23"/>
      <c r="CS523" s="21"/>
      <c r="CW523" s="23"/>
      <c r="DA523" s="21"/>
      <c r="DE523" s="23"/>
      <c r="DI523" s="21"/>
      <c r="DM523" s="23"/>
    </row>
    <row r="524" spans="73:117">
      <c r="BU524" s="23"/>
      <c r="BX524" s="21"/>
      <c r="CA524" s="23"/>
      <c r="CD524" s="21"/>
      <c r="CK524" s="21"/>
      <c r="CO524" s="23"/>
      <c r="CS524" s="21"/>
      <c r="CW524" s="23"/>
      <c r="DA524" s="21"/>
      <c r="DE524" s="23"/>
      <c r="DI524" s="21"/>
      <c r="DM524" s="23"/>
    </row>
    <row r="525" spans="73:117">
      <c r="BU525" s="23"/>
      <c r="BX525" s="21"/>
      <c r="CA525" s="23"/>
      <c r="CD525" s="21"/>
      <c r="CK525" s="21"/>
      <c r="CO525" s="23"/>
      <c r="CS525" s="21"/>
      <c r="CW525" s="23"/>
      <c r="DA525" s="21"/>
      <c r="DE525" s="23"/>
      <c r="DI525" s="21"/>
      <c r="DM525" s="23"/>
    </row>
    <row r="526" spans="73:117">
      <c r="BU526" s="23"/>
      <c r="BX526" s="21"/>
      <c r="CA526" s="23"/>
      <c r="CD526" s="21"/>
      <c r="CK526" s="21"/>
      <c r="CO526" s="23"/>
      <c r="CS526" s="21"/>
      <c r="CW526" s="23"/>
      <c r="DA526" s="21"/>
      <c r="DE526" s="23"/>
      <c r="DI526" s="21"/>
      <c r="DM526" s="23"/>
    </row>
    <row r="527" spans="73:117">
      <c r="BU527" s="23"/>
      <c r="BX527" s="21"/>
      <c r="CA527" s="23"/>
      <c r="CD527" s="21"/>
      <c r="CK527" s="21"/>
      <c r="CO527" s="23"/>
      <c r="CS527" s="21"/>
      <c r="CW527" s="23"/>
      <c r="DA527" s="21"/>
      <c r="DE527" s="23"/>
      <c r="DI527" s="21"/>
      <c r="DM527" s="23"/>
    </row>
    <row r="528" spans="73:117">
      <c r="BU528" s="23"/>
      <c r="BX528" s="21"/>
      <c r="CA528" s="23"/>
      <c r="CD528" s="21"/>
      <c r="CK528" s="21"/>
      <c r="CO528" s="23"/>
      <c r="CS528" s="21"/>
      <c r="CW528" s="23"/>
      <c r="DA528" s="21"/>
      <c r="DE528" s="23"/>
      <c r="DI528" s="21"/>
      <c r="DM528" s="23"/>
    </row>
    <row r="529" spans="73:117">
      <c r="BU529" s="23"/>
      <c r="BX529" s="21"/>
      <c r="CA529" s="23"/>
      <c r="CD529" s="21"/>
      <c r="CK529" s="21"/>
      <c r="CO529" s="23"/>
      <c r="CS529" s="21"/>
      <c r="CW529" s="23"/>
      <c r="DA529" s="21"/>
      <c r="DE529" s="23"/>
      <c r="DI529" s="21"/>
      <c r="DM529" s="23"/>
    </row>
    <row r="530" spans="73:117">
      <c r="BU530" s="23"/>
      <c r="BX530" s="21"/>
      <c r="CA530" s="23"/>
      <c r="CD530" s="21"/>
      <c r="CK530" s="21"/>
      <c r="CO530" s="23"/>
      <c r="CS530" s="21"/>
      <c r="CW530" s="23"/>
      <c r="DA530" s="21"/>
      <c r="DE530" s="23"/>
      <c r="DI530" s="21"/>
      <c r="DM530" s="23"/>
    </row>
    <row r="531" spans="73:117">
      <c r="BU531" s="23"/>
      <c r="BX531" s="21"/>
      <c r="CA531" s="23"/>
      <c r="CD531" s="21"/>
      <c r="CK531" s="21"/>
      <c r="CO531" s="23"/>
      <c r="CS531" s="21"/>
      <c r="CW531" s="23"/>
      <c r="DA531" s="21"/>
      <c r="DE531" s="23"/>
      <c r="DI531" s="21"/>
      <c r="DM531" s="23"/>
    </row>
    <row r="532" spans="73:117">
      <c r="BU532" s="23"/>
      <c r="BX532" s="21"/>
      <c r="CA532" s="23"/>
      <c r="CD532" s="21"/>
      <c r="CK532" s="21"/>
      <c r="CO532" s="23"/>
      <c r="CS532" s="21"/>
      <c r="CW532" s="23"/>
      <c r="DA532" s="21"/>
      <c r="DE532" s="23"/>
      <c r="DI532" s="21"/>
      <c r="DM532" s="23"/>
    </row>
    <row r="533" spans="73:117">
      <c r="BU533" s="23"/>
      <c r="BX533" s="21"/>
      <c r="CA533" s="23"/>
      <c r="CD533" s="21"/>
      <c r="CK533" s="21"/>
      <c r="CO533" s="23"/>
      <c r="CS533" s="21"/>
      <c r="CW533" s="23"/>
      <c r="DA533" s="21"/>
      <c r="DE533" s="23"/>
      <c r="DI533" s="21"/>
      <c r="DM533" s="23"/>
    </row>
    <row r="534" spans="73:117">
      <c r="BU534" s="23"/>
      <c r="BX534" s="21"/>
      <c r="CA534" s="23"/>
      <c r="CD534" s="21"/>
      <c r="CK534" s="21"/>
      <c r="CO534" s="23"/>
      <c r="CS534" s="21"/>
      <c r="CW534" s="23"/>
      <c r="DA534" s="21"/>
      <c r="DE534" s="23"/>
      <c r="DI534" s="21"/>
      <c r="DM534" s="23"/>
    </row>
    <row r="535" spans="73:117">
      <c r="BU535" s="23"/>
      <c r="BX535" s="21"/>
      <c r="CA535" s="23"/>
      <c r="CD535" s="21"/>
      <c r="CK535" s="21"/>
      <c r="CO535" s="23"/>
      <c r="CS535" s="21"/>
      <c r="CW535" s="23"/>
      <c r="DA535" s="21"/>
      <c r="DE535" s="23"/>
      <c r="DI535" s="21"/>
      <c r="DM535" s="23"/>
    </row>
    <row r="536" spans="73:117">
      <c r="BU536" s="23"/>
      <c r="BX536" s="21"/>
      <c r="CA536" s="23"/>
      <c r="CD536" s="21"/>
      <c r="CK536" s="21"/>
      <c r="CO536" s="23"/>
      <c r="CS536" s="21"/>
      <c r="CW536" s="23"/>
      <c r="DA536" s="21"/>
      <c r="DE536" s="23"/>
      <c r="DI536" s="21"/>
      <c r="DM536" s="23"/>
    </row>
    <row r="537" spans="73:117">
      <c r="BU537" s="23"/>
      <c r="BX537" s="21"/>
      <c r="CA537" s="23"/>
      <c r="CD537" s="21"/>
      <c r="CK537" s="21"/>
      <c r="CO537" s="23"/>
      <c r="CS537" s="21"/>
      <c r="CW537" s="23"/>
      <c r="DA537" s="21"/>
      <c r="DE537" s="23"/>
      <c r="DI537" s="21"/>
      <c r="DM537" s="23"/>
    </row>
    <row r="538" spans="73:117">
      <c r="BU538" s="23"/>
      <c r="BX538" s="21"/>
      <c r="CA538" s="23"/>
      <c r="CD538" s="21"/>
      <c r="CK538" s="21"/>
      <c r="CO538" s="23"/>
      <c r="CS538" s="21"/>
      <c r="CW538" s="23"/>
      <c r="DA538" s="21"/>
      <c r="DE538" s="23"/>
      <c r="DI538" s="21"/>
      <c r="DM538" s="23"/>
    </row>
    <row r="539" spans="73:117">
      <c r="BU539" s="23"/>
      <c r="BX539" s="21"/>
      <c r="CA539" s="23"/>
      <c r="CD539" s="21"/>
      <c r="CK539" s="21"/>
      <c r="CO539" s="23"/>
      <c r="CS539" s="21"/>
      <c r="CW539" s="23"/>
      <c r="DA539" s="21"/>
      <c r="DE539" s="23"/>
      <c r="DI539" s="21"/>
      <c r="DM539" s="23"/>
    </row>
    <row r="540" spans="73:117">
      <c r="BU540" s="23"/>
      <c r="BX540" s="21"/>
      <c r="CA540" s="23"/>
      <c r="CD540" s="21"/>
      <c r="CK540" s="21"/>
      <c r="CO540" s="23"/>
      <c r="CS540" s="21"/>
      <c r="CW540" s="23"/>
      <c r="DA540" s="21"/>
      <c r="DE540" s="23"/>
      <c r="DI540" s="21"/>
      <c r="DM540" s="23"/>
    </row>
    <row r="541" spans="73:117">
      <c r="BU541" s="23"/>
      <c r="BX541" s="21"/>
      <c r="CA541" s="23"/>
      <c r="CD541" s="21"/>
      <c r="CK541" s="21"/>
      <c r="CO541" s="23"/>
      <c r="CS541" s="21"/>
      <c r="CW541" s="23"/>
      <c r="DA541" s="21"/>
      <c r="DE541" s="23"/>
      <c r="DI541" s="21"/>
      <c r="DM541" s="23"/>
    </row>
    <row r="542" spans="73:117">
      <c r="BU542" s="23"/>
      <c r="BX542" s="21"/>
      <c r="CA542" s="23"/>
      <c r="CD542" s="21"/>
      <c r="CK542" s="21"/>
      <c r="CO542" s="23"/>
      <c r="CS542" s="21"/>
      <c r="CW542" s="23"/>
      <c r="DA542" s="21"/>
      <c r="DE542" s="23"/>
      <c r="DI542" s="21"/>
      <c r="DM542" s="23"/>
    </row>
    <row r="543" spans="73:117">
      <c r="BU543" s="23"/>
      <c r="BX543" s="21"/>
      <c r="CA543" s="23"/>
      <c r="CD543" s="21"/>
      <c r="CK543" s="21"/>
      <c r="CO543" s="23"/>
      <c r="CS543" s="21"/>
      <c r="CW543" s="23"/>
      <c r="DA543" s="21"/>
      <c r="DE543" s="23"/>
      <c r="DI543" s="21"/>
      <c r="DM543" s="23"/>
    </row>
    <row r="544" spans="73:117">
      <c r="BU544" s="23"/>
      <c r="BX544" s="21"/>
      <c r="CA544" s="23"/>
      <c r="CD544" s="21"/>
      <c r="CK544" s="21"/>
      <c r="CO544" s="23"/>
      <c r="CS544" s="21"/>
      <c r="CW544" s="23"/>
      <c r="DA544" s="21"/>
      <c r="DE544" s="23"/>
      <c r="DI544" s="21"/>
      <c r="DM544" s="23"/>
    </row>
    <row r="545" spans="73:117">
      <c r="BU545" s="23"/>
      <c r="BX545" s="21"/>
      <c r="CA545" s="23"/>
      <c r="CD545" s="21"/>
      <c r="CK545" s="21"/>
      <c r="CO545" s="23"/>
      <c r="CS545" s="21"/>
      <c r="CW545" s="23"/>
      <c r="DA545" s="21"/>
      <c r="DE545" s="23"/>
      <c r="DI545" s="21"/>
      <c r="DM545" s="23"/>
    </row>
    <row r="546" spans="73:117">
      <c r="BU546" s="23"/>
      <c r="BX546" s="21"/>
      <c r="CA546" s="23"/>
      <c r="CD546" s="21"/>
      <c r="CK546" s="21"/>
      <c r="CO546" s="23"/>
      <c r="CS546" s="21"/>
      <c r="CW546" s="23"/>
      <c r="DA546" s="21"/>
      <c r="DE546" s="23"/>
      <c r="DI546" s="21"/>
      <c r="DM546" s="23"/>
    </row>
    <row r="547" spans="73:117">
      <c r="BU547" s="23"/>
      <c r="BX547" s="21"/>
      <c r="CA547" s="23"/>
      <c r="CD547" s="21"/>
      <c r="CK547" s="21"/>
      <c r="CO547" s="23"/>
      <c r="CS547" s="21"/>
      <c r="CW547" s="23"/>
      <c r="DA547" s="21"/>
      <c r="DE547" s="23"/>
      <c r="DI547" s="21"/>
      <c r="DM547" s="23"/>
    </row>
    <row r="548" spans="73:117">
      <c r="BU548" s="23"/>
      <c r="BX548" s="21"/>
      <c r="CA548" s="23"/>
      <c r="CD548" s="21"/>
      <c r="CK548" s="21"/>
      <c r="CO548" s="23"/>
      <c r="CS548" s="21"/>
      <c r="CW548" s="23"/>
      <c r="DA548" s="21"/>
      <c r="DE548" s="23"/>
      <c r="DI548" s="21"/>
      <c r="DM548" s="23"/>
    </row>
    <row r="549" spans="73:117">
      <c r="BU549" s="23"/>
      <c r="BX549" s="21"/>
      <c r="CA549" s="23"/>
      <c r="CD549" s="21"/>
      <c r="CK549" s="21"/>
      <c r="CO549" s="23"/>
      <c r="CS549" s="21"/>
      <c r="CW549" s="23"/>
      <c r="DA549" s="21"/>
      <c r="DE549" s="23"/>
      <c r="DI549" s="21"/>
      <c r="DM549" s="23"/>
    </row>
    <row r="550" spans="73:117">
      <c r="BU550" s="23"/>
      <c r="BX550" s="21"/>
      <c r="CA550" s="23"/>
      <c r="CD550" s="21"/>
      <c r="CK550" s="21"/>
      <c r="CO550" s="23"/>
      <c r="CS550" s="21"/>
      <c r="CW550" s="23"/>
      <c r="DA550" s="21"/>
      <c r="DE550" s="23"/>
      <c r="DI550" s="21"/>
      <c r="DM550" s="23"/>
    </row>
    <row r="551" spans="73:117">
      <c r="BU551" s="23"/>
      <c r="BX551" s="21"/>
      <c r="CA551" s="23"/>
      <c r="CD551" s="21"/>
      <c r="CK551" s="21"/>
      <c r="CO551" s="23"/>
      <c r="CS551" s="21"/>
      <c r="CW551" s="23"/>
      <c r="DA551" s="21"/>
      <c r="DE551" s="23"/>
      <c r="DI551" s="21"/>
      <c r="DM551" s="23"/>
    </row>
    <row r="552" spans="73:117">
      <c r="BU552" s="23"/>
      <c r="BX552" s="21"/>
      <c r="CA552" s="23"/>
      <c r="CD552" s="21"/>
      <c r="CK552" s="21"/>
      <c r="CO552" s="23"/>
      <c r="CS552" s="21"/>
      <c r="CW552" s="23"/>
      <c r="DA552" s="21"/>
      <c r="DE552" s="23"/>
      <c r="DI552" s="21"/>
      <c r="DM552" s="23"/>
    </row>
    <row r="553" spans="73:117">
      <c r="BU553" s="23"/>
      <c r="BX553" s="21"/>
      <c r="CA553" s="23"/>
      <c r="CD553" s="21"/>
      <c r="CK553" s="21"/>
      <c r="CO553" s="23"/>
      <c r="CS553" s="21"/>
      <c r="CW553" s="23"/>
      <c r="DA553" s="21"/>
      <c r="DE553" s="23"/>
      <c r="DI553" s="21"/>
      <c r="DM553" s="23"/>
    </row>
    <row r="554" spans="73:117">
      <c r="BU554" s="23"/>
      <c r="BX554" s="21"/>
      <c r="CA554" s="23"/>
      <c r="CD554" s="21"/>
      <c r="CK554" s="21"/>
      <c r="CO554" s="23"/>
      <c r="CS554" s="21"/>
      <c r="CW554" s="23"/>
      <c r="DA554" s="21"/>
      <c r="DE554" s="23"/>
      <c r="DI554" s="21"/>
      <c r="DM554" s="23"/>
    </row>
    <row r="555" spans="73:117">
      <c r="BU555" s="23"/>
      <c r="BX555" s="21"/>
      <c r="CA555" s="23"/>
      <c r="CD555" s="21"/>
      <c r="CK555" s="21"/>
      <c r="CO555" s="23"/>
      <c r="CS555" s="21"/>
      <c r="CW555" s="23"/>
      <c r="DA555" s="21"/>
      <c r="DE555" s="23"/>
      <c r="DI555" s="21"/>
      <c r="DM555" s="23"/>
    </row>
    <row r="556" spans="73:117">
      <c r="BU556" s="23"/>
      <c r="BX556" s="21"/>
      <c r="CA556" s="23"/>
      <c r="CD556" s="21"/>
      <c r="CK556" s="21"/>
      <c r="CO556" s="23"/>
      <c r="CS556" s="21"/>
      <c r="CW556" s="23"/>
      <c r="DA556" s="21"/>
      <c r="DE556" s="23"/>
      <c r="DI556" s="21"/>
      <c r="DM556" s="23"/>
    </row>
    <row r="557" spans="73:117">
      <c r="BU557" s="23"/>
      <c r="BX557" s="21"/>
      <c r="CA557" s="23"/>
      <c r="CD557" s="21"/>
      <c r="CK557" s="21"/>
      <c r="CO557" s="23"/>
      <c r="CS557" s="21"/>
      <c r="CW557" s="23"/>
      <c r="DA557" s="21"/>
      <c r="DE557" s="23"/>
      <c r="DI557" s="21"/>
      <c r="DM557" s="23"/>
    </row>
    <row r="558" spans="73:117">
      <c r="BU558" s="23"/>
      <c r="BX558" s="21"/>
      <c r="CA558" s="23"/>
      <c r="CD558" s="21"/>
      <c r="CK558" s="21"/>
      <c r="CO558" s="23"/>
      <c r="CS558" s="21"/>
      <c r="CW558" s="23"/>
      <c r="DA558" s="21"/>
      <c r="DE558" s="23"/>
      <c r="DI558" s="21"/>
      <c r="DM558" s="23"/>
    </row>
    <row r="559" spans="73:117">
      <c r="BU559" s="23"/>
      <c r="BX559" s="21"/>
      <c r="CA559" s="23"/>
      <c r="CD559" s="21"/>
      <c r="CK559" s="21"/>
      <c r="CO559" s="23"/>
      <c r="CS559" s="21"/>
      <c r="CW559" s="23"/>
      <c r="DA559" s="21"/>
      <c r="DE559" s="23"/>
      <c r="DI559" s="21"/>
      <c r="DM559" s="23"/>
    </row>
    <row r="560" spans="73:117">
      <c r="BU560" s="23"/>
      <c r="BX560" s="21"/>
      <c r="CA560" s="23"/>
      <c r="CD560" s="21"/>
      <c r="CK560" s="21"/>
      <c r="CO560" s="23"/>
      <c r="CS560" s="21"/>
      <c r="CW560" s="23"/>
      <c r="DA560" s="21"/>
      <c r="DE560" s="23"/>
      <c r="DI560" s="21"/>
      <c r="DM560" s="23"/>
    </row>
    <row r="561" spans="73:117">
      <c r="BU561" s="23"/>
      <c r="BX561" s="21"/>
      <c r="CA561" s="23"/>
      <c r="CD561" s="21"/>
      <c r="CK561" s="21"/>
      <c r="CO561" s="23"/>
      <c r="CS561" s="21"/>
      <c r="CW561" s="23"/>
      <c r="DA561" s="21"/>
      <c r="DE561" s="23"/>
      <c r="DI561" s="21"/>
      <c r="DM561" s="23"/>
    </row>
    <row r="562" spans="73:117">
      <c r="BU562" s="23"/>
      <c r="BX562" s="21"/>
      <c r="CA562" s="23"/>
      <c r="CD562" s="21"/>
      <c r="CK562" s="21"/>
      <c r="CO562" s="23"/>
      <c r="CS562" s="21"/>
      <c r="CW562" s="23"/>
      <c r="DA562" s="21"/>
      <c r="DE562" s="23"/>
      <c r="DI562" s="21"/>
      <c r="DM562" s="23"/>
    </row>
    <row r="563" spans="73:117">
      <c r="BU563" s="23"/>
      <c r="BX563" s="21"/>
      <c r="CA563" s="23"/>
      <c r="CD563" s="21"/>
      <c r="CK563" s="21"/>
      <c r="CO563" s="23"/>
      <c r="CS563" s="21"/>
      <c r="CW563" s="23"/>
      <c r="DA563" s="21"/>
      <c r="DE563" s="23"/>
      <c r="DI563" s="21"/>
      <c r="DM563" s="23"/>
    </row>
    <row r="564" spans="73:117">
      <c r="BU564" s="23"/>
      <c r="BX564" s="21"/>
      <c r="CA564" s="23"/>
      <c r="CD564" s="21"/>
      <c r="CK564" s="21"/>
      <c r="CO564" s="23"/>
      <c r="CS564" s="21"/>
      <c r="CW564" s="23"/>
      <c r="DA564" s="21"/>
      <c r="DE564" s="23"/>
      <c r="DI564" s="21"/>
      <c r="DM564" s="23"/>
    </row>
    <row r="565" spans="73:117">
      <c r="BU565" s="23"/>
      <c r="BX565" s="21"/>
      <c r="CA565" s="23"/>
      <c r="CD565" s="21"/>
      <c r="CK565" s="21"/>
      <c r="CO565" s="23"/>
      <c r="CS565" s="21"/>
      <c r="CW565" s="23"/>
      <c r="DA565" s="21"/>
      <c r="DE565" s="23"/>
      <c r="DI565" s="21"/>
      <c r="DM565" s="23"/>
    </row>
    <row r="566" spans="73:117">
      <c r="BU566" s="23"/>
      <c r="BX566" s="21"/>
      <c r="CA566" s="23"/>
      <c r="CD566" s="21"/>
      <c r="CK566" s="21"/>
      <c r="CO566" s="23"/>
      <c r="CS566" s="21"/>
      <c r="CW566" s="23"/>
      <c r="DA566" s="21"/>
      <c r="DE566" s="23"/>
      <c r="DI566" s="21"/>
      <c r="DM566" s="23"/>
    </row>
    <row r="567" spans="73:117">
      <c r="BU567" s="23"/>
      <c r="BX567" s="21"/>
      <c r="CA567" s="23"/>
      <c r="CD567" s="21"/>
      <c r="CK567" s="21"/>
      <c r="CO567" s="23"/>
      <c r="CS567" s="21"/>
      <c r="CW567" s="23"/>
      <c r="DA567" s="21"/>
      <c r="DE567" s="23"/>
      <c r="DI567" s="21"/>
      <c r="DM567" s="23"/>
    </row>
    <row r="568" spans="73:117">
      <c r="BU568" s="23"/>
      <c r="BX568" s="21"/>
      <c r="CA568" s="23"/>
      <c r="CD568" s="21"/>
      <c r="CK568" s="21"/>
      <c r="CO568" s="23"/>
      <c r="CS568" s="21"/>
      <c r="CW568" s="23"/>
      <c r="DA568" s="21"/>
      <c r="DE568" s="23"/>
      <c r="DI568" s="21"/>
      <c r="DM568" s="23"/>
    </row>
    <row r="569" spans="73:117">
      <c r="BU569" s="23"/>
      <c r="BX569" s="21"/>
      <c r="CA569" s="23"/>
      <c r="CD569" s="21"/>
      <c r="CK569" s="21"/>
      <c r="CO569" s="23"/>
      <c r="CS569" s="21"/>
      <c r="CW569" s="23"/>
      <c r="DA569" s="21"/>
      <c r="DE569" s="23"/>
      <c r="DI569" s="21"/>
      <c r="DM569" s="23"/>
    </row>
    <row r="570" spans="73:117">
      <c r="BU570" s="23"/>
      <c r="BX570" s="21"/>
      <c r="CA570" s="23"/>
      <c r="CD570" s="21"/>
      <c r="CK570" s="21"/>
      <c r="CO570" s="23"/>
      <c r="CS570" s="21"/>
      <c r="CW570" s="23"/>
      <c r="DA570" s="21"/>
      <c r="DE570" s="23"/>
      <c r="DI570" s="21"/>
      <c r="DM570" s="23"/>
    </row>
    <row r="571" spans="73:117">
      <c r="BU571" s="23"/>
      <c r="BX571" s="21"/>
      <c r="CA571" s="23"/>
      <c r="CD571" s="21"/>
      <c r="CK571" s="21"/>
      <c r="CO571" s="23"/>
      <c r="CS571" s="21"/>
      <c r="CW571" s="23"/>
      <c r="DA571" s="21"/>
      <c r="DE571" s="23"/>
      <c r="DI571" s="21"/>
      <c r="DM571" s="23"/>
    </row>
    <row r="572" spans="73:117">
      <c r="BU572" s="23"/>
      <c r="BX572" s="21"/>
      <c r="CA572" s="23"/>
      <c r="CD572" s="21"/>
      <c r="CK572" s="21"/>
      <c r="CO572" s="23"/>
      <c r="CS572" s="21"/>
      <c r="CW572" s="23"/>
      <c r="DA572" s="21"/>
      <c r="DE572" s="23"/>
      <c r="DI572" s="21"/>
      <c r="DM572" s="23"/>
    </row>
    <row r="573" spans="73:117">
      <c r="BU573" s="23"/>
      <c r="BX573" s="21"/>
      <c r="CA573" s="23"/>
      <c r="CD573" s="21"/>
      <c r="CK573" s="21"/>
      <c r="CO573" s="23"/>
      <c r="CS573" s="21"/>
      <c r="CW573" s="23"/>
      <c r="DA573" s="21"/>
      <c r="DE573" s="23"/>
      <c r="DI573" s="21"/>
      <c r="DM573" s="23"/>
    </row>
    <row r="574" spans="73:117">
      <c r="BU574" s="23"/>
      <c r="BX574" s="21"/>
      <c r="CA574" s="23"/>
      <c r="CD574" s="21"/>
      <c r="CK574" s="21"/>
      <c r="CO574" s="23"/>
      <c r="CS574" s="21"/>
      <c r="CW574" s="23"/>
      <c r="DA574" s="21"/>
      <c r="DE574" s="23"/>
      <c r="DI574" s="21"/>
      <c r="DM574" s="23"/>
    </row>
    <row r="575" spans="73:117">
      <c r="BU575" s="23"/>
      <c r="BX575" s="21"/>
      <c r="CA575" s="23"/>
      <c r="CD575" s="21"/>
      <c r="CK575" s="21"/>
      <c r="CO575" s="23"/>
      <c r="CS575" s="21"/>
      <c r="CW575" s="23"/>
      <c r="DA575" s="21"/>
      <c r="DE575" s="23"/>
      <c r="DI575" s="21"/>
      <c r="DM575" s="23"/>
    </row>
    <row r="576" spans="73:117">
      <c r="BU576" s="23"/>
      <c r="BX576" s="21"/>
      <c r="CA576" s="23"/>
      <c r="CD576" s="21"/>
      <c r="CK576" s="21"/>
      <c r="CO576" s="23"/>
      <c r="CS576" s="21"/>
      <c r="CW576" s="23"/>
      <c r="DA576" s="21"/>
      <c r="DE576" s="23"/>
      <c r="DI576" s="21"/>
      <c r="DM576" s="23"/>
    </row>
    <row r="577" spans="73:117">
      <c r="BU577" s="23"/>
      <c r="BX577" s="21"/>
      <c r="CA577" s="23"/>
      <c r="CD577" s="21"/>
      <c r="CK577" s="21"/>
      <c r="CO577" s="23"/>
      <c r="CS577" s="21"/>
      <c r="CW577" s="23"/>
      <c r="DA577" s="21"/>
      <c r="DE577" s="23"/>
      <c r="DI577" s="21"/>
      <c r="DM577" s="23"/>
    </row>
    <row r="578" spans="73:117">
      <c r="BU578" s="23"/>
      <c r="BX578" s="21"/>
      <c r="CA578" s="23"/>
      <c r="CD578" s="21"/>
      <c r="CK578" s="21"/>
      <c r="CO578" s="23"/>
      <c r="CS578" s="21"/>
      <c r="CW578" s="23"/>
      <c r="DA578" s="21"/>
      <c r="DE578" s="23"/>
      <c r="DI578" s="21"/>
      <c r="DM578" s="23"/>
    </row>
    <row r="579" spans="73:117">
      <c r="BU579" s="23"/>
      <c r="BX579" s="21"/>
      <c r="CA579" s="23"/>
      <c r="CD579" s="21"/>
      <c r="CK579" s="21"/>
      <c r="CO579" s="23"/>
      <c r="CS579" s="21"/>
      <c r="CW579" s="23"/>
      <c r="DA579" s="21"/>
      <c r="DE579" s="23"/>
      <c r="DI579" s="21"/>
      <c r="DM579" s="23"/>
    </row>
    <row r="580" spans="73:117">
      <c r="BU580" s="23"/>
      <c r="BX580" s="21"/>
      <c r="CA580" s="23"/>
      <c r="CD580" s="21"/>
      <c r="CK580" s="21"/>
      <c r="CO580" s="23"/>
      <c r="CS580" s="21"/>
      <c r="CW580" s="23"/>
      <c r="DA580" s="21"/>
      <c r="DE580" s="23"/>
      <c r="DI580" s="21"/>
      <c r="DM580" s="23"/>
    </row>
    <row r="581" spans="73:117">
      <c r="BU581" s="23"/>
      <c r="BX581" s="21"/>
      <c r="CA581" s="23"/>
      <c r="CD581" s="21"/>
      <c r="CK581" s="21"/>
      <c r="CO581" s="23"/>
      <c r="CS581" s="21"/>
      <c r="CW581" s="23"/>
      <c r="DA581" s="21"/>
      <c r="DE581" s="23"/>
      <c r="DI581" s="21"/>
      <c r="DM581" s="23"/>
    </row>
    <row r="582" spans="73:117">
      <c r="BU582" s="23"/>
      <c r="BX582" s="21"/>
      <c r="CA582" s="23"/>
      <c r="CD582" s="21"/>
      <c r="CK582" s="21"/>
      <c r="CO582" s="23"/>
      <c r="CS582" s="21"/>
      <c r="CW582" s="23"/>
      <c r="DA582" s="21"/>
      <c r="DE582" s="23"/>
      <c r="DI582" s="21"/>
      <c r="DM582" s="23"/>
    </row>
    <row r="583" spans="73:117">
      <c r="BU583" s="23"/>
      <c r="BX583" s="21"/>
      <c r="CA583" s="23"/>
      <c r="CD583" s="21"/>
      <c r="CK583" s="21"/>
      <c r="CO583" s="23"/>
      <c r="CS583" s="21"/>
      <c r="CW583" s="23"/>
      <c r="DA583" s="21"/>
      <c r="DE583" s="23"/>
      <c r="DI583" s="21"/>
      <c r="DM583" s="23"/>
    </row>
    <row r="584" spans="73:117">
      <c r="BU584" s="23"/>
      <c r="BX584" s="21"/>
      <c r="CA584" s="23"/>
      <c r="CD584" s="21"/>
      <c r="CK584" s="21"/>
      <c r="CO584" s="23"/>
      <c r="CS584" s="21"/>
      <c r="CW584" s="23"/>
      <c r="DA584" s="21"/>
      <c r="DE584" s="23"/>
      <c r="DI584" s="21"/>
      <c r="DM584" s="23"/>
    </row>
    <row r="585" spans="73:117">
      <c r="BU585" s="23"/>
      <c r="BX585" s="21"/>
      <c r="CA585" s="23"/>
      <c r="CD585" s="21"/>
      <c r="CK585" s="21"/>
      <c r="CO585" s="23"/>
      <c r="CS585" s="21"/>
      <c r="CW585" s="23"/>
      <c r="DA585" s="21"/>
      <c r="DE585" s="23"/>
      <c r="DI585" s="21"/>
      <c r="DM585" s="23"/>
    </row>
    <row r="586" spans="73:117">
      <c r="BU586" s="23"/>
      <c r="BX586" s="21"/>
      <c r="CA586" s="23"/>
      <c r="CD586" s="21"/>
      <c r="CK586" s="21"/>
      <c r="CO586" s="23"/>
      <c r="CS586" s="21"/>
      <c r="CW586" s="23"/>
      <c r="DA586" s="21"/>
      <c r="DE586" s="23"/>
      <c r="DI586" s="21"/>
      <c r="DM586" s="23"/>
    </row>
    <row r="587" spans="73:117">
      <c r="BU587" s="23"/>
      <c r="BX587" s="21"/>
      <c r="CA587" s="23"/>
      <c r="CD587" s="21"/>
      <c r="CK587" s="21"/>
      <c r="CO587" s="23"/>
      <c r="CS587" s="21"/>
      <c r="CW587" s="23"/>
      <c r="DA587" s="21"/>
      <c r="DE587" s="23"/>
      <c r="DI587" s="21"/>
      <c r="DM587" s="23"/>
    </row>
    <row r="588" spans="73:117">
      <c r="BU588" s="23"/>
      <c r="BX588" s="21"/>
      <c r="CA588" s="23"/>
      <c r="CD588" s="21"/>
      <c r="CK588" s="21"/>
      <c r="CO588" s="23"/>
      <c r="CS588" s="21"/>
      <c r="CW588" s="23"/>
      <c r="DA588" s="21"/>
      <c r="DE588" s="23"/>
      <c r="DI588" s="21"/>
      <c r="DM588" s="23"/>
    </row>
    <row r="589" spans="73:117">
      <c r="BU589" s="23"/>
      <c r="BX589" s="21"/>
      <c r="CA589" s="23"/>
      <c r="CD589" s="21"/>
      <c r="CK589" s="21"/>
      <c r="CO589" s="23"/>
      <c r="CS589" s="21"/>
      <c r="CW589" s="23"/>
      <c r="DA589" s="21"/>
      <c r="DE589" s="23"/>
      <c r="DI589" s="21"/>
      <c r="DM589" s="23"/>
    </row>
    <row r="590" spans="73:117">
      <c r="BU590" s="23"/>
      <c r="BX590" s="21"/>
      <c r="CA590" s="23"/>
      <c r="CD590" s="21"/>
      <c r="CK590" s="21"/>
      <c r="CO590" s="23"/>
      <c r="CS590" s="21"/>
      <c r="CW590" s="23"/>
      <c r="DA590" s="21"/>
      <c r="DE590" s="23"/>
      <c r="DI590" s="21"/>
      <c r="DM590" s="23"/>
    </row>
    <row r="591" spans="73:117">
      <c r="BU591" s="23"/>
      <c r="BX591" s="21"/>
      <c r="CA591" s="23"/>
      <c r="CD591" s="21"/>
      <c r="CK591" s="21"/>
      <c r="CO591" s="23"/>
      <c r="CS591" s="21"/>
      <c r="CW591" s="23"/>
      <c r="DA591" s="21"/>
      <c r="DE591" s="23"/>
      <c r="DI591" s="21"/>
      <c r="DM591" s="23"/>
    </row>
    <row r="592" spans="73:117">
      <c r="BU592" s="23"/>
      <c r="BX592" s="21"/>
      <c r="CA592" s="23"/>
      <c r="CD592" s="21"/>
      <c r="CK592" s="21"/>
      <c r="CO592" s="23"/>
      <c r="CS592" s="21"/>
      <c r="CW592" s="23"/>
      <c r="DA592" s="21"/>
      <c r="DE592" s="23"/>
      <c r="DI592" s="21"/>
      <c r="DM592" s="23"/>
    </row>
    <row r="593" spans="73:117">
      <c r="BU593" s="23"/>
      <c r="BX593" s="21"/>
      <c r="CA593" s="23"/>
      <c r="CD593" s="21"/>
      <c r="CK593" s="21"/>
      <c r="CO593" s="23"/>
      <c r="CS593" s="21"/>
      <c r="CW593" s="23"/>
      <c r="DA593" s="21"/>
      <c r="DE593" s="23"/>
      <c r="DI593" s="21"/>
      <c r="DM593" s="23"/>
    </row>
    <row r="594" spans="73:117">
      <c r="BU594" s="23"/>
      <c r="BX594" s="21"/>
      <c r="CA594" s="23"/>
      <c r="CD594" s="21"/>
      <c r="CK594" s="21"/>
      <c r="CO594" s="23"/>
      <c r="CS594" s="21"/>
      <c r="CW594" s="23"/>
      <c r="DA594" s="21"/>
      <c r="DE594" s="23"/>
      <c r="DI594" s="21"/>
      <c r="DM594" s="23"/>
    </row>
    <row r="595" spans="73:117">
      <c r="BU595" s="23"/>
      <c r="BX595" s="21"/>
      <c r="CA595" s="23"/>
      <c r="CD595" s="21"/>
      <c r="CK595" s="21"/>
      <c r="CO595" s="23"/>
      <c r="CS595" s="21"/>
      <c r="CW595" s="23"/>
      <c r="DA595" s="21"/>
      <c r="DE595" s="23"/>
      <c r="DI595" s="21"/>
      <c r="DM595" s="23"/>
    </row>
    <row r="596" spans="73:117">
      <c r="BU596" s="23"/>
      <c r="BX596" s="21"/>
      <c r="CA596" s="23"/>
      <c r="CD596" s="21"/>
      <c r="CK596" s="21"/>
      <c r="CO596" s="23"/>
      <c r="CS596" s="21"/>
      <c r="CW596" s="23"/>
      <c r="DA596" s="21"/>
      <c r="DE596" s="23"/>
      <c r="DI596" s="21"/>
      <c r="DM596" s="23"/>
    </row>
    <row r="597" spans="73:117">
      <c r="BU597" s="23"/>
      <c r="BX597" s="21"/>
      <c r="CA597" s="23"/>
      <c r="CD597" s="21"/>
      <c r="CK597" s="21"/>
      <c r="CO597" s="23"/>
      <c r="CS597" s="21"/>
      <c r="CW597" s="23"/>
      <c r="DA597" s="21"/>
      <c r="DE597" s="23"/>
      <c r="DI597" s="21"/>
      <c r="DM597" s="23"/>
    </row>
    <row r="598" spans="73:117">
      <c r="BU598" s="23"/>
      <c r="BX598" s="21"/>
      <c r="CA598" s="23"/>
      <c r="CD598" s="21"/>
      <c r="CK598" s="21"/>
      <c r="CO598" s="23"/>
      <c r="CS598" s="21"/>
      <c r="CW598" s="23"/>
      <c r="DA598" s="21"/>
      <c r="DE598" s="23"/>
      <c r="DI598" s="21"/>
      <c r="DM598" s="23"/>
    </row>
    <row r="599" spans="73:117">
      <c r="BU599" s="23"/>
      <c r="BX599" s="21"/>
      <c r="CA599" s="23"/>
      <c r="CD599" s="21"/>
      <c r="CK599" s="21"/>
      <c r="CO599" s="23"/>
      <c r="CS599" s="21"/>
      <c r="CW599" s="23"/>
      <c r="DA599" s="21"/>
      <c r="DE599" s="23"/>
      <c r="DI599" s="21"/>
      <c r="DM599" s="23"/>
    </row>
    <row r="600" spans="73:117">
      <c r="BU600" s="23"/>
      <c r="BX600" s="21"/>
      <c r="CA600" s="23"/>
      <c r="CD600" s="21"/>
      <c r="CK600" s="21"/>
      <c r="CO600" s="23"/>
      <c r="CS600" s="21"/>
      <c r="CW600" s="23"/>
      <c r="DA600" s="21"/>
      <c r="DE600" s="23"/>
      <c r="DI600" s="21"/>
      <c r="DM600" s="23"/>
    </row>
    <row r="601" spans="73:117">
      <c r="BU601" s="23"/>
      <c r="BX601" s="21"/>
      <c r="CA601" s="23"/>
      <c r="CD601" s="21"/>
      <c r="CK601" s="21"/>
      <c r="CO601" s="23"/>
      <c r="CS601" s="21"/>
      <c r="CW601" s="23"/>
      <c r="DA601" s="21"/>
      <c r="DE601" s="23"/>
      <c r="DI601" s="21"/>
      <c r="DM601" s="23"/>
    </row>
    <row r="602" spans="73:117">
      <c r="BU602" s="23"/>
      <c r="BX602" s="21"/>
      <c r="CA602" s="23"/>
      <c r="CD602" s="21"/>
      <c r="CK602" s="21"/>
      <c r="CO602" s="23"/>
      <c r="CS602" s="21"/>
      <c r="CW602" s="23"/>
      <c r="DA602" s="21"/>
      <c r="DE602" s="23"/>
      <c r="DI602" s="21"/>
      <c r="DM602" s="23"/>
    </row>
    <row r="603" spans="73:117">
      <c r="BU603" s="23"/>
      <c r="BX603" s="21"/>
      <c r="CA603" s="23"/>
      <c r="CD603" s="21"/>
      <c r="CK603" s="21"/>
      <c r="CO603" s="23"/>
      <c r="CS603" s="21"/>
      <c r="CW603" s="23"/>
      <c r="DA603" s="21"/>
      <c r="DE603" s="23"/>
      <c r="DI603" s="21"/>
      <c r="DM603" s="23"/>
    </row>
    <row r="604" spans="73:117">
      <c r="BU604" s="23"/>
      <c r="BX604" s="21"/>
      <c r="CA604" s="23"/>
      <c r="CD604" s="21"/>
      <c r="CK604" s="21"/>
      <c r="CO604" s="23"/>
      <c r="CS604" s="21"/>
      <c r="CW604" s="23"/>
      <c r="DA604" s="21"/>
      <c r="DE604" s="23"/>
      <c r="DI604" s="21"/>
      <c r="DM604" s="23"/>
    </row>
    <row r="605" spans="73:117">
      <c r="BU605" s="23"/>
      <c r="BX605" s="21"/>
      <c r="CA605" s="23"/>
      <c r="CD605" s="21"/>
      <c r="CK605" s="21"/>
      <c r="CO605" s="23"/>
      <c r="CS605" s="21"/>
      <c r="CW605" s="23"/>
      <c r="DA605" s="21"/>
      <c r="DE605" s="23"/>
      <c r="DI605" s="21"/>
      <c r="DM605" s="23"/>
    </row>
    <row r="606" spans="73:117">
      <c r="BU606" s="23"/>
      <c r="BX606" s="21"/>
      <c r="CA606" s="23"/>
      <c r="CD606" s="21"/>
      <c r="CK606" s="21"/>
      <c r="CO606" s="23"/>
      <c r="CS606" s="21"/>
      <c r="CW606" s="23"/>
      <c r="DA606" s="21"/>
      <c r="DE606" s="23"/>
      <c r="DI606" s="21"/>
      <c r="DM606" s="23"/>
    </row>
    <row r="607" spans="73:117">
      <c r="BU607" s="23"/>
      <c r="BX607" s="21"/>
      <c r="CA607" s="23"/>
      <c r="CD607" s="21"/>
      <c r="CK607" s="21"/>
      <c r="CO607" s="23"/>
      <c r="CS607" s="21"/>
      <c r="CW607" s="23"/>
      <c r="DA607" s="21"/>
      <c r="DE607" s="23"/>
      <c r="DI607" s="21"/>
      <c r="DM607" s="23"/>
    </row>
    <row r="608" spans="73:117">
      <c r="BU608" s="23"/>
      <c r="BX608" s="21"/>
      <c r="CA608" s="23"/>
      <c r="CD608" s="21"/>
      <c r="CK608" s="21"/>
      <c r="CO608" s="23"/>
      <c r="CS608" s="21"/>
      <c r="CW608" s="23"/>
      <c r="DA608" s="21"/>
      <c r="DE608" s="23"/>
      <c r="DI608" s="21"/>
      <c r="DM608" s="23"/>
    </row>
    <row r="609" spans="73:117">
      <c r="BU609" s="23"/>
      <c r="BX609" s="21"/>
      <c r="CA609" s="23"/>
      <c r="CD609" s="21"/>
      <c r="CK609" s="21"/>
      <c r="CO609" s="23"/>
      <c r="CS609" s="21"/>
      <c r="CW609" s="23"/>
      <c r="DA609" s="21"/>
      <c r="DE609" s="23"/>
      <c r="DI609" s="21"/>
      <c r="DM609" s="23"/>
    </row>
    <row r="610" spans="73:117">
      <c r="BU610" s="23"/>
      <c r="BX610" s="21"/>
      <c r="CA610" s="23"/>
      <c r="CD610" s="21"/>
      <c r="CK610" s="21"/>
      <c r="CO610" s="23"/>
      <c r="CS610" s="21"/>
      <c r="CW610" s="23"/>
      <c r="DA610" s="21"/>
      <c r="DE610" s="23"/>
      <c r="DI610" s="21"/>
      <c r="DM610" s="23"/>
    </row>
    <row r="611" spans="73:117">
      <c r="BU611" s="23"/>
      <c r="BX611" s="21"/>
      <c r="CA611" s="23"/>
      <c r="CD611" s="21"/>
      <c r="CK611" s="21"/>
      <c r="CO611" s="23"/>
      <c r="CS611" s="21"/>
      <c r="CW611" s="23"/>
      <c r="DA611" s="21"/>
      <c r="DE611" s="23"/>
      <c r="DI611" s="21"/>
      <c r="DM611" s="23"/>
    </row>
    <row r="612" spans="73:117">
      <c r="BU612" s="23"/>
      <c r="BX612" s="21"/>
      <c r="CA612" s="23"/>
      <c r="CD612" s="21"/>
      <c r="CK612" s="21"/>
      <c r="CO612" s="23"/>
      <c r="CS612" s="21"/>
      <c r="CW612" s="23"/>
      <c r="DA612" s="21"/>
      <c r="DE612" s="23"/>
      <c r="DI612" s="21"/>
      <c r="DM612" s="23"/>
    </row>
    <row r="613" spans="73:117">
      <c r="BU613" s="23"/>
      <c r="BX613" s="21"/>
      <c r="CA613" s="23"/>
      <c r="CD613" s="21"/>
      <c r="CK613" s="21"/>
      <c r="CO613" s="23"/>
      <c r="CS613" s="21"/>
      <c r="CW613" s="23"/>
      <c r="DA613" s="21"/>
      <c r="DE613" s="23"/>
      <c r="DI613" s="21"/>
      <c r="DM613" s="23"/>
    </row>
    <row r="614" spans="73:117">
      <c r="BU614" s="23"/>
      <c r="BX614" s="21"/>
      <c r="CA614" s="23"/>
      <c r="CD614" s="21"/>
      <c r="CK614" s="21"/>
      <c r="CO614" s="23"/>
      <c r="CS614" s="21"/>
      <c r="CW614" s="23"/>
      <c r="DA614" s="21"/>
      <c r="DE614" s="23"/>
      <c r="DI614" s="21"/>
      <c r="DM614" s="23"/>
    </row>
    <row r="615" spans="73:117">
      <c r="BU615" s="23"/>
      <c r="BX615" s="21"/>
      <c r="CA615" s="23"/>
      <c r="CD615" s="21"/>
      <c r="CK615" s="21"/>
      <c r="CO615" s="23"/>
      <c r="CS615" s="21"/>
      <c r="CW615" s="23"/>
      <c r="DA615" s="21"/>
      <c r="DE615" s="23"/>
      <c r="DI615" s="21"/>
      <c r="DM615" s="23"/>
    </row>
    <row r="616" spans="73:117">
      <c r="BU616" s="23"/>
      <c r="BX616" s="21"/>
      <c r="CA616" s="23"/>
      <c r="CD616" s="21"/>
      <c r="CK616" s="21"/>
      <c r="CO616" s="23"/>
      <c r="CS616" s="21"/>
      <c r="CW616" s="23"/>
      <c r="DA616" s="21"/>
      <c r="DE616" s="23"/>
      <c r="DI616" s="21"/>
      <c r="DM616" s="23"/>
    </row>
    <row r="617" spans="73:117">
      <c r="BU617" s="23"/>
      <c r="BX617" s="21"/>
      <c r="CA617" s="23"/>
      <c r="CD617" s="21"/>
      <c r="CK617" s="21"/>
      <c r="CO617" s="23"/>
      <c r="CS617" s="21"/>
      <c r="CW617" s="23"/>
      <c r="DA617" s="21"/>
      <c r="DE617" s="23"/>
      <c r="DI617" s="21"/>
      <c r="DM617" s="23"/>
    </row>
    <row r="618" spans="73:117">
      <c r="BU618" s="23"/>
      <c r="BX618" s="21"/>
      <c r="CA618" s="23"/>
      <c r="CD618" s="21"/>
      <c r="CK618" s="21"/>
      <c r="CO618" s="23"/>
      <c r="CS618" s="21"/>
      <c r="CW618" s="23"/>
      <c r="DA618" s="21"/>
      <c r="DE618" s="23"/>
      <c r="DI618" s="21"/>
      <c r="DM618" s="23"/>
    </row>
    <row r="619" spans="73:117">
      <c r="BU619" s="23"/>
      <c r="BX619" s="21"/>
      <c r="CA619" s="23"/>
      <c r="CD619" s="21"/>
      <c r="CK619" s="21"/>
      <c r="CO619" s="23"/>
      <c r="CS619" s="21"/>
      <c r="CW619" s="23"/>
      <c r="DA619" s="21"/>
      <c r="DE619" s="23"/>
      <c r="DI619" s="21"/>
      <c r="DM619" s="23"/>
    </row>
    <row r="620" spans="73:117">
      <c r="BU620" s="23"/>
      <c r="BX620" s="21"/>
      <c r="CA620" s="23"/>
      <c r="CD620" s="21"/>
      <c r="CK620" s="21"/>
      <c r="CO620" s="23"/>
      <c r="CS620" s="21"/>
      <c r="CW620" s="23"/>
      <c r="DA620" s="21"/>
      <c r="DE620" s="23"/>
      <c r="DI620" s="21"/>
      <c r="DM620" s="23"/>
    </row>
    <row r="621" spans="73:117">
      <c r="BU621" s="23"/>
      <c r="BX621" s="21"/>
      <c r="CA621" s="23"/>
      <c r="CD621" s="21"/>
      <c r="CK621" s="21"/>
      <c r="CO621" s="23"/>
      <c r="CS621" s="21"/>
      <c r="CW621" s="23"/>
      <c r="DA621" s="21"/>
      <c r="DE621" s="23"/>
      <c r="DI621" s="21"/>
      <c r="DM621" s="23"/>
    </row>
    <row r="622" spans="73:117">
      <c r="BU622" s="23"/>
      <c r="BX622" s="21"/>
      <c r="CA622" s="23"/>
      <c r="CD622" s="21"/>
      <c r="CK622" s="21"/>
      <c r="CO622" s="23"/>
      <c r="CS622" s="21"/>
      <c r="CW622" s="23"/>
      <c r="DA622" s="21"/>
      <c r="DE622" s="23"/>
      <c r="DI622" s="21"/>
      <c r="DM622" s="23"/>
    </row>
    <row r="623" spans="73:117">
      <c r="BU623" s="23"/>
      <c r="BX623" s="21"/>
      <c r="CA623" s="23"/>
      <c r="CD623" s="21"/>
      <c r="CK623" s="21"/>
      <c r="CO623" s="23"/>
      <c r="CS623" s="21"/>
      <c r="CW623" s="23"/>
      <c r="DA623" s="21"/>
      <c r="DE623" s="23"/>
      <c r="DI623" s="21"/>
      <c r="DM623" s="23"/>
    </row>
    <row r="624" spans="73:117">
      <c r="BU624" s="23"/>
      <c r="BX624" s="21"/>
      <c r="CA624" s="23"/>
      <c r="CD624" s="21"/>
      <c r="CK624" s="21"/>
      <c r="CO624" s="23"/>
      <c r="CS624" s="21"/>
      <c r="CW624" s="23"/>
      <c r="DA624" s="21"/>
      <c r="DE624" s="23"/>
      <c r="DI624" s="21"/>
      <c r="DM624" s="23"/>
    </row>
    <row r="625" spans="73:117">
      <c r="BU625" s="23"/>
      <c r="BX625" s="21"/>
      <c r="CA625" s="23"/>
      <c r="CD625" s="21"/>
      <c r="CK625" s="21"/>
      <c r="CO625" s="23"/>
      <c r="CS625" s="21"/>
      <c r="CW625" s="23"/>
      <c r="DA625" s="21"/>
      <c r="DE625" s="23"/>
      <c r="DI625" s="21"/>
      <c r="DM625" s="23"/>
    </row>
    <row r="626" spans="73:117">
      <c r="BU626" s="23"/>
      <c r="BX626" s="21"/>
      <c r="CA626" s="23"/>
      <c r="CD626" s="21"/>
      <c r="CK626" s="21"/>
      <c r="CO626" s="23"/>
      <c r="CS626" s="21"/>
      <c r="CW626" s="23"/>
      <c r="DA626" s="21"/>
      <c r="DE626" s="23"/>
      <c r="DI626" s="21"/>
      <c r="DM626" s="23"/>
    </row>
    <row r="627" spans="73:117">
      <c r="BU627" s="23"/>
      <c r="BX627" s="21"/>
      <c r="CA627" s="23"/>
      <c r="CD627" s="21"/>
      <c r="CK627" s="21"/>
      <c r="CO627" s="23"/>
      <c r="CS627" s="21"/>
      <c r="CW627" s="23"/>
      <c r="DA627" s="21"/>
      <c r="DE627" s="23"/>
      <c r="DI627" s="21"/>
      <c r="DM627" s="23"/>
    </row>
    <row r="628" spans="73:117">
      <c r="BU628" s="23"/>
      <c r="BX628" s="21"/>
      <c r="CA628" s="23"/>
      <c r="CD628" s="21"/>
      <c r="CK628" s="21"/>
      <c r="CO628" s="23"/>
      <c r="CS628" s="21"/>
      <c r="CW628" s="23"/>
      <c r="DA628" s="21"/>
      <c r="DE628" s="23"/>
      <c r="DI628" s="21"/>
      <c r="DM628" s="23"/>
    </row>
    <row r="629" spans="73:117">
      <c r="BU629" s="23"/>
      <c r="BX629" s="21"/>
      <c r="CA629" s="23"/>
      <c r="CD629" s="21"/>
      <c r="CK629" s="21"/>
      <c r="CO629" s="23"/>
      <c r="CS629" s="21"/>
      <c r="CW629" s="23"/>
      <c r="DA629" s="21"/>
      <c r="DE629" s="23"/>
      <c r="DI629" s="21"/>
      <c r="DM629" s="23"/>
    </row>
    <row r="630" spans="73:117">
      <c r="BU630" s="23"/>
      <c r="BX630" s="21"/>
      <c r="CA630" s="23"/>
      <c r="CD630" s="21"/>
      <c r="CK630" s="21"/>
      <c r="CO630" s="23"/>
      <c r="CS630" s="21"/>
      <c r="CW630" s="23"/>
      <c r="DA630" s="21"/>
      <c r="DE630" s="23"/>
      <c r="DI630" s="21"/>
      <c r="DM630" s="23"/>
    </row>
    <row r="631" spans="73:117">
      <c r="BU631" s="23"/>
      <c r="BX631" s="21"/>
      <c r="CA631" s="23"/>
      <c r="CD631" s="21"/>
      <c r="CK631" s="21"/>
      <c r="CO631" s="23"/>
      <c r="CS631" s="21"/>
      <c r="CW631" s="23"/>
      <c r="DA631" s="21"/>
      <c r="DE631" s="23"/>
      <c r="DI631" s="21"/>
      <c r="DM631" s="23"/>
    </row>
    <row r="632" spans="73:117">
      <c r="BU632" s="23"/>
      <c r="BX632" s="21"/>
      <c r="CA632" s="23"/>
      <c r="CD632" s="21"/>
      <c r="CK632" s="21"/>
      <c r="CO632" s="23"/>
      <c r="CS632" s="21"/>
      <c r="CW632" s="23"/>
      <c r="DA632" s="21"/>
      <c r="DE632" s="23"/>
      <c r="DI632" s="21"/>
      <c r="DM632" s="23"/>
    </row>
    <row r="633" spans="73:117">
      <c r="BU633" s="23"/>
      <c r="BX633" s="21"/>
      <c r="CA633" s="23"/>
      <c r="CD633" s="21"/>
      <c r="CK633" s="21"/>
      <c r="CO633" s="23"/>
      <c r="CS633" s="21"/>
      <c r="CW633" s="23"/>
      <c r="DA633" s="21"/>
      <c r="DE633" s="23"/>
      <c r="DI633" s="21"/>
      <c r="DM633" s="23"/>
    </row>
    <row r="634" spans="73:117">
      <c r="BU634" s="23"/>
      <c r="BX634" s="21"/>
      <c r="CA634" s="23"/>
      <c r="CD634" s="21"/>
      <c r="CK634" s="21"/>
      <c r="CO634" s="23"/>
      <c r="CS634" s="21"/>
      <c r="CW634" s="23"/>
      <c r="DA634" s="21"/>
      <c r="DE634" s="23"/>
      <c r="DI634" s="21"/>
      <c r="DM634" s="23"/>
    </row>
    <row r="635" spans="73:117">
      <c r="BU635" s="23"/>
      <c r="BX635" s="21"/>
      <c r="CA635" s="23"/>
      <c r="CD635" s="21"/>
      <c r="CK635" s="21"/>
      <c r="CO635" s="23"/>
      <c r="CS635" s="21"/>
      <c r="CW635" s="23"/>
      <c r="DA635" s="21"/>
      <c r="DE635" s="23"/>
      <c r="DI635" s="21"/>
      <c r="DM635" s="23"/>
    </row>
    <row r="636" spans="73:117">
      <c r="BU636" s="23"/>
      <c r="BX636" s="21"/>
      <c r="CA636" s="23"/>
      <c r="CD636" s="21"/>
      <c r="CK636" s="21"/>
      <c r="CO636" s="23"/>
      <c r="CS636" s="21"/>
      <c r="CW636" s="23"/>
      <c r="DA636" s="21"/>
      <c r="DE636" s="23"/>
      <c r="DI636" s="21"/>
      <c r="DM636" s="23"/>
    </row>
    <row r="637" spans="73:117">
      <c r="BU637" s="23"/>
      <c r="BX637" s="21"/>
      <c r="CA637" s="23"/>
      <c r="CD637" s="21"/>
      <c r="CK637" s="21"/>
      <c r="CO637" s="23"/>
      <c r="CS637" s="21"/>
      <c r="CW637" s="23"/>
      <c r="DA637" s="21"/>
      <c r="DE637" s="23"/>
      <c r="DI637" s="21"/>
      <c r="DM637" s="23"/>
    </row>
  </sheetData>
  <autoFilter ref="A6:DM6"/>
  <mergeCells count="172">
    <mergeCell ref="CH5:CH6"/>
    <mergeCell ref="CI5:CI6"/>
    <mergeCell ref="CJ5:CJ6"/>
    <mergeCell ref="CK5:CK6"/>
    <mergeCell ref="CF5:CF6"/>
    <mergeCell ref="CG5:CG6"/>
    <mergeCell ref="BM5:BM6"/>
    <mergeCell ref="BE5:BE6"/>
    <mergeCell ref="BF5:BF6"/>
    <mergeCell ref="CR5:CR6"/>
    <mergeCell ref="CS5:CS6"/>
    <mergeCell ref="CT5:CT6"/>
    <mergeCell ref="CU5:CU6"/>
    <mergeCell ref="CV5:CV6"/>
    <mergeCell ref="CW5:CW6"/>
    <mergeCell ref="CL5:CL6"/>
    <mergeCell ref="CM5:CM6"/>
    <mergeCell ref="CN5:CN6"/>
    <mergeCell ref="CO5:CO6"/>
    <mergeCell ref="CP5:CP6"/>
    <mergeCell ref="CQ5:CQ6"/>
    <mergeCell ref="DM5:DM6"/>
    <mergeCell ref="DF5:DF6"/>
    <mergeCell ref="DG5:DG6"/>
    <mergeCell ref="DI5:DI6"/>
    <mergeCell ref="DJ5:DJ6"/>
    <mergeCell ref="DK5:DK6"/>
    <mergeCell ref="DL5:DL6"/>
    <mergeCell ref="CX5:CX6"/>
    <mergeCell ref="CY5:CY6"/>
    <mergeCell ref="DA5:DA6"/>
    <mergeCell ref="DB5:DB6"/>
    <mergeCell ref="DC5:DC6"/>
    <mergeCell ref="DE5:DE6"/>
    <mergeCell ref="CA5:CA6"/>
    <mergeCell ref="CB5:CB6"/>
    <mergeCell ref="CC5:CC6"/>
    <mergeCell ref="CD5:CD6"/>
    <mergeCell ref="CE5:CE6"/>
    <mergeCell ref="BT5:BT6"/>
    <mergeCell ref="BU5:BU6"/>
    <mergeCell ref="BV5:BV6"/>
    <mergeCell ref="BW5:BW6"/>
    <mergeCell ref="BX5:BX6"/>
    <mergeCell ref="BY5:BY6"/>
    <mergeCell ref="BG5:BG6"/>
    <mergeCell ref="BB5:BB6"/>
    <mergeCell ref="BC5:BC6"/>
    <mergeCell ref="BD5:BD6"/>
    <mergeCell ref="AY5:AY6"/>
    <mergeCell ref="AZ5:AZ6"/>
    <mergeCell ref="BA5:BA6"/>
    <mergeCell ref="D13:E13"/>
    <mergeCell ref="BZ5:BZ6"/>
    <mergeCell ref="BN5:BN6"/>
    <mergeCell ref="BO5:BO6"/>
    <mergeCell ref="BP5:BP6"/>
    <mergeCell ref="BQ5:BQ6"/>
    <mergeCell ref="BR5:BR6"/>
    <mergeCell ref="BS5:BS6"/>
    <mergeCell ref="BH5:BH6"/>
    <mergeCell ref="BI5:BI6"/>
    <mergeCell ref="BJ5:BJ6"/>
    <mergeCell ref="BK5:BK6"/>
    <mergeCell ref="BL5:BL6"/>
    <mergeCell ref="AR5:AR6"/>
    <mergeCell ref="AM5:AM6"/>
    <mergeCell ref="AN5:AN6"/>
    <mergeCell ref="AO5:AO6"/>
    <mergeCell ref="AV5:AV6"/>
    <mergeCell ref="AW5:AW6"/>
    <mergeCell ref="AX5:AX6"/>
    <mergeCell ref="AS5:AS6"/>
    <mergeCell ref="AT5:AT6"/>
    <mergeCell ref="AU5:AU6"/>
    <mergeCell ref="AC5:AC6"/>
    <mergeCell ref="AJ5:AJ6"/>
    <mergeCell ref="AK5:AK6"/>
    <mergeCell ref="AL5:AL6"/>
    <mergeCell ref="AG5:AG6"/>
    <mergeCell ref="AH5:AH6"/>
    <mergeCell ref="AI5:AI6"/>
    <mergeCell ref="AP5:AP6"/>
    <mergeCell ref="AQ5:AQ6"/>
    <mergeCell ref="Q5:Q6"/>
    <mergeCell ref="R5:R6"/>
    <mergeCell ref="S5:S6"/>
    <mergeCell ref="T5:T6"/>
    <mergeCell ref="BS4:BU4"/>
    <mergeCell ref="AX4:AZ4"/>
    <mergeCell ref="BA4:BC4"/>
    <mergeCell ref="BD4:BF4"/>
    <mergeCell ref="BG4:BI4"/>
    <mergeCell ref="U4:W4"/>
    <mergeCell ref="X4:AB4"/>
    <mergeCell ref="AC4:AE4"/>
    <mergeCell ref="AF4:AH4"/>
    <mergeCell ref="X5:X6"/>
    <mergeCell ref="Y5:Y6"/>
    <mergeCell ref="Z5:Z6"/>
    <mergeCell ref="AA5:AA6"/>
    <mergeCell ref="U5:U6"/>
    <mergeCell ref="V5:V6"/>
    <mergeCell ref="W5:W6"/>
    <mergeCell ref="AD5:AD6"/>
    <mergeCell ref="AE5:AE6"/>
    <mergeCell ref="AF5:AF6"/>
    <mergeCell ref="AB5:AB6"/>
    <mergeCell ref="DF4:DI4"/>
    <mergeCell ref="DJ4:DM4"/>
    <mergeCell ref="CH4:CK4"/>
    <mergeCell ref="CL4:CO4"/>
    <mergeCell ref="CP4:CS4"/>
    <mergeCell ref="CT4:CW4"/>
    <mergeCell ref="CX4:DA4"/>
    <mergeCell ref="DB4:DE4"/>
    <mergeCell ref="BV4:BX4"/>
    <mergeCell ref="BY4:CA4"/>
    <mergeCell ref="CB4:CD4"/>
    <mergeCell ref="CE4:CG4"/>
    <mergeCell ref="CP3:CW3"/>
    <mergeCell ref="AI3:AK3"/>
    <mergeCell ref="AO4:AQ4"/>
    <mergeCell ref="AR4:AT4"/>
    <mergeCell ref="AU4:AW4"/>
    <mergeCell ref="AI4:AK4"/>
    <mergeCell ref="AL4:AN4"/>
    <mergeCell ref="BJ4:BL4"/>
    <mergeCell ref="BM4:BO4"/>
    <mergeCell ref="BP4:BR4"/>
    <mergeCell ref="CX3:DE3"/>
    <mergeCell ref="DF3:DM3"/>
    <mergeCell ref="G4:G6"/>
    <mergeCell ref="H4:I4"/>
    <mergeCell ref="M4:P4"/>
    <mergeCell ref="Q4:T4"/>
    <mergeCell ref="BD3:BF3"/>
    <mergeCell ref="BG3:BL3"/>
    <mergeCell ref="BM3:BO3"/>
    <mergeCell ref="BP3:BU3"/>
    <mergeCell ref="BV3:CA3"/>
    <mergeCell ref="CB3:CG3"/>
    <mergeCell ref="AL3:AN3"/>
    <mergeCell ref="AO3:AQ3"/>
    <mergeCell ref="AR3:AT3"/>
    <mergeCell ref="AU3:AW3"/>
    <mergeCell ref="AX3:AZ3"/>
    <mergeCell ref="BA3:BC3"/>
    <mergeCell ref="Q3:T3"/>
    <mergeCell ref="U3:W3"/>
    <mergeCell ref="X3:AB3"/>
    <mergeCell ref="AC3:AE3"/>
    <mergeCell ref="AF3:AH3"/>
    <mergeCell ref="CH3:CO3"/>
    <mergeCell ref="M3:P3"/>
    <mergeCell ref="A1:K1"/>
    <mergeCell ref="F3:F6"/>
    <mergeCell ref="L3:L6"/>
    <mergeCell ref="A3:A6"/>
    <mergeCell ref="B3:B6"/>
    <mergeCell ref="C3:C6"/>
    <mergeCell ref="D3:D6"/>
    <mergeCell ref="E3:E6"/>
    <mergeCell ref="K3:K6"/>
    <mergeCell ref="J3:J6"/>
    <mergeCell ref="H5:H6"/>
    <mergeCell ref="I5:I6"/>
    <mergeCell ref="G3:I3"/>
    <mergeCell ref="P5:P6"/>
    <mergeCell ref="O5:O6"/>
    <mergeCell ref="N5:N6"/>
    <mergeCell ref="M5:M6"/>
  </mergeCells>
  <pageMargins left="0.23622047244094491" right="0.27559055118110237" top="0.74803149606299213" bottom="0.74803149606299213" header="0.31496062992125984" footer="0.31496062992125984"/>
  <pageSetup paperSize="9" scale="75" orientation="landscape" horizontalDpi="180" verticalDpi="180" r:id="rId1"/>
  <colBreaks count="5" manualBreakCount="5">
    <brk id="20" max="1048575" man="1"/>
    <brk id="31" max="655" man="1"/>
    <brk id="37" max="1048575" man="1"/>
    <brk id="67" max="1048575" man="1"/>
    <brk id="73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C30"/>
  <sheetViews>
    <sheetView workbookViewId="0">
      <selection activeCell="A2" sqref="A2:XFD2"/>
    </sheetView>
  </sheetViews>
  <sheetFormatPr defaultRowHeight="15"/>
  <cols>
    <col min="1" max="1" width="32" bestFit="1" customWidth="1"/>
    <col min="3" max="3" width="14.5703125" customWidth="1"/>
  </cols>
  <sheetData>
    <row r="1" spans="1:3">
      <c r="A1" s="725" t="s">
        <v>329</v>
      </c>
      <c r="B1" s="725"/>
      <c r="C1" s="725"/>
    </row>
    <row r="2" spans="1:3">
      <c r="A2" s="83"/>
      <c r="B2" s="83"/>
      <c r="C2" s="83"/>
    </row>
    <row r="3" spans="1:3">
      <c r="A3" s="48" t="s">
        <v>356</v>
      </c>
      <c r="B3" s="48" t="s">
        <v>357</v>
      </c>
      <c r="C3" s="48" t="s">
        <v>358</v>
      </c>
    </row>
    <row r="4" spans="1:3">
      <c r="A4" s="40" t="s">
        <v>330</v>
      </c>
      <c r="B4" s="40" t="s">
        <v>331</v>
      </c>
      <c r="C4" s="40">
        <v>1300</v>
      </c>
    </row>
    <row r="5" spans="1:3">
      <c r="A5" s="40" t="s">
        <v>332</v>
      </c>
      <c r="B5" s="40" t="s">
        <v>331</v>
      </c>
      <c r="C5" s="40">
        <v>1500</v>
      </c>
    </row>
    <row r="6" spans="1:3">
      <c r="A6" s="40" t="s">
        <v>333</v>
      </c>
      <c r="B6" s="40" t="s">
        <v>331</v>
      </c>
      <c r="C6" s="40">
        <v>3000</v>
      </c>
    </row>
    <row r="7" spans="1:3">
      <c r="A7" s="40" t="s">
        <v>334</v>
      </c>
      <c r="B7" s="40" t="s">
        <v>331</v>
      </c>
      <c r="C7" s="40">
        <v>1000</v>
      </c>
    </row>
    <row r="8" spans="1:3">
      <c r="A8" s="40" t="s">
        <v>344</v>
      </c>
      <c r="B8" s="40"/>
      <c r="C8" s="40"/>
    </row>
    <row r="9" spans="1:3">
      <c r="A9" s="40" t="s">
        <v>335</v>
      </c>
      <c r="B9" s="40" t="s">
        <v>336</v>
      </c>
      <c r="C9" s="40">
        <v>800</v>
      </c>
    </row>
    <row r="10" spans="1:3">
      <c r="A10" s="40" t="s">
        <v>324</v>
      </c>
      <c r="B10" s="40" t="s">
        <v>336</v>
      </c>
      <c r="C10" s="40">
        <v>1000</v>
      </c>
    </row>
    <row r="11" spans="1:3">
      <c r="A11" s="40" t="s">
        <v>310</v>
      </c>
      <c r="B11" s="40" t="s">
        <v>336</v>
      </c>
      <c r="C11" s="40">
        <v>1000</v>
      </c>
    </row>
    <row r="12" spans="1:3">
      <c r="A12" s="40" t="s">
        <v>337</v>
      </c>
      <c r="B12" s="40" t="s">
        <v>336</v>
      </c>
      <c r="C12" s="40">
        <v>1800</v>
      </c>
    </row>
    <row r="13" spans="1:3">
      <c r="A13" s="40" t="s">
        <v>338</v>
      </c>
      <c r="B13" s="40" t="s">
        <v>331</v>
      </c>
      <c r="C13" s="40">
        <v>500</v>
      </c>
    </row>
    <row r="14" spans="1:3">
      <c r="A14" s="40" t="s">
        <v>339</v>
      </c>
      <c r="B14" s="40" t="s">
        <v>331</v>
      </c>
      <c r="C14" s="40">
        <v>5500</v>
      </c>
    </row>
    <row r="15" spans="1:3">
      <c r="A15" s="40" t="s">
        <v>313</v>
      </c>
      <c r="B15" s="40" t="s">
        <v>336</v>
      </c>
      <c r="C15" s="40">
        <v>800</v>
      </c>
    </row>
    <row r="16" spans="1:3">
      <c r="A16" s="40" t="s">
        <v>340</v>
      </c>
      <c r="B16" s="40" t="s">
        <v>41</v>
      </c>
      <c r="C16" s="40" t="s">
        <v>341</v>
      </c>
    </row>
    <row r="17" spans="1:3">
      <c r="A17" s="40" t="s">
        <v>342</v>
      </c>
      <c r="B17" s="40" t="s">
        <v>41</v>
      </c>
      <c r="C17" s="40">
        <v>10000</v>
      </c>
    </row>
    <row r="18" spans="1:3">
      <c r="A18" s="40" t="s">
        <v>343</v>
      </c>
      <c r="B18" s="40" t="s">
        <v>41</v>
      </c>
      <c r="C18" s="40">
        <v>10000</v>
      </c>
    </row>
    <row r="19" spans="1:3">
      <c r="A19" s="40" t="s">
        <v>318</v>
      </c>
      <c r="B19" s="40" t="s">
        <v>41</v>
      </c>
      <c r="C19" s="40">
        <v>15000</v>
      </c>
    </row>
    <row r="20" spans="1:3">
      <c r="A20" s="40" t="s">
        <v>345</v>
      </c>
      <c r="B20" s="40"/>
      <c r="C20" s="40"/>
    </row>
    <row r="21" spans="1:3">
      <c r="A21" s="40" t="s">
        <v>346</v>
      </c>
      <c r="B21" s="40" t="s">
        <v>41</v>
      </c>
      <c r="C21" s="40">
        <v>50000</v>
      </c>
    </row>
    <row r="22" spans="1:3">
      <c r="A22" s="40" t="s">
        <v>347</v>
      </c>
      <c r="B22" s="40" t="s">
        <v>41</v>
      </c>
      <c r="C22" s="40">
        <v>72000</v>
      </c>
    </row>
    <row r="23" spans="1:3">
      <c r="A23" s="40" t="s">
        <v>348</v>
      </c>
      <c r="B23" s="40" t="s">
        <v>41</v>
      </c>
      <c r="C23" s="40">
        <v>96000</v>
      </c>
    </row>
    <row r="24" spans="1:3">
      <c r="A24" s="40" t="s">
        <v>349</v>
      </c>
      <c r="B24" s="40" t="s">
        <v>41</v>
      </c>
      <c r="C24" s="40">
        <v>120000</v>
      </c>
    </row>
    <row r="25" spans="1:3">
      <c r="A25" s="40" t="s">
        <v>350</v>
      </c>
      <c r="B25" s="40" t="s">
        <v>41</v>
      </c>
      <c r="C25" s="40">
        <v>220000</v>
      </c>
    </row>
    <row r="26" spans="1:3">
      <c r="A26" s="40" t="s">
        <v>351</v>
      </c>
      <c r="B26" s="40" t="s">
        <v>41</v>
      </c>
      <c r="C26" s="40">
        <v>240000</v>
      </c>
    </row>
    <row r="27" spans="1:3">
      <c r="A27" s="40" t="s">
        <v>352</v>
      </c>
      <c r="B27" s="40" t="s">
        <v>41</v>
      </c>
      <c r="C27" s="40">
        <v>290000</v>
      </c>
    </row>
    <row r="28" spans="1:3">
      <c r="A28" s="40" t="s">
        <v>353</v>
      </c>
      <c r="B28" s="40" t="s">
        <v>41</v>
      </c>
      <c r="C28" s="40">
        <v>1000</v>
      </c>
    </row>
    <row r="29" spans="1:3">
      <c r="A29" s="40" t="s">
        <v>354</v>
      </c>
      <c r="B29" s="40" t="s">
        <v>331</v>
      </c>
      <c r="C29" s="40">
        <v>500</v>
      </c>
    </row>
    <row r="30" spans="1:3">
      <c r="A30" s="40" t="s">
        <v>355</v>
      </c>
      <c r="B30" s="40" t="s">
        <v>336</v>
      </c>
      <c r="C30" s="40">
        <v>1800</v>
      </c>
    </row>
  </sheetData>
  <mergeCells count="1">
    <mergeCell ref="A1:C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H490"/>
  <sheetViews>
    <sheetView topLeftCell="A340" zoomScaleNormal="100" zoomScaleSheetLayoutView="70" workbookViewId="0">
      <selection activeCell="A394" sqref="A394:A395"/>
    </sheetView>
  </sheetViews>
  <sheetFormatPr defaultRowHeight="15"/>
  <cols>
    <col min="1" max="1" width="29.28515625" customWidth="1"/>
    <col min="2" max="2" width="22.7109375" customWidth="1"/>
    <col min="3" max="3" width="14.140625" style="254" customWidth="1"/>
    <col min="4" max="6" width="14.140625" customWidth="1"/>
    <col min="7" max="7" width="14.140625" style="38" customWidth="1"/>
    <col min="8" max="8" width="20" customWidth="1"/>
  </cols>
  <sheetData>
    <row r="1" spans="1:8" ht="36" customHeight="1">
      <c r="A1" s="734" t="s">
        <v>744</v>
      </c>
      <c r="B1" s="734"/>
      <c r="C1" s="734"/>
      <c r="D1" s="734"/>
      <c r="E1" s="128"/>
      <c r="F1" s="128"/>
      <c r="G1" s="401"/>
      <c r="H1" s="128"/>
    </row>
    <row r="2" spans="1:8">
      <c r="A2" s="107"/>
      <c r="B2" s="108"/>
      <c r="C2" s="259"/>
      <c r="D2" s="109"/>
      <c r="E2" s="109"/>
      <c r="F2" s="109"/>
      <c r="G2" s="402"/>
      <c r="H2" s="110"/>
    </row>
    <row r="3" spans="1:8">
      <c r="A3" s="732" t="s">
        <v>438</v>
      </c>
      <c r="B3" s="732" t="s">
        <v>439</v>
      </c>
      <c r="C3" s="726" t="s">
        <v>745</v>
      </c>
      <c r="D3" s="214" t="s">
        <v>526</v>
      </c>
      <c r="E3" s="215" t="s">
        <v>526</v>
      </c>
      <c r="F3" s="215" t="s">
        <v>601</v>
      </c>
      <c r="G3" s="407" t="s">
        <v>526</v>
      </c>
      <c r="H3" s="110"/>
    </row>
    <row r="4" spans="1:8">
      <c r="A4" s="732"/>
      <c r="B4" s="732"/>
      <c r="C4" s="727"/>
      <c r="D4" s="111" t="s">
        <v>459</v>
      </c>
      <c r="E4" s="111" t="s">
        <v>485</v>
      </c>
      <c r="F4" s="111" t="s">
        <v>486</v>
      </c>
      <c r="G4" s="111" t="s">
        <v>746</v>
      </c>
      <c r="H4" s="110"/>
    </row>
    <row r="5" spans="1:8">
      <c r="A5" s="728" t="s">
        <v>9</v>
      </c>
      <c r="B5" s="112" t="s">
        <v>41</v>
      </c>
      <c r="C5" s="260"/>
      <c r="D5" s="113"/>
      <c r="E5" s="113"/>
      <c r="F5" s="113"/>
      <c r="G5" s="113"/>
      <c r="H5" s="110"/>
    </row>
    <row r="6" spans="1:8">
      <c r="A6" s="729"/>
      <c r="B6" s="115" t="s">
        <v>440</v>
      </c>
      <c r="C6" s="261"/>
      <c r="D6" s="116"/>
      <c r="E6" s="116"/>
      <c r="F6" s="116"/>
      <c r="G6" s="116"/>
      <c r="H6" s="110"/>
    </row>
    <row r="7" spans="1:8">
      <c r="A7" s="730" t="s">
        <v>10</v>
      </c>
      <c r="B7" s="112" t="s">
        <v>441</v>
      </c>
      <c r="C7" s="260"/>
      <c r="D7" s="113"/>
      <c r="E7" s="113"/>
      <c r="F7" s="113"/>
      <c r="G7" s="113"/>
      <c r="H7" s="110"/>
    </row>
    <row r="8" spans="1:8">
      <c r="A8" s="731"/>
      <c r="B8" s="115" t="s">
        <v>440</v>
      </c>
      <c r="C8" s="261"/>
      <c r="D8" s="116"/>
      <c r="E8" s="116"/>
      <c r="F8" s="116"/>
      <c r="G8" s="116"/>
      <c r="H8" s="110"/>
    </row>
    <row r="9" spans="1:8">
      <c r="A9" s="730" t="s">
        <v>11</v>
      </c>
      <c r="B9" s="112" t="s">
        <v>331</v>
      </c>
      <c r="C9" s="260"/>
      <c r="D9" s="113"/>
      <c r="E9" s="113"/>
      <c r="F9" s="113"/>
      <c r="G9" s="113"/>
      <c r="H9" s="110"/>
    </row>
    <row r="10" spans="1:8">
      <c r="A10" s="731"/>
      <c r="B10" s="115" t="s">
        <v>440</v>
      </c>
      <c r="C10" s="261"/>
      <c r="D10" s="116"/>
      <c r="E10" s="116"/>
      <c r="F10" s="116"/>
      <c r="G10" s="116"/>
      <c r="H10" s="110"/>
    </row>
    <row r="11" spans="1:8">
      <c r="A11" s="730" t="s">
        <v>442</v>
      </c>
      <c r="B11" s="112" t="s">
        <v>443</v>
      </c>
      <c r="C11" s="260"/>
      <c r="D11" s="113"/>
      <c r="E11" s="113"/>
      <c r="F11" s="113"/>
      <c r="G11" s="113"/>
      <c r="H11" s="110"/>
    </row>
    <row r="12" spans="1:8">
      <c r="A12" s="731"/>
      <c r="B12" s="115" t="s">
        <v>440</v>
      </c>
      <c r="C12" s="261"/>
      <c r="D12" s="116"/>
      <c r="E12" s="116"/>
      <c r="F12" s="116"/>
      <c r="G12" s="116"/>
      <c r="H12" s="110"/>
    </row>
    <row r="13" spans="1:8">
      <c r="A13" s="728" t="s">
        <v>13</v>
      </c>
      <c r="B13" s="112" t="s">
        <v>331</v>
      </c>
      <c r="C13" s="260"/>
      <c r="D13" s="113"/>
      <c r="E13" s="113"/>
      <c r="F13" s="113"/>
      <c r="G13" s="113"/>
      <c r="H13" s="110"/>
    </row>
    <row r="14" spans="1:8">
      <c r="A14" s="729"/>
      <c r="B14" s="115" t="s">
        <v>440</v>
      </c>
      <c r="C14" s="261"/>
      <c r="D14" s="116"/>
      <c r="E14" s="116"/>
      <c r="F14" s="116"/>
      <c r="G14" s="116"/>
      <c r="H14" s="110"/>
    </row>
    <row r="15" spans="1:8">
      <c r="A15" s="728" t="s">
        <v>444</v>
      </c>
      <c r="B15" s="112" t="s">
        <v>41</v>
      </c>
      <c r="C15" s="260"/>
      <c r="D15" s="113"/>
      <c r="E15" s="113"/>
      <c r="F15" s="113"/>
      <c r="G15" s="113"/>
      <c r="H15" s="110"/>
    </row>
    <row r="16" spans="1:8">
      <c r="A16" s="729"/>
      <c r="B16" s="115" t="s">
        <v>440</v>
      </c>
      <c r="C16" s="261"/>
      <c r="D16" s="116"/>
      <c r="E16" s="116"/>
      <c r="F16" s="116"/>
      <c r="G16" s="116"/>
      <c r="H16" s="110"/>
    </row>
    <row r="17" spans="1:8">
      <c r="A17" s="728" t="s">
        <v>14</v>
      </c>
      <c r="B17" s="112" t="s">
        <v>331</v>
      </c>
      <c r="C17" s="260"/>
      <c r="D17" s="113"/>
      <c r="E17" s="113"/>
      <c r="F17" s="113"/>
      <c r="G17" s="113"/>
      <c r="H17" s="110"/>
    </row>
    <row r="18" spans="1:8">
      <c r="A18" s="729"/>
      <c r="B18" s="115" t="s">
        <v>440</v>
      </c>
      <c r="C18" s="261"/>
      <c r="D18" s="116"/>
      <c r="E18" s="116"/>
      <c r="F18" s="116"/>
      <c r="G18" s="116"/>
      <c r="H18" s="110"/>
    </row>
    <row r="19" spans="1:8">
      <c r="A19" s="728" t="s">
        <v>15</v>
      </c>
      <c r="B19" s="112" t="s">
        <v>331</v>
      </c>
      <c r="C19" s="260"/>
      <c r="D19" s="113"/>
      <c r="E19" s="113"/>
      <c r="F19" s="113"/>
      <c r="G19" s="113"/>
      <c r="H19" s="110"/>
    </row>
    <row r="20" spans="1:8">
      <c r="A20" s="729"/>
      <c r="B20" s="115" t="s">
        <v>440</v>
      </c>
      <c r="C20" s="261"/>
      <c r="D20" s="116"/>
      <c r="E20" s="116"/>
      <c r="F20" s="116"/>
      <c r="G20" s="116"/>
      <c r="H20" s="110"/>
    </row>
    <row r="21" spans="1:8">
      <c r="A21" s="728" t="s">
        <v>16</v>
      </c>
      <c r="B21" s="112" t="s">
        <v>331</v>
      </c>
      <c r="C21" s="260"/>
      <c r="D21" s="113"/>
      <c r="E21" s="113"/>
      <c r="F21" s="113"/>
      <c r="G21" s="113"/>
      <c r="H21" s="110"/>
    </row>
    <row r="22" spans="1:8">
      <c r="A22" s="729"/>
      <c r="B22" s="115" t="s">
        <v>440</v>
      </c>
      <c r="C22" s="261"/>
      <c r="D22" s="116"/>
      <c r="E22" s="116"/>
      <c r="F22" s="116"/>
      <c r="G22" s="116"/>
      <c r="H22" s="110"/>
    </row>
    <row r="23" spans="1:8">
      <c r="A23" s="730" t="s">
        <v>445</v>
      </c>
      <c r="B23" s="112" t="s">
        <v>331</v>
      </c>
      <c r="C23" s="260"/>
      <c r="D23" s="118"/>
      <c r="E23" s="118"/>
      <c r="F23" s="118"/>
      <c r="G23" s="403"/>
      <c r="H23" s="110"/>
    </row>
    <row r="24" spans="1:8">
      <c r="A24" s="731"/>
      <c r="B24" s="115" t="s">
        <v>440</v>
      </c>
      <c r="C24" s="261"/>
      <c r="D24" s="116"/>
      <c r="E24" s="116"/>
      <c r="F24" s="116"/>
      <c r="G24" s="116"/>
      <c r="H24" s="110"/>
    </row>
    <row r="25" spans="1:8">
      <c r="A25" s="730" t="s">
        <v>18</v>
      </c>
      <c r="B25" s="112" t="s">
        <v>331</v>
      </c>
      <c r="C25" s="260"/>
      <c r="D25" s="113"/>
      <c r="E25" s="113"/>
      <c r="F25" s="113"/>
      <c r="G25" s="113"/>
      <c r="H25" s="110"/>
    </row>
    <row r="26" spans="1:8">
      <c r="A26" s="731"/>
      <c r="B26" s="115" t="s">
        <v>440</v>
      </c>
      <c r="C26" s="261"/>
      <c r="D26" s="116"/>
      <c r="E26" s="116"/>
      <c r="F26" s="116"/>
      <c r="G26" s="116"/>
      <c r="H26" s="110"/>
    </row>
    <row r="27" spans="1:8">
      <c r="A27" s="730" t="s">
        <v>446</v>
      </c>
      <c r="B27" s="112" t="s">
        <v>331</v>
      </c>
      <c r="C27" s="260"/>
      <c r="D27" s="113"/>
      <c r="E27" s="113"/>
      <c r="F27" s="113"/>
      <c r="G27" s="113"/>
      <c r="H27" s="110"/>
    </row>
    <row r="28" spans="1:8">
      <c r="A28" s="731"/>
      <c r="B28" s="115" t="s">
        <v>440</v>
      </c>
      <c r="C28" s="261"/>
      <c r="D28" s="116"/>
      <c r="E28" s="116"/>
      <c r="F28" s="116"/>
      <c r="G28" s="116"/>
      <c r="H28" s="110"/>
    </row>
    <row r="29" spans="1:8">
      <c r="A29" s="730" t="s">
        <v>20</v>
      </c>
      <c r="B29" s="112" t="s">
        <v>331</v>
      </c>
      <c r="C29" s="260"/>
      <c r="D29" s="119"/>
      <c r="E29" s="119"/>
      <c r="F29" s="119"/>
      <c r="G29" s="113"/>
      <c r="H29" s="110"/>
    </row>
    <row r="30" spans="1:8">
      <c r="A30" s="731"/>
      <c r="B30" s="115" t="s">
        <v>440</v>
      </c>
      <c r="C30" s="261"/>
      <c r="D30" s="116"/>
      <c r="E30" s="116"/>
      <c r="F30" s="116"/>
      <c r="G30" s="116"/>
      <c r="H30" s="110"/>
    </row>
    <row r="31" spans="1:8">
      <c r="A31" s="730" t="s">
        <v>447</v>
      </c>
      <c r="B31" s="112" t="s">
        <v>41</v>
      </c>
      <c r="C31" s="260"/>
      <c r="D31" s="119"/>
      <c r="E31" s="119"/>
      <c r="F31" s="119"/>
      <c r="G31" s="113"/>
      <c r="H31" s="110"/>
    </row>
    <row r="32" spans="1:8">
      <c r="A32" s="731"/>
      <c r="B32" s="115" t="s">
        <v>440</v>
      </c>
      <c r="C32" s="261"/>
      <c r="D32" s="116"/>
      <c r="E32" s="116"/>
      <c r="F32" s="116"/>
      <c r="G32" s="116"/>
      <c r="H32" s="110"/>
    </row>
    <row r="33" spans="1:8">
      <c r="A33" s="728" t="s">
        <v>448</v>
      </c>
      <c r="B33" s="112" t="s">
        <v>443</v>
      </c>
      <c r="C33" s="260"/>
      <c r="D33" s="119"/>
      <c r="E33" s="119"/>
      <c r="F33" s="119"/>
      <c r="G33" s="113"/>
      <c r="H33" s="110"/>
    </row>
    <row r="34" spans="1:8">
      <c r="A34" s="729"/>
      <c r="B34" s="115" t="s">
        <v>440</v>
      </c>
      <c r="C34" s="261"/>
      <c r="D34" s="116"/>
      <c r="E34" s="116"/>
      <c r="F34" s="116"/>
      <c r="G34" s="116"/>
      <c r="H34" s="110"/>
    </row>
    <row r="35" spans="1:8">
      <c r="A35" s="728" t="s">
        <v>449</v>
      </c>
      <c r="B35" s="112" t="s">
        <v>41</v>
      </c>
      <c r="C35" s="260"/>
      <c r="D35" s="119"/>
      <c r="E35" s="119"/>
      <c r="F35" s="119"/>
      <c r="G35" s="113"/>
      <c r="H35" s="110"/>
    </row>
    <row r="36" spans="1:8">
      <c r="A36" s="729"/>
      <c r="B36" s="115" t="s">
        <v>440</v>
      </c>
      <c r="C36" s="261"/>
      <c r="D36" s="116"/>
      <c r="E36" s="116"/>
      <c r="F36" s="116"/>
      <c r="G36" s="116"/>
      <c r="H36" s="110"/>
    </row>
    <row r="37" spans="1:8">
      <c r="A37" s="728" t="s">
        <v>450</v>
      </c>
      <c r="B37" s="112" t="s">
        <v>41</v>
      </c>
      <c r="C37" s="260"/>
      <c r="D37" s="119"/>
      <c r="E37" s="119"/>
      <c r="F37" s="119"/>
      <c r="G37" s="113"/>
      <c r="H37" s="110"/>
    </row>
    <row r="38" spans="1:8">
      <c r="A38" s="729"/>
      <c r="B38" s="115" t="s">
        <v>440</v>
      </c>
      <c r="C38" s="261"/>
      <c r="D38" s="116"/>
      <c r="E38" s="116"/>
      <c r="F38" s="116"/>
      <c r="G38" s="116"/>
      <c r="H38" s="110"/>
    </row>
    <row r="39" spans="1:8">
      <c r="A39" s="115" t="s">
        <v>451</v>
      </c>
      <c r="B39" s="115" t="s">
        <v>440</v>
      </c>
      <c r="C39" s="261"/>
      <c r="D39" s="116"/>
      <c r="E39" s="116"/>
      <c r="F39" s="116"/>
      <c r="G39" s="116"/>
      <c r="H39" s="110"/>
    </row>
    <row r="40" spans="1:8">
      <c r="A40" s="120" t="s">
        <v>452</v>
      </c>
      <c r="B40" s="120" t="s">
        <v>453</v>
      </c>
      <c r="C40" s="262">
        <f>C39+C38+C36+C34+C32+C30+C28+C26+C24+C22+C20+C18+C16+C14+C12+C10+C8+C6</f>
        <v>0</v>
      </c>
      <c r="D40" s="116">
        <f>D39+D38+D36+D34+D32+D30+D28+D26+D24+D22+D20+D18+D16+D14+D12+D10+D8+D6</f>
        <v>0</v>
      </c>
      <c r="E40" s="116">
        <f>E39+E38+E36+E34+E32+E30+E28+E26+E24+E22+E20+E18+E16+E14+E12+E10+E8+E6</f>
        <v>0</v>
      </c>
      <c r="F40" s="116">
        <f>F39+F38+F36+F34+F32+F30+F28+F26+F24+F22+F20+F18+F16+F14+F12+F10+F8+F6</f>
        <v>0</v>
      </c>
      <c r="G40" s="116">
        <f>G39+G38+G36+G34+G32+G30+G28+G26+G24+G22+G20+G18+G16+G14+G12+G10+G8+G6</f>
        <v>0</v>
      </c>
      <c r="H40" s="396"/>
    </row>
    <row r="41" spans="1:8" ht="21">
      <c r="A41" s="285" t="s">
        <v>454</v>
      </c>
      <c r="B41" s="283" t="s">
        <v>453</v>
      </c>
      <c r="C41" s="264">
        <f>C42+C43</f>
        <v>0</v>
      </c>
      <c r="D41" s="122">
        <f>D42+D43</f>
        <v>0</v>
      </c>
      <c r="E41" s="122">
        <f>SUM(E42:E43)</f>
        <v>0</v>
      </c>
      <c r="F41" s="122">
        <f>SUM(F42:F43)</f>
        <v>0</v>
      </c>
      <c r="G41" s="209">
        <f>G42+G43</f>
        <v>0</v>
      </c>
      <c r="H41" s="110"/>
    </row>
    <row r="42" spans="1:8">
      <c r="A42" s="123" t="s">
        <v>38</v>
      </c>
      <c r="B42" s="120" t="s">
        <v>453</v>
      </c>
      <c r="C42" s="263"/>
      <c r="D42" s="122"/>
      <c r="E42" s="166"/>
      <c r="F42" s="166"/>
      <c r="G42" s="209"/>
      <c r="H42" s="110"/>
    </row>
    <row r="43" spans="1:8">
      <c r="A43" s="124" t="s">
        <v>455</v>
      </c>
      <c r="B43" s="120" t="s">
        <v>453</v>
      </c>
      <c r="C43" s="263"/>
      <c r="D43" s="122"/>
      <c r="E43" s="166"/>
      <c r="F43" s="166"/>
      <c r="G43" s="209"/>
      <c r="H43" s="110"/>
    </row>
    <row r="44" spans="1:8" ht="21" customHeight="1">
      <c r="A44" s="285" t="s">
        <v>456</v>
      </c>
      <c r="B44" s="283" t="s">
        <v>453</v>
      </c>
      <c r="C44" s="263"/>
      <c r="D44" s="122">
        <f>D45+D46</f>
        <v>0</v>
      </c>
      <c r="E44" s="122">
        <f>SUM(E45:E46)</f>
        <v>0</v>
      </c>
      <c r="F44" s="122">
        <f>SUM(F45:F46)</f>
        <v>0</v>
      </c>
      <c r="G44" s="404">
        <f>G45+G46</f>
        <v>0</v>
      </c>
      <c r="H44" s="110"/>
    </row>
    <row r="45" spans="1:8">
      <c r="A45" s="123" t="s">
        <v>38</v>
      </c>
      <c r="B45" s="120" t="s">
        <v>453</v>
      </c>
      <c r="C45" s="263"/>
      <c r="D45" s="122"/>
      <c r="E45" s="166"/>
      <c r="F45" s="166"/>
      <c r="G45" s="209"/>
      <c r="H45" s="110"/>
    </row>
    <row r="46" spans="1:8">
      <c r="A46" s="124" t="s">
        <v>455</v>
      </c>
      <c r="B46" s="125" t="s">
        <v>453</v>
      </c>
      <c r="C46" s="265"/>
      <c r="D46" s="122"/>
      <c r="E46" s="166"/>
      <c r="F46" s="166"/>
      <c r="G46" s="209"/>
      <c r="H46" s="110"/>
    </row>
    <row r="47" spans="1:8">
      <c r="A47" s="110"/>
      <c r="B47" s="110"/>
      <c r="C47" s="266"/>
      <c r="D47" s="109"/>
      <c r="E47" s="109"/>
      <c r="F47" s="109"/>
      <c r="G47" s="402"/>
      <c r="H47" s="110"/>
    </row>
    <row r="48" spans="1:8" ht="45">
      <c r="A48" s="217" t="s">
        <v>565</v>
      </c>
      <c r="B48" s="110"/>
      <c r="C48" s="217" t="s">
        <v>602</v>
      </c>
      <c r="D48" t="s">
        <v>566</v>
      </c>
      <c r="E48" s="127" t="s">
        <v>597</v>
      </c>
      <c r="F48" s="359"/>
      <c r="H48" s="126"/>
    </row>
    <row r="49" spans="1:8">
      <c r="A49" s="110"/>
      <c r="B49" s="110"/>
      <c r="C49" s="266"/>
      <c r="D49" s="109"/>
      <c r="E49" s="109"/>
      <c r="F49" s="109"/>
      <c r="G49" s="402"/>
      <c r="H49" s="110"/>
    </row>
    <row r="50" spans="1:8" ht="46.5" customHeight="1">
      <c r="A50" s="734" t="s">
        <v>747</v>
      </c>
      <c r="B50" s="734"/>
      <c r="C50" s="734"/>
      <c r="D50" s="734"/>
      <c r="E50" s="734"/>
      <c r="F50" s="734"/>
      <c r="G50" s="734"/>
      <c r="H50" s="128"/>
    </row>
    <row r="51" spans="1:8">
      <c r="A51" s="734" t="s">
        <v>458</v>
      </c>
      <c r="B51" s="734"/>
      <c r="C51" s="734"/>
      <c r="D51" s="734"/>
      <c r="E51" s="734"/>
      <c r="F51" s="734"/>
      <c r="G51" s="734"/>
      <c r="H51" s="110"/>
    </row>
    <row r="52" spans="1:8" ht="14.45" customHeight="1">
      <c r="A52" s="732" t="s">
        <v>438</v>
      </c>
      <c r="B52" s="732" t="s">
        <v>439</v>
      </c>
      <c r="C52" s="726" t="s">
        <v>745</v>
      </c>
      <c r="D52" s="214" t="s">
        <v>526</v>
      </c>
      <c r="E52" s="215" t="s">
        <v>526</v>
      </c>
      <c r="F52" s="215" t="s">
        <v>601</v>
      </c>
      <c r="G52" s="407" t="s">
        <v>526</v>
      </c>
      <c r="H52" s="110"/>
    </row>
    <row r="53" spans="1:8">
      <c r="A53" s="732"/>
      <c r="B53" s="732"/>
      <c r="C53" s="727"/>
      <c r="D53" s="111" t="s">
        <v>459</v>
      </c>
      <c r="E53" s="111" t="s">
        <v>485</v>
      </c>
      <c r="F53" s="111" t="s">
        <v>486</v>
      </c>
      <c r="G53" s="111" t="s">
        <v>746</v>
      </c>
      <c r="H53" s="110"/>
    </row>
    <row r="54" spans="1:8">
      <c r="A54" s="728" t="s">
        <v>9</v>
      </c>
      <c r="B54" s="112" t="s">
        <v>41</v>
      </c>
      <c r="C54" s="260"/>
      <c r="D54" s="113"/>
      <c r="E54" s="113"/>
      <c r="F54" s="113"/>
      <c r="G54" s="113"/>
      <c r="H54" s="110"/>
    </row>
    <row r="55" spans="1:8">
      <c r="A55" s="729"/>
      <c r="B55" s="115" t="s">
        <v>440</v>
      </c>
      <c r="C55" s="261"/>
      <c r="D55" s="116"/>
      <c r="E55" s="116"/>
      <c r="F55" s="116"/>
      <c r="G55" s="116"/>
      <c r="H55" s="110"/>
    </row>
    <row r="56" spans="1:8">
      <c r="A56" s="730" t="s">
        <v>10</v>
      </c>
      <c r="B56" s="112" t="s">
        <v>441</v>
      </c>
      <c r="C56" s="260"/>
      <c r="D56" s="113"/>
      <c r="E56" s="113"/>
      <c r="F56" s="113"/>
      <c r="G56" s="113"/>
      <c r="H56" s="110"/>
    </row>
    <row r="57" spans="1:8">
      <c r="A57" s="731"/>
      <c r="B57" s="115" t="s">
        <v>440</v>
      </c>
      <c r="C57" s="261"/>
      <c r="D57" s="116"/>
      <c r="E57" s="116"/>
      <c r="F57" s="116"/>
      <c r="G57" s="116"/>
      <c r="H57" s="110"/>
    </row>
    <row r="58" spans="1:8">
      <c r="A58" s="730" t="s">
        <v>11</v>
      </c>
      <c r="B58" s="112" t="s">
        <v>331</v>
      </c>
      <c r="C58" s="260"/>
      <c r="D58" s="113"/>
      <c r="E58" s="113"/>
      <c r="F58" s="113"/>
      <c r="G58" s="113"/>
      <c r="H58" s="110"/>
    </row>
    <row r="59" spans="1:8">
      <c r="A59" s="731"/>
      <c r="B59" s="115" t="s">
        <v>440</v>
      </c>
      <c r="C59" s="261"/>
      <c r="D59" s="116"/>
      <c r="E59" s="116"/>
      <c r="F59" s="116"/>
      <c r="G59" s="116"/>
      <c r="H59" s="110"/>
    </row>
    <row r="60" spans="1:8">
      <c r="A60" s="730" t="s">
        <v>442</v>
      </c>
      <c r="B60" s="112" t="s">
        <v>443</v>
      </c>
      <c r="C60" s="260"/>
      <c r="D60" s="113"/>
      <c r="E60" s="113"/>
      <c r="F60" s="113"/>
      <c r="G60" s="113"/>
      <c r="H60" s="110"/>
    </row>
    <row r="61" spans="1:8">
      <c r="A61" s="731"/>
      <c r="B61" s="115" t="s">
        <v>440</v>
      </c>
      <c r="C61" s="261"/>
      <c r="D61" s="116"/>
      <c r="E61" s="116"/>
      <c r="F61" s="116"/>
      <c r="G61" s="116"/>
      <c r="H61" s="110"/>
    </row>
    <row r="62" spans="1:8">
      <c r="A62" s="728" t="s">
        <v>13</v>
      </c>
      <c r="B62" s="112" t="s">
        <v>331</v>
      </c>
      <c r="C62" s="260"/>
      <c r="D62" s="113"/>
      <c r="E62" s="113"/>
      <c r="F62" s="113"/>
      <c r="G62" s="113"/>
      <c r="H62" s="110"/>
    </row>
    <row r="63" spans="1:8">
      <c r="A63" s="729"/>
      <c r="B63" s="115" t="s">
        <v>440</v>
      </c>
      <c r="C63" s="261"/>
      <c r="D63" s="116"/>
      <c r="E63" s="116"/>
      <c r="F63" s="116"/>
      <c r="G63" s="116"/>
      <c r="H63" s="110"/>
    </row>
    <row r="64" spans="1:8">
      <c r="A64" s="728" t="s">
        <v>444</v>
      </c>
      <c r="B64" s="112" t="s">
        <v>41</v>
      </c>
      <c r="C64" s="260"/>
      <c r="D64" s="113"/>
      <c r="E64" s="113"/>
      <c r="F64" s="113"/>
      <c r="G64" s="113"/>
      <c r="H64" s="110"/>
    </row>
    <row r="65" spans="1:8">
      <c r="A65" s="729"/>
      <c r="B65" s="115" t="s">
        <v>440</v>
      </c>
      <c r="C65" s="261"/>
      <c r="D65" s="116"/>
      <c r="E65" s="116"/>
      <c r="F65" s="116"/>
      <c r="G65" s="116"/>
      <c r="H65" s="110"/>
    </row>
    <row r="66" spans="1:8">
      <c r="A66" s="728" t="s">
        <v>14</v>
      </c>
      <c r="B66" s="112" t="s">
        <v>331</v>
      </c>
      <c r="C66" s="260"/>
      <c r="D66" s="113"/>
      <c r="E66" s="113"/>
      <c r="F66" s="113"/>
      <c r="G66" s="113"/>
      <c r="H66" s="110"/>
    </row>
    <row r="67" spans="1:8">
      <c r="A67" s="729"/>
      <c r="B67" s="115" t="s">
        <v>440</v>
      </c>
      <c r="C67" s="261"/>
      <c r="D67" s="116"/>
      <c r="E67" s="116"/>
      <c r="F67" s="116"/>
      <c r="G67" s="116"/>
      <c r="H67" s="110"/>
    </row>
    <row r="68" spans="1:8">
      <c r="A68" s="728" t="s">
        <v>15</v>
      </c>
      <c r="B68" s="112" t="s">
        <v>331</v>
      </c>
      <c r="C68" s="260"/>
      <c r="D68" s="113"/>
      <c r="E68" s="113"/>
      <c r="F68" s="113"/>
      <c r="G68" s="113"/>
      <c r="H68" s="110"/>
    </row>
    <row r="69" spans="1:8">
      <c r="A69" s="729"/>
      <c r="B69" s="115" t="s">
        <v>440</v>
      </c>
      <c r="C69" s="261"/>
      <c r="D69" s="116"/>
      <c r="E69" s="116"/>
      <c r="F69" s="116"/>
      <c r="G69" s="116"/>
      <c r="H69" s="110"/>
    </row>
    <row r="70" spans="1:8">
      <c r="A70" s="728" t="s">
        <v>16</v>
      </c>
      <c r="B70" s="112" t="s">
        <v>331</v>
      </c>
      <c r="C70" s="260"/>
      <c r="D70" s="113"/>
      <c r="E70" s="113"/>
      <c r="F70" s="113"/>
      <c r="G70" s="113"/>
      <c r="H70" s="110"/>
    </row>
    <row r="71" spans="1:8">
      <c r="A71" s="729"/>
      <c r="B71" s="115" t="s">
        <v>440</v>
      </c>
      <c r="C71" s="261"/>
      <c r="D71" s="116"/>
      <c r="E71" s="116"/>
      <c r="F71" s="116"/>
      <c r="G71" s="116"/>
      <c r="H71" s="110"/>
    </row>
    <row r="72" spans="1:8">
      <c r="A72" s="730" t="s">
        <v>445</v>
      </c>
      <c r="B72" s="112" t="s">
        <v>331</v>
      </c>
      <c r="C72" s="260"/>
      <c r="D72" s="118"/>
      <c r="E72" s="118"/>
      <c r="F72" s="118"/>
      <c r="G72" s="403"/>
      <c r="H72" s="110"/>
    </row>
    <row r="73" spans="1:8">
      <c r="A73" s="731"/>
      <c r="B73" s="115" t="s">
        <v>440</v>
      </c>
      <c r="C73" s="261"/>
      <c r="D73" s="116"/>
      <c r="E73" s="116"/>
      <c r="F73" s="116"/>
      <c r="G73" s="116"/>
      <c r="H73" s="110"/>
    </row>
    <row r="74" spans="1:8">
      <c r="A74" s="730" t="s">
        <v>18</v>
      </c>
      <c r="B74" s="112" t="s">
        <v>331</v>
      </c>
      <c r="C74" s="260"/>
      <c r="D74" s="113"/>
      <c r="E74" s="113"/>
      <c r="F74" s="113"/>
      <c r="G74" s="113"/>
      <c r="H74" s="110"/>
    </row>
    <row r="75" spans="1:8">
      <c r="A75" s="731"/>
      <c r="B75" s="115" t="s">
        <v>440</v>
      </c>
      <c r="C75" s="261"/>
      <c r="D75" s="116"/>
      <c r="E75" s="116"/>
      <c r="F75" s="116"/>
      <c r="G75" s="116"/>
      <c r="H75" s="110"/>
    </row>
    <row r="76" spans="1:8">
      <c r="A76" s="730" t="s">
        <v>446</v>
      </c>
      <c r="B76" s="112" t="s">
        <v>331</v>
      </c>
      <c r="C76" s="260"/>
      <c r="D76" s="113"/>
      <c r="E76" s="113"/>
      <c r="F76" s="113"/>
      <c r="G76" s="113"/>
      <c r="H76" s="110"/>
    </row>
    <row r="77" spans="1:8">
      <c r="A77" s="731"/>
      <c r="B77" s="115" t="s">
        <v>440</v>
      </c>
      <c r="C77" s="261"/>
      <c r="D77" s="116"/>
      <c r="E77" s="116"/>
      <c r="F77" s="116"/>
      <c r="G77" s="116"/>
      <c r="H77" s="110"/>
    </row>
    <row r="78" spans="1:8">
      <c r="A78" s="730" t="s">
        <v>20</v>
      </c>
      <c r="B78" s="112" t="s">
        <v>331</v>
      </c>
      <c r="C78" s="260"/>
      <c r="D78" s="119"/>
      <c r="E78" s="119"/>
      <c r="F78" s="119"/>
      <c r="G78" s="113"/>
      <c r="H78" s="110"/>
    </row>
    <row r="79" spans="1:8">
      <c r="A79" s="731"/>
      <c r="B79" s="115" t="s">
        <v>440</v>
      </c>
      <c r="C79" s="261"/>
      <c r="D79" s="116"/>
      <c r="E79" s="116"/>
      <c r="F79" s="116"/>
      <c r="G79" s="116"/>
      <c r="H79" s="110"/>
    </row>
    <row r="80" spans="1:8">
      <c r="A80" s="730" t="s">
        <v>447</v>
      </c>
      <c r="B80" s="112" t="s">
        <v>41</v>
      </c>
      <c r="C80" s="260"/>
      <c r="D80" s="119"/>
      <c r="E80" s="119"/>
      <c r="F80" s="119"/>
      <c r="G80" s="113"/>
      <c r="H80" s="110"/>
    </row>
    <row r="81" spans="1:8">
      <c r="A81" s="731"/>
      <c r="B81" s="115" t="s">
        <v>440</v>
      </c>
      <c r="C81" s="261"/>
      <c r="D81" s="116"/>
      <c r="E81" s="116"/>
      <c r="F81" s="116"/>
      <c r="G81" s="116"/>
      <c r="H81" s="110"/>
    </row>
    <row r="82" spans="1:8">
      <c r="A82" s="728" t="s">
        <v>448</v>
      </c>
      <c r="B82" s="112" t="s">
        <v>443</v>
      </c>
      <c r="C82" s="260"/>
      <c r="D82" s="119"/>
      <c r="E82" s="119"/>
      <c r="F82" s="119"/>
      <c r="G82" s="113"/>
      <c r="H82" s="110"/>
    </row>
    <row r="83" spans="1:8">
      <c r="A83" s="729"/>
      <c r="B83" s="115" t="s">
        <v>440</v>
      </c>
      <c r="C83" s="261"/>
      <c r="D83" s="116"/>
      <c r="E83" s="116"/>
      <c r="F83" s="116"/>
      <c r="G83" s="116"/>
      <c r="H83" s="110"/>
    </row>
    <row r="84" spans="1:8">
      <c r="A84" s="728" t="s">
        <v>449</v>
      </c>
      <c r="B84" s="112" t="s">
        <v>41</v>
      </c>
      <c r="C84" s="260"/>
      <c r="D84" s="119"/>
      <c r="E84" s="119"/>
      <c r="F84" s="119"/>
      <c r="G84" s="113"/>
      <c r="H84" s="110"/>
    </row>
    <row r="85" spans="1:8">
      <c r="A85" s="729"/>
      <c r="B85" s="115" t="s">
        <v>440</v>
      </c>
      <c r="C85" s="261"/>
      <c r="D85" s="116"/>
      <c r="E85" s="116"/>
      <c r="F85" s="116"/>
      <c r="G85" s="116"/>
      <c r="H85" s="110"/>
    </row>
    <row r="86" spans="1:8">
      <c r="A86" s="728" t="s">
        <v>450</v>
      </c>
      <c r="B86" s="112" t="s">
        <v>41</v>
      </c>
      <c r="C86" s="260"/>
      <c r="D86" s="119"/>
      <c r="E86" s="119"/>
      <c r="F86" s="119"/>
      <c r="G86" s="113"/>
      <c r="H86" s="110"/>
    </row>
    <row r="87" spans="1:8">
      <c r="A87" s="729"/>
      <c r="B87" s="115" t="s">
        <v>440</v>
      </c>
      <c r="C87" s="261"/>
      <c r="D87" s="116"/>
      <c r="E87" s="116"/>
      <c r="F87" s="116"/>
      <c r="G87" s="116"/>
      <c r="H87" s="110"/>
    </row>
    <row r="88" spans="1:8">
      <c r="A88" s="115" t="s">
        <v>451</v>
      </c>
      <c r="B88" s="115" t="s">
        <v>440</v>
      </c>
      <c r="C88" s="261"/>
      <c r="D88" s="116"/>
      <c r="E88" s="116"/>
      <c r="F88" s="116"/>
      <c r="G88" s="116"/>
      <c r="H88" s="110"/>
    </row>
    <row r="89" spans="1:8">
      <c r="A89" s="120" t="s">
        <v>452</v>
      </c>
      <c r="B89" s="120" t="s">
        <v>453</v>
      </c>
      <c r="C89" s="262">
        <f>C88+C87+C85+C83+C81+C79+C77+C75+C73+C71+C69+C67+C65+C63+C61+C59+C57+C55</f>
        <v>0</v>
      </c>
      <c r="D89" s="262">
        <f>D88+D87+D85+D83+D81+D79+D77+D75+D73+D71+D69+D67+D65+D63+D61+D59+D57+D55</f>
        <v>0</v>
      </c>
      <c r="E89" s="262">
        <f>E88+E87+E85+E83+E81+E79+E77+E75+E73+E71+E69+E67+E65+E63+E61+E59+E57+E55</f>
        <v>0</v>
      </c>
      <c r="F89" s="262">
        <f>F88+F87+F85+F83+F81+F79+F77+F75+F73+F71+F69+F67+F65+F63+F61+F59+F57+F55</f>
        <v>0</v>
      </c>
      <c r="G89" s="116">
        <f>G88+G87+G85+G83+G81+G79+G77+G75+G73+G71+G69+G67+G65+G63+G61+G59+G57+G55</f>
        <v>0</v>
      </c>
      <c r="H89" s="110"/>
    </row>
    <row r="90" spans="1:8" ht="21">
      <c r="A90" s="285" t="s">
        <v>454</v>
      </c>
      <c r="B90" s="283" t="s">
        <v>453</v>
      </c>
      <c r="C90" s="264">
        <f>C91+C92</f>
        <v>0</v>
      </c>
      <c r="D90" s="224">
        <f>D91+D92</f>
        <v>0</v>
      </c>
      <c r="E90" s="165">
        <f>E91+E92</f>
        <v>0</v>
      </c>
      <c r="F90" s="284">
        <f>F91+F92</f>
        <v>0</v>
      </c>
      <c r="G90" s="209">
        <f>G91+G92</f>
        <v>0</v>
      </c>
      <c r="H90" s="110"/>
    </row>
    <row r="91" spans="1:8">
      <c r="A91" s="123" t="s">
        <v>38</v>
      </c>
      <c r="B91" s="120" t="s">
        <v>453</v>
      </c>
      <c r="C91" s="263"/>
      <c r="D91" s="122"/>
      <c r="E91" s="166"/>
      <c r="F91" s="166"/>
      <c r="G91" s="209"/>
      <c r="H91" s="110"/>
    </row>
    <row r="92" spans="1:8">
      <c r="A92" s="124" t="s">
        <v>455</v>
      </c>
      <c r="B92" s="120" t="s">
        <v>453</v>
      </c>
      <c r="C92" s="263"/>
      <c r="D92" s="122"/>
      <c r="E92" s="166"/>
      <c r="F92" s="166"/>
      <c r="G92" s="209"/>
      <c r="H92" s="110"/>
    </row>
    <row r="93" spans="1:8" ht="20.100000000000001" customHeight="1">
      <c r="A93" s="285" t="s">
        <v>456</v>
      </c>
      <c r="B93" s="283" t="s">
        <v>453</v>
      </c>
      <c r="C93" s="265"/>
      <c r="D93" s="224">
        <f>D94+D95</f>
        <v>0</v>
      </c>
      <c r="E93" s="216">
        <f>SUM(E94:E95)</f>
        <v>0</v>
      </c>
      <c r="F93" s="284">
        <f>SUM(F94:F95)</f>
        <v>0</v>
      </c>
      <c r="G93" s="209">
        <f>G94+G95</f>
        <v>0</v>
      </c>
      <c r="H93" s="110"/>
    </row>
    <row r="94" spans="1:8">
      <c r="A94" s="123" t="s">
        <v>38</v>
      </c>
      <c r="B94" s="120" t="s">
        <v>453</v>
      </c>
      <c r="C94" s="263"/>
      <c r="D94" s="122"/>
      <c r="E94" s="166"/>
      <c r="F94" s="166"/>
      <c r="G94" s="209"/>
      <c r="H94" s="110"/>
    </row>
    <row r="95" spans="1:8">
      <c r="A95" s="124" t="s">
        <v>455</v>
      </c>
      <c r="B95" s="125" t="s">
        <v>453</v>
      </c>
      <c r="C95" s="265"/>
      <c r="D95" s="122"/>
      <c r="E95" s="166"/>
      <c r="F95" s="166"/>
      <c r="G95" s="209"/>
      <c r="H95" s="110"/>
    </row>
    <row r="96" spans="1:8" ht="45">
      <c r="A96" s="217" t="s">
        <v>565</v>
      </c>
      <c r="B96" s="110"/>
      <c r="C96" s="217" t="s">
        <v>602</v>
      </c>
      <c r="D96" t="s">
        <v>566</v>
      </c>
      <c r="E96" s="127" t="s">
        <v>597</v>
      </c>
      <c r="H96" s="110"/>
    </row>
    <row r="97" spans="1:8">
      <c r="A97" s="733"/>
      <c r="B97" s="733"/>
      <c r="C97" s="733"/>
      <c r="D97" s="733"/>
      <c r="E97" s="156"/>
      <c r="F97" s="332"/>
      <c r="G97" s="405"/>
      <c r="H97" s="126"/>
    </row>
    <row r="98" spans="1:8" ht="37.15" customHeight="1">
      <c r="A98" s="734" t="s">
        <v>748</v>
      </c>
      <c r="B98" s="734"/>
      <c r="C98" s="734"/>
      <c r="D98" s="734"/>
      <c r="E98" s="128"/>
      <c r="F98" s="128"/>
      <c r="G98" s="401"/>
      <c r="H98" s="128"/>
    </row>
    <row r="99" spans="1:8">
      <c r="A99" s="134"/>
      <c r="B99" s="108"/>
      <c r="C99" s="259"/>
      <c r="D99" s="109"/>
      <c r="E99" s="109"/>
      <c r="F99" s="109"/>
      <c r="G99" s="402"/>
      <c r="H99" s="110"/>
    </row>
    <row r="100" spans="1:8" ht="14.45" customHeight="1">
      <c r="A100" s="732" t="s">
        <v>438</v>
      </c>
      <c r="B100" s="732" t="s">
        <v>439</v>
      </c>
      <c r="C100" s="726" t="s">
        <v>745</v>
      </c>
      <c r="D100" s="214" t="s">
        <v>526</v>
      </c>
      <c r="E100" s="215" t="s">
        <v>526</v>
      </c>
      <c r="F100" s="215" t="s">
        <v>601</v>
      </c>
      <c r="G100" s="407" t="s">
        <v>526</v>
      </c>
      <c r="H100" s="110"/>
    </row>
    <row r="101" spans="1:8">
      <c r="A101" s="732"/>
      <c r="B101" s="732"/>
      <c r="C101" s="727"/>
      <c r="D101" s="111" t="s">
        <v>459</v>
      </c>
      <c r="E101" s="111" t="s">
        <v>485</v>
      </c>
      <c r="F101" s="111" t="s">
        <v>486</v>
      </c>
      <c r="G101" s="111" t="s">
        <v>746</v>
      </c>
      <c r="H101" s="110"/>
    </row>
    <row r="102" spans="1:8">
      <c r="A102" s="728" t="s">
        <v>9</v>
      </c>
      <c r="B102" s="112" t="s">
        <v>41</v>
      </c>
      <c r="C102" s="260"/>
      <c r="D102" s="113"/>
      <c r="E102" s="113"/>
      <c r="F102" s="113"/>
      <c r="G102" s="113"/>
      <c r="H102" s="110"/>
    </row>
    <row r="103" spans="1:8">
      <c r="A103" s="729"/>
      <c r="B103" s="115" t="s">
        <v>440</v>
      </c>
      <c r="C103" s="261"/>
      <c r="D103" s="116"/>
      <c r="E103" s="116"/>
      <c r="F103" s="116"/>
      <c r="G103" s="116"/>
      <c r="H103" s="110"/>
    </row>
    <row r="104" spans="1:8">
      <c r="A104" s="730" t="s">
        <v>10</v>
      </c>
      <c r="B104" s="112" t="s">
        <v>441</v>
      </c>
      <c r="C104" s="260"/>
      <c r="D104" s="113"/>
      <c r="E104" s="113"/>
      <c r="F104" s="113"/>
      <c r="G104" s="113"/>
      <c r="H104" s="110"/>
    </row>
    <row r="105" spans="1:8">
      <c r="A105" s="731"/>
      <c r="B105" s="115" t="s">
        <v>440</v>
      </c>
      <c r="C105" s="261"/>
      <c r="D105" s="116"/>
      <c r="E105" s="116"/>
      <c r="F105" s="116"/>
      <c r="G105" s="116"/>
      <c r="H105" s="110"/>
    </row>
    <row r="106" spans="1:8">
      <c r="A106" s="730" t="s">
        <v>11</v>
      </c>
      <c r="B106" s="112" t="s">
        <v>331</v>
      </c>
      <c r="C106" s="260"/>
      <c r="D106" s="113"/>
      <c r="E106" s="113"/>
      <c r="F106" s="113"/>
      <c r="G106" s="113"/>
      <c r="H106" s="110"/>
    </row>
    <row r="107" spans="1:8">
      <c r="A107" s="731"/>
      <c r="B107" s="115" t="s">
        <v>440</v>
      </c>
      <c r="C107" s="261"/>
      <c r="D107" s="116"/>
      <c r="E107" s="116"/>
      <c r="F107" s="116"/>
      <c r="G107" s="116"/>
      <c r="H107" s="110"/>
    </row>
    <row r="108" spans="1:8">
      <c r="A108" s="730" t="s">
        <v>442</v>
      </c>
      <c r="B108" s="112" t="s">
        <v>443</v>
      </c>
      <c r="C108" s="260"/>
      <c r="D108" s="113"/>
      <c r="E108" s="113"/>
      <c r="F108" s="113"/>
      <c r="G108" s="113"/>
      <c r="H108" s="110"/>
    </row>
    <row r="109" spans="1:8">
      <c r="A109" s="731"/>
      <c r="B109" s="115" t="s">
        <v>440</v>
      </c>
      <c r="C109" s="261"/>
      <c r="D109" s="116"/>
      <c r="E109" s="116"/>
      <c r="F109" s="116"/>
      <c r="G109" s="116"/>
      <c r="H109" s="110"/>
    </row>
    <row r="110" spans="1:8">
      <c r="A110" s="728" t="s">
        <v>13</v>
      </c>
      <c r="B110" s="112" t="s">
        <v>331</v>
      </c>
      <c r="C110" s="260"/>
      <c r="D110" s="113"/>
      <c r="E110" s="113"/>
      <c r="F110" s="113"/>
      <c r="G110" s="113"/>
      <c r="H110" s="110"/>
    </row>
    <row r="111" spans="1:8">
      <c r="A111" s="729"/>
      <c r="B111" s="115" t="s">
        <v>440</v>
      </c>
      <c r="C111" s="261"/>
      <c r="D111" s="116"/>
      <c r="E111" s="116"/>
      <c r="F111" s="116"/>
      <c r="G111" s="116"/>
      <c r="H111" s="110"/>
    </row>
    <row r="112" spans="1:8">
      <c r="A112" s="728" t="s">
        <v>444</v>
      </c>
      <c r="B112" s="112" t="s">
        <v>41</v>
      </c>
      <c r="C112" s="260"/>
      <c r="D112" s="113"/>
      <c r="E112" s="113"/>
      <c r="F112" s="113"/>
      <c r="G112" s="113"/>
      <c r="H112" s="110"/>
    </row>
    <row r="113" spans="1:8">
      <c r="A113" s="729"/>
      <c r="B113" s="115" t="s">
        <v>440</v>
      </c>
      <c r="C113" s="261"/>
      <c r="D113" s="116"/>
      <c r="E113" s="116"/>
      <c r="F113" s="116"/>
      <c r="G113" s="116"/>
      <c r="H113" s="110"/>
    </row>
    <row r="114" spans="1:8">
      <c r="A114" s="728" t="s">
        <v>14</v>
      </c>
      <c r="B114" s="112" t="s">
        <v>331</v>
      </c>
      <c r="C114" s="260"/>
      <c r="D114" s="113"/>
      <c r="E114" s="113"/>
      <c r="F114" s="113"/>
      <c r="G114" s="113"/>
      <c r="H114" s="110"/>
    </row>
    <row r="115" spans="1:8">
      <c r="A115" s="729"/>
      <c r="B115" s="115" t="s">
        <v>440</v>
      </c>
      <c r="C115" s="261"/>
      <c r="D115" s="116"/>
      <c r="E115" s="116"/>
      <c r="F115" s="116"/>
      <c r="G115" s="116"/>
      <c r="H115" s="110"/>
    </row>
    <row r="116" spans="1:8">
      <c r="A116" s="728" t="s">
        <v>15</v>
      </c>
      <c r="B116" s="112" t="s">
        <v>331</v>
      </c>
      <c r="C116" s="260"/>
      <c r="D116" s="113"/>
      <c r="E116" s="113"/>
      <c r="F116" s="113"/>
      <c r="G116" s="113"/>
      <c r="H116" s="110"/>
    </row>
    <row r="117" spans="1:8">
      <c r="A117" s="729"/>
      <c r="B117" s="115" t="s">
        <v>440</v>
      </c>
      <c r="C117" s="261"/>
      <c r="D117" s="116"/>
      <c r="E117" s="116"/>
      <c r="F117" s="116"/>
      <c r="G117" s="116"/>
      <c r="H117" s="110"/>
    </row>
    <row r="118" spans="1:8">
      <c r="A118" s="728" t="s">
        <v>16</v>
      </c>
      <c r="B118" s="112" t="s">
        <v>331</v>
      </c>
      <c r="C118" s="260"/>
      <c r="D118" s="113"/>
      <c r="E118" s="113"/>
      <c r="F118" s="113"/>
      <c r="G118" s="113"/>
      <c r="H118" s="110"/>
    </row>
    <row r="119" spans="1:8">
      <c r="A119" s="729"/>
      <c r="B119" s="115" t="s">
        <v>440</v>
      </c>
      <c r="C119" s="261"/>
      <c r="D119" s="116"/>
      <c r="E119" s="116"/>
      <c r="F119" s="116"/>
      <c r="G119" s="116"/>
      <c r="H119" s="110"/>
    </row>
    <row r="120" spans="1:8">
      <c r="A120" s="730" t="s">
        <v>445</v>
      </c>
      <c r="B120" s="112" t="s">
        <v>331</v>
      </c>
      <c r="C120" s="260"/>
      <c r="D120" s="118"/>
      <c r="E120" s="118"/>
      <c r="F120" s="118"/>
      <c r="G120" s="403"/>
      <c r="H120" s="110"/>
    </row>
    <row r="121" spans="1:8">
      <c r="A121" s="731"/>
      <c r="B121" s="115" t="s">
        <v>440</v>
      </c>
      <c r="C121" s="261"/>
      <c r="D121" s="116"/>
      <c r="E121" s="116"/>
      <c r="F121" s="116"/>
      <c r="G121" s="116"/>
      <c r="H121" s="110"/>
    </row>
    <row r="122" spans="1:8">
      <c r="A122" s="730" t="s">
        <v>18</v>
      </c>
      <c r="B122" s="112" t="s">
        <v>331</v>
      </c>
      <c r="C122" s="260"/>
      <c r="D122" s="113"/>
      <c r="E122" s="113"/>
      <c r="F122" s="113"/>
      <c r="G122" s="113"/>
      <c r="H122" s="110"/>
    </row>
    <row r="123" spans="1:8">
      <c r="A123" s="731"/>
      <c r="B123" s="115" t="s">
        <v>440</v>
      </c>
      <c r="C123" s="261"/>
      <c r="D123" s="116"/>
      <c r="E123" s="116"/>
      <c r="F123" s="116"/>
      <c r="G123" s="116"/>
      <c r="H123" s="110"/>
    </row>
    <row r="124" spans="1:8">
      <c r="A124" s="730" t="s">
        <v>446</v>
      </c>
      <c r="B124" s="112" t="s">
        <v>331</v>
      </c>
      <c r="C124" s="260"/>
      <c r="D124" s="113"/>
      <c r="E124" s="113"/>
      <c r="F124" s="113"/>
      <c r="G124" s="113"/>
      <c r="H124" s="110"/>
    </row>
    <row r="125" spans="1:8">
      <c r="A125" s="731"/>
      <c r="B125" s="115" t="s">
        <v>440</v>
      </c>
      <c r="C125" s="261"/>
      <c r="D125" s="116"/>
      <c r="E125" s="116"/>
      <c r="F125" s="116"/>
      <c r="G125" s="116"/>
      <c r="H125" s="110"/>
    </row>
    <row r="126" spans="1:8">
      <c r="A126" s="730" t="s">
        <v>20</v>
      </c>
      <c r="B126" s="112" t="s">
        <v>331</v>
      </c>
      <c r="C126" s="260"/>
      <c r="D126" s="119"/>
      <c r="E126" s="119"/>
      <c r="F126" s="119"/>
      <c r="G126" s="113"/>
      <c r="H126" s="110"/>
    </row>
    <row r="127" spans="1:8">
      <c r="A127" s="731"/>
      <c r="B127" s="115" t="s">
        <v>440</v>
      </c>
      <c r="C127" s="261"/>
      <c r="D127" s="116"/>
      <c r="E127" s="116"/>
      <c r="F127" s="116"/>
      <c r="G127" s="116"/>
      <c r="H127" s="110"/>
    </row>
    <row r="128" spans="1:8">
      <c r="A128" s="730" t="s">
        <v>447</v>
      </c>
      <c r="B128" s="112" t="s">
        <v>41</v>
      </c>
      <c r="C128" s="260"/>
      <c r="D128" s="119"/>
      <c r="E128" s="119"/>
      <c r="F128" s="119"/>
      <c r="G128" s="113"/>
      <c r="H128" s="110"/>
    </row>
    <row r="129" spans="1:8">
      <c r="A129" s="731"/>
      <c r="B129" s="115" t="s">
        <v>440</v>
      </c>
      <c r="C129" s="261"/>
      <c r="D129" s="116"/>
      <c r="E129" s="116"/>
      <c r="F129" s="116"/>
      <c r="G129" s="116"/>
      <c r="H129" s="110"/>
    </row>
    <row r="130" spans="1:8">
      <c r="A130" s="728" t="s">
        <v>448</v>
      </c>
      <c r="B130" s="112" t="s">
        <v>443</v>
      </c>
      <c r="C130" s="260"/>
      <c r="D130" s="119"/>
      <c r="E130" s="119"/>
      <c r="F130" s="119"/>
      <c r="G130" s="113"/>
      <c r="H130" s="110"/>
    </row>
    <row r="131" spans="1:8">
      <c r="A131" s="729"/>
      <c r="B131" s="115" t="s">
        <v>440</v>
      </c>
      <c r="C131" s="261"/>
      <c r="D131" s="116"/>
      <c r="E131" s="116"/>
      <c r="F131" s="116"/>
      <c r="G131" s="116"/>
      <c r="H131" s="110"/>
    </row>
    <row r="132" spans="1:8">
      <c r="A132" s="728" t="s">
        <v>449</v>
      </c>
      <c r="B132" s="112" t="s">
        <v>41</v>
      </c>
      <c r="C132" s="260"/>
      <c r="D132" s="119"/>
      <c r="E132" s="119"/>
      <c r="F132" s="119"/>
      <c r="G132" s="113"/>
      <c r="H132" s="110"/>
    </row>
    <row r="133" spans="1:8">
      <c r="A133" s="729"/>
      <c r="B133" s="115" t="s">
        <v>440</v>
      </c>
      <c r="C133" s="261"/>
      <c r="D133" s="116"/>
      <c r="E133" s="116"/>
      <c r="F133" s="116"/>
      <c r="G133" s="116"/>
      <c r="H133" s="110"/>
    </row>
    <row r="134" spans="1:8">
      <c r="A134" s="728" t="s">
        <v>450</v>
      </c>
      <c r="B134" s="112" t="s">
        <v>41</v>
      </c>
      <c r="C134" s="260"/>
      <c r="D134" s="119"/>
      <c r="E134" s="119"/>
      <c r="F134" s="119"/>
      <c r="G134" s="113"/>
      <c r="H134" s="110"/>
    </row>
    <row r="135" spans="1:8">
      <c r="A135" s="729"/>
      <c r="B135" s="115" t="s">
        <v>440</v>
      </c>
      <c r="C135" s="261"/>
      <c r="D135" s="116"/>
      <c r="E135" s="116"/>
      <c r="F135" s="116"/>
      <c r="G135" s="116"/>
      <c r="H135" s="110"/>
    </row>
    <row r="136" spans="1:8">
      <c r="A136" s="115" t="s">
        <v>451</v>
      </c>
      <c r="B136" s="115" t="s">
        <v>440</v>
      </c>
      <c r="C136" s="261"/>
      <c r="D136" s="116"/>
      <c r="E136" s="116"/>
      <c r="F136" s="116"/>
      <c r="G136" s="116"/>
      <c r="H136" s="110"/>
    </row>
    <row r="137" spans="1:8">
      <c r="A137" s="133" t="s">
        <v>452</v>
      </c>
      <c r="B137" s="133" t="s">
        <v>453</v>
      </c>
      <c r="C137" s="262">
        <f>C136+C135+C133+C131+C129+C127+C125+C123+C121+C119+C117+C115+C113+C111+C109+C107+C105+C103</f>
        <v>0</v>
      </c>
      <c r="D137" s="262">
        <f>D136+D135+D133+D131+D129+D127+D125+D123+D121+D119+D117+D115+D113+D111+D109+D107+D105+D103</f>
        <v>0</v>
      </c>
      <c r="E137" s="262">
        <f>E136+E135+E133+E131+E129+E127+E125+E123+E121+E119+E117+E115+E113+E111+E109+E107+E105+E103</f>
        <v>0</v>
      </c>
      <c r="F137" s="262">
        <f>F136+F135+F133+F131+F129+F127+F125+F123+F121+F119+F117+F115+F113+F111+F109+F107+F105+F103</f>
        <v>0</v>
      </c>
      <c r="G137" s="116">
        <f>G136+G135+G133+G131+G129+G127+G125+G123+G121+G119+G117+G115+G113+G111+G109+G107+G105+G103</f>
        <v>0</v>
      </c>
      <c r="H137" s="110"/>
    </row>
    <row r="138" spans="1:8" ht="21">
      <c r="A138" s="285" t="s">
        <v>454</v>
      </c>
      <c r="B138" s="283" t="s">
        <v>453</v>
      </c>
      <c r="C138" s="264">
        <f>C139+C140</f>
        <v>0</v>
      </c>
      <c r="D138" s="122">
        <f>D139+D140</f>
        <v>0</v>
      </c>
      <c r="E138" s="122">
        <f>E139+E140</f>
        <v>0</v>
      </c>
      <c r="F138" s="122">
        <f>F139+F140</f>
        <v>0</v>
      </c>
      <c r="G138" s="209">
        <f>G139+G140</f>
        <v>0</v>
      </c>
      <c r="H138" s="110"/>
    </row>
    <row r="139" spans="1:8">
      <c r="A139" s="132" t="s">
        <v>38</v>
      </c>
      <c r="B139" s="133" t="s">
        <v>453</v>
      </c>
      <c r="C139" s="263"/>
      <c r="D139" s="122"/>
      <c r="E139" s="166"/>
      <c r="F139" s="166"/>
      <c r="G139" s="209"/>
      <c r="H139" s="110"/>
    </row>
    <row r="140" spans="1:8">
      <c r="A140" s="124" t="s">
        <v>455</v>
      </c>
      <c r="B140" s="133" t="s">
        <v>453</v>
      </c>
      <c r="C140" s="265"/>
      <c r="D140" s="122"/>
      <c r="E140" s="166"/>
      <c r="F140" s="166"/>
      <c r="G140" s="209"/>
      <c r="H140" s="110"/>
    </row>
    <row r="141" spans="1:8" ht="21">
      <c r="A141" s="285" t="s">
        <v>456</v>
      </c>
      <c r="B141" s="283" t="s">
        <v>453</v>
      </c>
      <c r="C141" s="264"/>
      <c r="D141" s="122">
        <f>D142+D143</f>
        <v>0</v>
      </c>
      <c r="E141" s="122">
        <f>E142+E143</f>
        <v>0</v>
      </c>
      <c r="F141" s="122">
        <f>F142+F143</f>
        <v>0</v>
      </c>
      <c r="G141" s="209">
        <f>G142+G143</f>
        <v>0</v>
      </c>
      <c r="H141" s="110"/>
    </row>
    <row r="142" spans="1:8">
      <c r="A142" s="132" t="s">
        <v>38</v>
      </c>
      <c r="B142" s="133" t="s">
        <v>453</v>
      </c>
      <c r="C142" s="263"/>
      <c r="D142" s="122"/>
      <c r="E142" s="166"/>
      <c r="F142" s="166"/>
      <c r="G142" s="209"/>
      <c r="H142" s="110"/>
    </row>
    <row r="143" spans="1:8">
      <c r="A143" s="124" t="s">
        <v>455</v>
      </c>
      <c r="B143" s="131" t="s">
        <v>453</v>
      </c>
      <c r="C143" s="265"/>
      <c r="D143" s="122"/>
      <c r="E143" s="166"/>
      <c r="F143" s="166"/>
      <c r="G143" s="209"/>
      <c r="H143" s="110"/>
    </row>
    <row r="144" spans="1:8">
      <c r="A144" s="110"/>
      <c r="B144" s="110"/>
      <c r="C144" s="266"/>
      <c r="D144" s="109"/>
      <c r="E144" s="109"/>
      <c r="F144" s="109"/>
      <c r="G144" s="402"/>
      <c r="H144" s="110"/>
    </row>
    <row r="145" spans="1:8" ht="45">
      <c r="A145" s="217" t="s">
        <v>565</v>
      </c>
      <c r="B145" s="110"/>
      <c r="C145" s="217" t="s">
        <v>602</v>
      </c>
      <c r="D145" t="s">
        <v>566</v>
      </c>
      <c r="E145" s="127" t="s">
        <v>597</v>
      </c>
      <c r="F145" s="359"/>
      <c r="H145" s="110"/>
    </row>
    <row r="146" spans="1:8">
      <c r="A146" s="733"/>
      <c r="B146" s="733"/>
      <c r="C146" s="733"/>
      <c r="D146" s="733"/>
      <c r="E146" s="156"/>
      <c r="F146" s="163"/>
      <c r="G146" s="405"/>
      <c r="H146" s="126"/>
    </row>
    <row r="147" spans="1:8" ht="35.65" customHeight="1">
      <c r="A147" s="734" t="s">
        <v>748</v>
      </c>
      <c r="B147" s="734"/>
      <c r="C147" s="734"/>
      <c r="D147" s="734"/>
      <c r="E147" s="734"/>
      <c r="F147" s="734"/>
      <c r="G147" s="734"/>
      <c r="H147" s="128"/>
    </row>
    <row r="148" spans="1:8">
      <c r="A148" s="734" t="s">
        <v>458</v>
      </c>
      <c r="B148" s="734"/>
      <c r="C148" s="734"/>
      <c r="D148" s="734"/>
      <c r="E148" s="734"/>
      <c r="F148" s="734"/>
      <c r="G148" s="734"/>
      <c r="H148" s="110"/>
    </row>
    <row r="149" spans="1:8" ht="14.45" customHeight="1">
      <c r="A149" s="732" t="s">
        <v>438</v>
      </c>
      <c r="B149" s="732" t="s">
        <v>439</v>
      </c>
      <c r="C149" s="726" t="s">
        <v>745</v>
      </c>
      <c r="D149" s="214" t="s">
        <v>526</v>
      </c>
      <c r="E149" s="215" t="s">
        <v>526</v>
      </c>
      <c r="F149" s="215" t="s">
        <v>601</v>
      </c>
      <c r="G149" s="407" t="s">
        <v>526</v>
      </c>
      <c r="H149" s="110"/>
    </row>
    <row r="150" spans="1:8">
      <c r="A150" s="732"/>
      <c r="B150" s="732"/>
      <c r="C150" s="727"/>
      <c r="D150" s="111" t="s">
        <v>459</v>
      </c>
      <c r="E150" s="111" t="s">
        <v>485</v>
      </c>
      <c r="F150" s="111" t="s">
        <v>486</v>
      </c>
      <c r="G150" s="111" t="s">
        <v>746</v>
      </c>
      <c r="H150" s="110"/>
    </row>
    <row r="151" spans="1:8">
      <c r="A151" s="728" t="s">
        <v>9</v>
      </c>
      <c r="B151" s="112" t="s">
        <v>41</v>
      </c>
      <c r="C151" s="260"/>
      <c r="D151" s="113"/>
      <c r="E151" s="113"/>
      <c r="F151" s="113"/>
      <c r="G151" s="113"/>
      <c r="H151" s="110"/>
    </row>
    <row r="152" spans="1:8">
      <c r="A152" s="729"/>
      <c r="B152" s="115" t="s">
        <v>440</v>
      </c>
      <c r="C152" s="261"/>
      <c r="D152" s="116"/>
      <c r="E152" s="116"/>
      <c r="F152" s="116"/>
      <c r="G152" s="116"/>
      <c r="H152" s="110"/>
    </row>
    <row r="153" spans="1:8">
      <c r="A153" s="730" t="s">
        <v>10</v>
      </c>
      <c r="B153" s="112" t="s">
        <v>441</v>
      </c>
      <c r="C153" s="260"/>
      <c r="D153" s="113"/>
      <c r="E153" s="113"/>
      <c r="F153" s="113"/>
      <c r="G153" s="113"/>
      <c r="H153" s="110"/>
    </row>
    <row r="154" spans="1:8">
      <c r="A154" s="731"/>
      <c r="B154" s="115" t="s">
        <v>440</v>
      </c>
      <c r="C154" s="261"/>
      <c r="D154" s="116"/>
      <c r="E154" s="116"/>
      <c r="F154" s="116"/>
      <c r="G154" s="116"/>
      <c r="H154" s="110"/>
    </row>
    <row r="155" spans="1:8">
      <c r="A155" s="730" t="s">
        <v>11</v>
      </c>
      <c r="B155" s="112" t="s">
        <v>331</v>
      </c>
      <c r="C155" s="260"/>
      <c r="D155" s="113"/>
      <c r="E155" s="113"/>
      <c r="F155" s="113"/>
      <c r="G155" s="113"/>
      <c r="H155" s="110"/>
    </row>
    <row r="156" spans="1:8">
      <c r="A156" s="731"/>
      <c r="B156" s="115" t="s">
        <v>440</v>
      </c>
      <c r="C156" s="261"/>
      <c r="D156" s="116"/>
      <c r="E156" s="116"/>
      <c r="F156" s="116"/>
      <c r="G156" s="116"/>
      <c r="H156" s="110"/>
    </row>
    <row r="157" spans="1:8">
      <c r="A157" s="730" t="s">
        <v>442</v>
      </c>
      <c r="B157" s="112" t="s">
        <v>443</v>
      </c>
      <c r="C157" s="260"/>
      <c r="D157" s="113"/>
      <c r="E157" s="113"/>
      <c r="F157" s="113"/>
      <c r="G157" s="113"/>
      <c r="H157" s="110"/>
    </row>
    <row r="158" spans="1:8">
      <c r="A158" s="731"/>
      <c r="B158" s="115" t="s">
        <v>440</v>
      </c>
      <c r="C158" s="261"/>
      <c r="D158" s="116"/>
      <c r="E158" s="116"/>
      <c r="F158" s="116"/>
      <c r="G158" s="116"/>
      <c r="H158" s="110"/>
    </row>
    <row r="159" spans="1:8">
      <c r="A159" s="728" t="s">
        <v>13</v>
      </c>
      <c r="B159" s="112" t="s">
        <v>331</v>
      </c>
      <c r="C159" s="260"/>
      <c r="D159" s="113"/>
      <c r="E159" s="113"/>
      <c r="F159" s="113"/>
      <c r="G159" s="113"/>
      <c r="H159" s="110"/>
    </row>
    <row r="160" spans="1:8">
      <c r="A160" s="729"/>
      <c r="B160" s="115" t="s">
        <v>440</v>
      </c>
      <c r="C160" s="261"/>
      <c r="D160" s="116"/>
      <c r="E160" s="116"/>
      <c r="F160" s="116"/>
      <c r="G160" s="116"/>
      <c r="H160" s="110"/>
    </row>
    <row r="161" spans="1:8">
      <c r="A161" s="728" t="s">
        <v>444</v>
      </c>
      <c r="B161" s="112" t="s">
        <v>41</v>
      </c>
      <c r="C161" s="260"/>
      <c r="D161" s="113"/>
      <c r="E161" s="113"/>
      <c r="F161" s="113"/>
      <c r="G161" s="113"/>
      <c r="H161" s="110"/>
    </row>
    <row r="162" spans="1:8">
      <c r="A162" s="729"/>
      <c r="B162" s="115" t="s">
        <v>440</v>
      </c>
      <c r="C162" s="261"/>
      <c r="D162" s="116"/>
      <c r="E162" s="116"/>
      <c r="F162" s="116"/>
      <c r="G162" s="116"/>
      <c r="H162" s="110"/>
    </row>
    <row r="163" spans="1:8">
      <c r="A163" s="728" t="s">
        <v>14</v>
      </c>
      <c r="B163" s="112" t="s">
        <v>331</v>
      </c>
      <c r="C163" s="260"/>
      <c r="D163" s="113"/>
      <c r="E163" s="113"/>
      <c r="F163" s="113"/>
      <c r="G163" s="113"/>
      <c r="H163" s="110"/>
    </row>
    <row r="164" spans="1:8">
      <c r="A164" s="729"/>
      <c r="B164" s="115" t="s">
        <v>440</v>
      </c>
      <c r="C164" s="261"/>
      <c r="D164" s="116"/>
      <c r="E164" s="116"/>
      <c r="F164" s="116"/>
      <c r="G164" s="116"/>
      <c r="H164" s="110"/>
    </row>
    <row r="165" spans="1:8">
      <c r="A165" s="728" t="s">
        <v>15</v>
      </c>
      <c r="B165" s="112" t="s">
        <v>331</v>
      </c>
      <c r="C165" s="260"/>
      <c r="D165" s="113"/>
      <c r="E165" s="113"/>
      <c r="F165" s="113"/>
      <c r="G165" s="113"/>
      <c r="H165" s="110"/>
    </row>
    <row r="166" spans="1:8">
      <c r="A166" s="729"/>
      <c r="B166" s="115" t="s">
        <v>440</v>
      </c>
      <c r="C166" s="261"/>
      <c r="D166" s="116"/>
      <c r="E166" s="116"/>
      <c r="F166" s="116"/>
      <c r="G166" s="116"/>
      <c r="H166" s="110"/>
    </row>
    <row r="167" spans="1:8">
      <c r="A167" s="728" t="s">
        <v>16</v>
      </c>
      <c r="B167" s="112" t="s">
        <v>331</v>
      </c>
      <c r="C167" s="260"/>
      <c r="D167" s="113"/>
      <c r="E167" s="113"/>
      <c r="F167" s="113"/>
      <c r="G167" s="113"/>
      <c r="H167" s="110"/>
    </row>
    <row r="168" spans="1:8">
      <c r="A168" s="729"/>
      <c r="B168" s="115" t="s">
        <v>440</v>
      </c>
      <c r="C168" s="261"/>
      <c r="D168" s="116"/>
      <c r="E168" s="116"/>
      <c r="F168" s="116"/>
      <c r="G168" s="116"/>
      <c r="H168" s="110"/>
    </row>
    <row r="169" spans="1:8">
      <c r="A169" s="730" t="s">
        <v>445</v>
      </c>
      <c r="B169" s="112" t="s">
        <v>331</v>
      </c>
      <c r="C169" s="260"/>
      <c r="D169" s="118"/>
      <c r="E169" s="118"/>
      <c r="F169" s="118"/>
      <c r="G169" s="403"/>
      <c r="H169" s="110"/>
    </row>
    <row r="170" spans="1:8">
      <c r="A170" s="731"/>
      <c r="B170" s="115" t="s">
        <v>440</v>
      </c>
      <c r="C170" s="261"/>
      <c r="D170" s="116"/>
      <c r="E170" s="116"/>
      <c r="F170" s="116"/>
      <c r="G170" s="116"/>
      <c r="H170" s="110"/>
    </row>
    <row r="171" spans="1:8">
      <c r="A171" s="730" t="s">
        <v>18</v>
      </c>
      <c r="B171" s="112" t="s">
        <v>331</v>
      </c>
      <c r="C171" s="260"/>
      <c r="D171" s="113"/>
      <c r="E171" s="113"/>
      <c r="F171" s="113"/>
      <c r="G171" s="113"/>
      <c r="H171" s="110"/>
    </row>
    <row r="172" spans="1:8">
      <c r="A172" s="731"/>
      <c r="B172" s="115" t="s">
        <v>440</v>
      </c>
      <c r="C172" s="261"/>
      <c r="D172" s="116"/>
      <c r="E172" s="116"/>
      <c r="F172" s="116"/>
      <c r="G172" s="116"/>
      <c r="H172" s="110"/>
    </row>
    <row r="173" spans="1:8">
      <c r="A173" s="730" t="s">
        <v>446</v>
      </c>
      <c r="B173" s="112" t="s">
        <v>331</v>
      </c>
      <c r="C173" s="260"/>
      <c r="D173" s="113"/>
      <c r="E173" s="113"/>
      <c r="F173" s="113"/>
      <c r="G173" s="113"/>
      <c r="H173" s="110"/>
    </row>
    <row r="174" spans="1:8">
      <c r="A174" s="731"/>
      <c r="B174" s="115" t="s">
        <v>440</v>
      </c>
      <c r="C174" s="261"/>
      <c r="D174" s="116"/>
      <c r="E174" s="116"/>
      <c r="F174" s="116"/>
      <c r="G174" s="116"/>
      <c r="H174" s="110"/>
    </row>
    <row r="175" spans="1:8">
      <c r="A175" s="730" t="s">
        <v>20</v>
      </c>
      <c r="B175" s="112" t="s">
        <v>331</v>
      </c>
      <c r="C175" s="260"/>
      <c r="D175" s="119"/>
      <c r="E175" s="119"/>
      <c r="F175" s="119"/>
      <c r="G175" s="113"/>
      <c r="H175" s="110"/>
    </row>
    <row r="176" spans="1:8">
      <c r="A176" s="731"/>
      <c r="B176" s="115" t="s">
        <v>440</v>
      </c>
      <c r="C176" s="261"/>
      <c r="D176" s="116"/>
      <c r="E176" s="116"/>
      <c r="F176" s="116"/>
      <c r="G176" s="116"/>
      <c r="H176" s="110"/>
    </row>
    <row r="177" spans="1:8">
      <c r="A177" s="730" t="s">
        <v>447</v>
      </c>
      <c r="B177" s="112" t="s">
        <v>41</v>
      </c>
      <c r="C177" s="260"/>
      <c r="D177" s="119"/>
      <c r="E177" s="119"/>
      <c r="F177" s="119"/>
      <c r="G177" s="113"/>
      <c r="H177" s="110"/>
    </row>
    <row r="178" spans="1:8">
      <c r="A178" s="731"/>
      <c r="B178" s="115" t="s">
        <v>440</v>
      </c>
      <c r="C178" s="261"/>
      <c r="D178" s="116"/>
      <c r="E178" s="116"/>
      <c r="F178" s="116"/>
      <c r="G178" s="116"/>
      <c r="H178" s="110"/>
    </row>
    <row r="179" spans="1:8">
      <c r="A179" s="728" t="s">
        <v>448</v>
      </c>
      <c r="B179" s="112" t="s">
        <v>443</v>
      </c>
      <c r="C179" s="260"/>
      <c r="D179" s="119"/>
      <c r="E179" s="119"/>
      <c r="F179" s="119"/>
      <c r="G179" s="113"/>
      <c r="H179" s="110"/>
    </row>
    <row r="180" spans="1:8">
      <c r="A180" s="729"/>
      <c r="B180" s="115" t="s">
        <v>440</v>
      </c>
      <c r="C180" s="261"/>
      <c r="D180" s="116"/>
      <c r="E180" s="116"/>
      <c r="F180" s="116"/>
      <c r="G180" s="116"/>
      <c r="H180" s="110"/>
    </row>
    <row r="181" spans="1:8">
      <c r="A181" s="728" t="s">
        <v>449</v>
      </c>
      <c r="B181" s="112" t="s">
        <v>41</v>
      </c>
      <c r="C181" s="260"/>
      <c r="D181" s="119"/>
      <c r="E181" s="119"/>
      <c r="F181" s="119"/>
      <c r="G181" s="113"/>
      <c r="H181" s="110"/>
    </row>
    <row r="182" spans="1:8">
      <c r="A182" s="729"/>
      <c r="B182" s="115" t="s">
        <v>440</v>
      </c>
      <c r="C182" s="261"/>
      <c r="D182" s="116"/>
      <c r="E182" s="116"/>
      <c r="F182" s="116"/>
      <c r="G182" s="116"/>
      <c r="H182" s="110"/>
    </row>
    <row r="183" spans="1:8">
      <c r="A183" s="728" t="s">
        <v>450</v>
      </c>
      <c r="B183" s="112" t="s">
        <v>41</v>
      </c>
      <c r="C183" s="260"/>
      <c r="D183" s="119"/>
      <c r="E183" s="119"/>
      <c r="F183" s="119"/>
      <c r="G183" s="113"/>
      <c r="H183" s="110"/>
    </row>
    <row r="184" spans="1:8">
      <c r="A184" s="729"/>
      <c r="B184" s="115" t="s">
        <v>440</v>
      </c>
      <c r="C184" s="261"/>
      <c r="D184" s="116"/>
      <c r="E184" s="116"/>
      <c r="F184" s="116"/>
      <c r="G184" s="116"/>
      <c r="H184" s="110"/>
    </row>
    <row r="185" spans="1:8">
      <c r="A185" s="115" t="s">
        <v>451</v>
      </c>
      <c r="B185" s="115" t="s">
        <v>440</v>
      </c>
      <c r="C185" s="261"/>
      <c r="D185" s="116"/>
      <c r="E185" s="116"/>
      <c r="F185" s="116"/>
      <c r="G185" s="116"/>
      <c r="H185" s="110"/>
    </row>
    <row r="186" spans="1:8">
      <c r="A186" s="133" t="s">
        <v>452</v>
      </c>
      <c r="B186" s="133" t="s">
        <v>453</v>
      </c>
      <c r="C186" s="262">
        <f>C185+C184+C182+C180+C178+C176+C174+C172+C170+C168+C166+C164+C162+C160+C158+C156+C154+C152</f>
        <v>0</v>
      </c>
      <c r="D186" s="262">
        <f>D185+D184+D182+D180+D178+D176+D174+D172+D170+D168+D166+D164+D162+D160+D158+D156+D154+D152</f>
        <v>0</v>
      </c>
      <c r="E186" s="262">
        <f>E185+E184+E182+E180+E178+E176+E174+E172+E170+E168+E166+E164+E162+E160+E158+E156+E154+E152</f>
        <v>0</v>
      </c>
      <c r="F186" s="262">
        <f>F185+F184+F182+F180+F178+F176+F174+F172+F170+F168+F166+F164+F162+F160+F158+F156+F154+F152</f>
        <v>0</v>
      </c>
      <c r="G186" s="116">
        <f>G185+G184+G182+G180+G178+G176+G174+G172+G170+G168+G166+G164+G162+G160+G158+G156+G154+G152</f>
        <v>0</v>
      </c>
      <c r="H186" s="110"/>
    </row>
    <row r="187" spans="1:8" ht="21">
      <c r="A187" s="285" t="s">
        <v>454</v>
      </c>
      <c r="B187" s="283" t="s">
        <v>453</v>
      </c>
      <c r="C187" s="264">
        <f>C188+C189</f>
        <v>0</v>
      </c>
      <c r="D187" s="284">
        <f>D188+D189</f>
        <v>0</v>
      </c>
      <c r="E187" s="122">
        <f>E188+E189</f>
        <v>0</v>
      </c>
      <c r="F187" s="122">
        <f>F188+F189</f>
        <v>0</v>
      </c>
      <c r="G187" s="209">
        <f>G188+G189</f>
        <v>0</v>
      </c>
      <c r="H187" s="110"/>
    </row>
    <row r="188" spans="1:8">
      <c r="A188" s="132" t="s">
        <v>38</v>
      </c>
      <c r="B188" s="133" t="s">
        <v>453</v>
      </c>
      <c r="C188" s="263"/>
      <c r="D188" s="121"/>
      <c r="E188" s="118"/>
      <c r="F188" s="118"/>
      <c r="G188" s="209"/>
      <c r="H188" s="110"/>
    </row>
    <row r="189" spans="1:8">
      <c r="A189" s="124" t="s">
        <v>455</v>
      </c>
      <c r="B189" s="133" t="s">
        <v>453</v>
      </c>
      <c r="C189" s="265"/>
      <c r="D189" s="122"/>
      <c r="E189" s="166"/>
      <c r="F189" s="166"/>
      <c r="G189" s="209"/>
      <c r="H189" s="110"/>
    </row>
    <row r="190" spans="1:8" ht="21">
      <c r="A190" s="285" t="s">
        <v>456</v>
      </c>
      <c r="B190" s="283" t="s">
        <v>453</v>
      </c>
      <c r="C190" s="265"/>
      <c r="D190" s="284">
        <f>D191+D192</f>
        <v>0</v>
      </c>
      <c r="E190" s="122">
        <f>E191+E192</f>
        <v>0</v>
      </c>
      <c r="F190" s="122">
        <f>F191+F192</f>
        <v>0</v>
      </c>
      <c r="G190" s="209">
        <f>G191+G192</f>
        <v>0</v>
      </c>
      <c r="H190" s="110"/>
    </row>
    <row r="191" spans="1:8">
      <c r="A191" s="132" t="s">
        <v>38</v>
      </c>
      <c r="B191" s="133" t="s">
        <v>453</v>
      </c>
      <c r="C191" s="263"/>
      <c r="D191" s="122"/>
      <c r="E191" s="166"/>
      <c r="F191" s="166"/>
      <c r="G191" s="209"/>
      <c r="H191" s="110"/>
    </row>
    <row r="192" spans="1:8">
      <c r="A192" s="124" t="s">
        <v>455</v>
      </c>
      <c r="B192" s="131" t="s">
        <v>453</v>
      </c>
      <c r="C192" s="265"/>
      <c r="D192" s="122"/>
      <c r="E192" s="166"/>
      <c r="F192" s="166"/>
      <c r="G192" s="209"/>
      <c r="H192" s="110"/>
    </row>
    <row r="193" spans="1:8">
      <c r="A193" s="110"/>
      <c r="B193" s="110"/>
      <c r="C193" s="266"/>
      <c r="D193" s="109"/>
      <c r="E193" s="109"/>
      <c r="F193" s="109"/>
      <c r="G193" s="402"/>
      <c r="H193" s="110"/>
    </row>
    <row r="194" spans="1:8" ht="45">
      <c r="A194" s="217" t="s">
        <v>565</v>
      </c>
      <c r="B194" s="110"/>
      <c r="C194" s="217" t="s">
        <v>602</v>
      </c>
      <c r="D194" t="s">
        <v>566</v>
      </c>
      <c r="E194" s="127" t="s">
        <v>597</v>
      </c>
      <c r="F194" s="359"/>
      <c r="H194" s="110"/>
    </row>
    <row r="196" spans="1:8" ht="27" customHeight="1">
      <c r="A196" s="734" t="s">
        <v>749</v>
      </c>
      <c r="B196" s="734"/>
      <c r="C196" s="734"/>
      <c r="D196" s="734"/>
      <c r="E196" s="734"/>
      <c r="F196" s="734"/>
      <c r="G196" s="734"/>
      <c r="H196" s="128"/>
    </row>
    <row r="197" spans="1:8">
      <c r="A197" s="134"/>
      <c r="B197" s="108"/>
      <c r="C197" s="259"/>
      <c r="D197" s="109"/>
      <c r="E197" s="109"/>
      <c r="F197" s="109"/>
      <c r="G197" s="402"/>
      <c r="H197" s="110"/>
    </row>
    <row r="198" spans="1:8" ht="14.45" customHeight="1">
      <c r="A198" s="732" t="s">
        <v>438</v>
      </c>
      <c r="B198" s="732" t="s">
        <v>439</v>
      </c>
      <c r="C198" s="726" t="s">
        <v>745</v>
      </c>
      <c r="D198" s="214" t="s">
        <v>526</v>
      </c>
      <c r="E198" s="215" t="s">
        <v>526</v>
      </c>
      <c r="F198" s="215" t="s">
        <v>601</v>
      </c>
      <c r="G198" s="407" t="s">
        <v>526</v>
      </c>
      <c r="H198" s="110"/>
    </row>
    <row r="199" spans="1:8">
      <c r="A199" s="732"/>
      <c r="B199" s="732"/>
      <c r="C199" s="727"/>
      <c r="D199" s="111" t="s">
        <v>459</v>
      </c>
      <c r="E199" s="111" t="s">
        <v>485</v>
      </c>
      <c r="F199" s="111" t="s">
        <v>486</v>
      </c>
      <c r="G199" s="111" t="s">
        <v>746</v>
      </c>
      <c r="H199" s="110"/>
    </row>
    <row r="200" spans="1:8">
      <c r="A200" s="728" t="s">
        <v>9</v>
      </c>
      <c r="B200" s="112" t="s">
        <v>41</v>
      </c>
      <c r="C200" s="260"/>
      <c r="D200" s="113"/>
      <c r="E200" s="113"/>
      <c r="F200" s="113"/>
      <c r="G200" s="113"/>
      <c r="H200" s="110"/>
    </row>
    <row r="201" spans="1:8">
      <c r="A201" s="729"/>
      <c r="B201" s="115" t="s">
        <v>440</v>
      </c>
      <c r="C201" s="261"/>
      <c r="D201" s="116"/>
      <c r="E201" s="116"/>
      <c r="F201" s="116"/>
      <c r="G201" s="116"/>
      <c r="H201" s="110"/>
    </row>
    <row r="202" spans="1:8">
      <c r="A202" s="730" t="s">
        <v>10</v>
      </c>
      <c r="B202" s="112" t="s">
        <v>441</v>
      </c>
      <c r="C202" s="260"/>
      <c r="D202" s="113"/>
      <c r="E202" s="113"/>
      <c r="F202" s="113"/>
      <c r="G202" s="113"/>
      <c r="H202" s="110"/>
    </row>
    <row r="203" spans="1:8">
      <c r="A203" s="731"/>
      <c r="B203" s="115" t="s">
        <v>440</v>
      </c>
      <c r="C203" s="261"/>
      <c r="D203" s="116"/>
      <c r="E203" s="116"/>
      <c r="F203" s="116"/>
      <c r="G203" s="116"/>
      <c r="H203" s="110"/>
    </row>
    <row r="204" spans="1:8">
      <c r="A204" s="730" t="s">
        <v>11</v>
      </c>
      <c r="B204" s="112" t="s">
        <v>331</v>
      </c>
      <c r="C204" s="260"/>
      <c r="D204" s="113"/>
      <c r="E204" s="113"/>
      <c r="F204" s="113"/>
      <c r="G204" s="113"/>
      <c r="H204" s="110"/>
    </row>
    <row r="205" spans="1:8">
      <c r="A205" s="731"/>
      <c r="B205" s="115" t="s">
        <v>440</v>
      </c>
      <c r="C205" s="261"/>
      <c r="D205" s="116"/>
      <c r="E205" s="116"/>
      <c r="F205" s="116"/>
      <c r="G205" s="116"/>
      <c r="H205" s="110"/>
    </row>
    <row r="206" spans="1:8">
      <c r="A206" s="730" t="s">
        <v>442</v>
      </c>
      <c r="B206" s="112" t="s">
        <v>443</v>
      </c>
      <c r="C206" s="260"/>
      <c r="D206" s="113"/>
      <c r="E206" s="113"/>
      <c r="F206" s="113"/>
      <c r="G206" s="113"/>
      <c r="H206" s="110"/>
    </row>
    <row r="207" spans="1:8">
      <c r="A207" s="731"/>
      <c r="B207" s="115" t="s">
        <v>440</v>
      </c>
      <c r="C207" s="261"/>
      <c r="D207" s="116"/>
      <c r="E207" s="116"/>
      <c r="F207" s="116"/>
      <c r="G207" s="116"/>
      <c r="H207" s="110"/>
    </row>
    <row r="208" spans="1:8">
      <c r="A208" s="728" t="s">
        <v>13</v>
      </c>
      <c r="B208" s="112" t="s">
        <v>331</v>
      </c>
      <c r="C208" s="260"/>
      <c r="D208" s="113"/>
      <c r="E208" s="113"/>
      <c r="F208" s="113"/>
      <c r="G208" s="113"/>
      <c r="H208" s="110"/>
    </row>
    <row r="209" spans="1:8">
      <c r="A209" s="729"/>
      <c r="B209" s="115" t="s">
        <v>440</v>
      </c>
      <c r="C209" s="261"/>
      <c r="D209" s="116"/>
      <c r="E209" s="116"/>
      <c r="F209" s="116"/>
      <c r="G209" s="116"/>
      <c r="H209" s="110"/>
    </row>
    <row r="210" spans="1:8">
      <c r="A210" s="728" t="s">
        <v>444</v>
      </c>
      <c r="B210" s="112" t="s">
        <v>41</v>
      </c>
      <c r="C210" s="260"/>
      <c r="D210" s="113"/>
      <c r="E210" s="113"/>
      <c r="F210" s="113"/>
      <c r="G210" s="113"/>
      <c r="H210" s="110"/>
    </row>
    <row r="211" spans="1:8">
      <c r="A211" s="729"/>
      <c r="B211" s="115" t="s">
        <v>440</v>
      </c>
      <c r="C211" s="261"/>
      <c r="D211" s="116"/>
      <c r="E211" s="116"/>
      <c r="F211" s="116"/>
      <c r="G211" s="116"/>
      <c r="H211" s="110"/>
    </row>
    <row r="212" spans="1:8">
      <c r="A212" s="728" t="s">
        <v>14</v>
      </c>
      <c r="B212" s="112" t="s">
        <v>331</v>
      </c>
      <c r="C212" s="260"/>
      <c r="D212" s="113"/>
      <c r="E212" s="113"/>
      <c r="F212" s="113"/>
      <c r="G212" s="113"/>
      <c r="H212" s="110"/>
    </row>
    <row r="213" spans="1:8">
      <c r="A213" s="729"/>
      <c r="B213" s="115" t="s">
        <v>440</v>
      </c>
      <c r="C213" s="261"/>
      <c r="D213" s="116"/>
      <c r="E213" s="116"/>
      <c r="F213" s="116"/>
      <c r="G213" s="116"/>
      <c r="H213" s="110"/>
    </row>
    <row r="214" spans="1:8">
      <c r="A214" s="728" t="s">
        <v>15</v>
      </c>
      <c r="B214" s="112" t="s">
        <v>331</v>
      </c>
      <c r="C214" s="260"/>
      <c r="D214" s="113"/>
      <c r="E214" s="113"/>
      <c r="F214" s="113"/>
      <c r="G214" s="113"/>
      <c r="H214" s="110"/>
    </row>
    <row r="215" spans="1:8">
      <c r="A215" s="729"/>
      <c r="B215" s="115" t="s">
        <v>440</v>
      </c>
      <c r="C215" s="261"/>
      <c r="D215" s="116"/>
      <c r="E215" s="116"/>
      <c r="F215" s="116"/>
      <c r="G215" s="116"/>
      <c r="H215" s="110"/>
    </row>
    <row r="216" spans="1:8">
      <c r="A216" s="728" t="s">
        <v>16</v>
      </c>
      <c r="B216" s="112" t="s">
        <v>331</v>
      </c>
      <c r="C216" s="260"/>
      <c r="D216" s="113"/>
      <c r="E216" s="113"/>
      <c r="F216" s="113"/>
      <c r="G216" s="113"/>
      <c r="H216" s="110"/>
    </row>
    <row r="217" spans="1:8">
      <c r="A217" s="729"/>
      <c r="B217" s="115" t="s">
        <v>440</v>
      </c>
      <c r="C217" s="261"/>
      <c r="D217" s="116"/>
      <c r="E217" s="116"/>
      <c r="F217" s="116"/>
      <c r="G217" s="116"/>
      <c r="H217" s="110"/>
    </row>
    <row r="218" spans="1:8">
      <c r="A218" s="730" t="s">
        <v>445</v>
      </c>
      <c r="B218" s="112" t="s">
        <v>331</v>
      </c>
      <c r="C218" s="260"/>
      <c r="D218" s="118"/>
      <c r="E218" s="118"/>
      <c r="F218" s="118"/>
      <c r="G218" s="403"/>
      <c r="H218" s="110"/>
    </row>
    <row r="219" spans="1:8">
      <c r="A219" s="731"/>
      <c r="B219" s="115" t="s">
        <v>440</v>
      </c>
      <c r="C219" s="261"/>
      <c r="D219" s="116"/>
      <c r="E219" s="116"/>
      <c r="F219" s="116"/>
      <c r="G219" s="116"/>
      <c r="H219" s="110"/>
    </row>
    <row r="220" spans="1:8">
      <c r="A220" s="730" t="s">
        <v>18</v>
      </c>
      <c r="B220" s="112" t="s">
        <v>331</v>
      </c>
      <c r="C220" s="260"/>
      <c r="D220" s="113"/>
      <c r="E220" s="113"/>
      <c r="F220" s="113"/>
      <c r="G220" s="113"/>
      <c r="H220" s="110"/>
    </row>
    <row r="221" spans="1:8">
      <c r="A221" s="731"/>
      <c r="B221" s="115" t="s">
        <v>440</v>
      </c>
      <c r="C221" s="261"/>
      <c r="D221" s="116"/>
      <c r="E221" s="116"/>
      <c r="F221" s="116"/>
      <c r="G221" s="116"/>
      <c r="H221" s="110"/>
    </row>
    <row r="222" spans="1:8">
      <c r="A222" s="730" t="s">
        <v>446</v>
      </c>
      <c r="B222" s="112" t="s">
        <v>331</v>
      </c>
      <c r="C222" s="260"/>
      <c r="D222" s="113"/>
      <c r="E222" s="113"/>
      <c r="F222" s="113"/>
      <c r="G222" s="113"/>
      <c r="H222" s="110"/>
    </row>
    <row r="223" spans="1:8">
      <c r="A223" s="731"/>
      <c r="B223" s="115" t="s">
        <v>440</v>
      </c>
      <c r="C223" s="261"/>
      <c r="D223" s="116"/>
      <c r="E223" s="116"/>
      <c r="F223" s="116"/>
      <c r="G223" s="116"/>
      <c r="H223" s="110"/>
    </row>
    <row r="224" spans="1:8">
      <c r="A224" s="730" t="s">
        <v>20</v>
      </c>
      <c r="B224" s="112" t="s">
        <v>331</v>
      </c>
      <c r="C224" s="260"/>
      <c r="D224" s="119"/>
      <c r="E224" s="119"/>
      <c r="F224" s="119"/>
      <c r="G224" s="113"/>
      <c r="H224" s="110"/>
    </row>
    <row r="225" spans="1:8">
      <c r="A225" s="731"/>
      <c r="B225" s="115" t="s">
        <v>440</v>
      </c>
      <c r="C225" s="261"/>
      <c r="D225" s="116"/>
      <c r="E225" s="116"/>
      <c r="F225" s="116"/>
      <c r="G225" s="116"/>
      <c r="H225" s="110"/>
    </row>
    <row r="226" spans="1:8">
      <c r="A226" s="730" t="s">
        <v>447</v>
      </c>
      <c r="B226" s="112" t="s">
        <v>41</v>
      </c>
      <c r="C226" s="260"/>
      <c r="D226" s="119"/>
      <c r="E226" s="119"/>
      <c r="F226" s="119"/>
      <c r="G226" s="113"/>
      <c r="H226" s="110"/>
    </row>
    <row r="227" spans="1:8">
      <c r="A227" s="731"/>
      <c r="B227" s="115" t="s">
        <v>440</v>
      </c>
      <c r="C227" s="261"/>
      <c r="D227" s="116"/>
      <c r="E227" s="116"/>
      <c r="F227" s="116"/>
      <c r="G227" s="116"/>
      <c r="H227" s="110"/>
    </row>
    <row r="228" spans="1:8">
      <c r="A228" s="728" t="s">
        <v>448</v>
      </c>
      <c r="B228" s="112" t="s">
        <v>443</v>
      </c>
      <c r="C228" s="260"/>
      <c r="D228" s="119"/>
      <c r="E228" s="119"/>
      <c r="F228" s="119"/>
      <c r="G228" s="113"/>
      <c r="H228" s="110"/>
    </row>
    <row r="229" spans="1:8">
      <c r="A229" s="729"/>
      <c r="B229" s="115" t="s">
        <v>440</v>
      </c>
      <c r="C229" s="261"/>
      <c r="D229" s="116"/>
      <c r="E229" s="116"/>
      <c r="F229" s="116"/>
      <c r="G229" s="116"/>
      <c r="H229" s="110"/>
    </row>
    <row r="230" spans="1:8">
      <c r="A230" s="728" t="s">
        <v>449</v>
      </c>
      <c r="B230" s="112" t="s">
        <v>41</v>
      </c>
      <c r="C230" s="260"/>
      <c r="D230" s="119"/>
      <c r="E230" s="119"/>
      <c r="F230" s="119"/>
      <c r="G230" s="113"/>
      <c r="H230" s="110"/>
    </row>
    <row r="231" spans="1:8">
      <c r="A231" s="729"/>
      <c r="B231" s="115" t="s">
        <v>440</v>
      </c>
      <c r="C231" s="261"/>
      <c r="D231" s="116"/>
      <c r="E231" s="116"/>
      <c r="F231" s="116"/>
      <c r="G231" s="116"/>
      <c r="H231" s="110"/>
    </row>
    <row r="232" spans="1:8">
      <c r="A232" s="728" t="s">
        <v>450</v>
      </c>
      <c r="B232" s="112" t="s">
        <v>41</v>
      </c>
      <c r="C232" s="260"/>
      <c r="D232" s="119"/>
      <c r="E232" s="119"/>
      <c r="F232" s="119"/>
      <c r="G232" s="113"/>
      <c r="H232" s="110"/>
    </row>
    <row r="233" spans="1:8">
      <c r="A233" s="729"/>
      <c r="B233" s="115" t="s">
        <v>440</v>
      </c>
      <c r="C233" s="261"/>
      <c r="D233" s="116"/>
      <c r="E233" s="116"/>
      <c r="F233" s="116"/>
      <c r="G233" s="116"/>
      <c r="H233" s="110"/>
    </row>
    <row r="234" spans="1:8">
      <c r="A234" s="115" t="s">
        <v>451</v>
      </c>
      <c r="B234" s="115" t="s">
        <v>440</v>
      </c>
      <c r="C234" s="261"/>
      <c r="D234" s="116"/>
      <c r="E234" s="116"/>
      <c r="F234" s="116"/>
      <c r="G234" s="116"/>
      <c r="H234" s="110"/>
    </row>
    <row r="235" spans="1:8">
      <c r="A235" s="133" t="s">
        <v>452</v>
      </c>
      <c r="B235" s="133" t="s">
        <v>453</v>
      </c>
      <c r="C235" s="262">
        <f>C234+C233+C231+C229+C227+C225+C223+C221+C219+C217+C215+C213+C211+C209+C207+C205+C203+C201</f>
        <v>0</v>
      </c>
      <c r="D235" s="262">
        <f>D234+D233+D231+D229+D227+D225+D223+D221+D219+D217+D215+D213+D211+D209+D207+D205+D203+D201</f>
        <v>0</v>
      </c>
      <c r="E235" s="262">
        <f>E234+E233+E231+E229+E227+E225+E223+E221+E219+E217+E215+E213+E211+E209+E207+E205+E203+E201</f>
        <v>0</v>
      </c>
      <c r="F235" s="262">
        <f>F234+F233+F231+F229+F227+F225+F223+F221+F219+F217+F215+F213+F211+F209+F207+F205+F203+F201</f>
        <v>0</v>
      </c>
      <c r="G235" s="116">
        <f>G234+G233+G231+G229+G227+G225+G223+G221+G219+G217+G215+G213+G211+G209+G207+G205+G203+G201</f>
        <v>0</v>
      </c>
      <c r="H235" s="110"/>
    </row>
    <row r="236" spans="1:8" ht="21">
      <c r="A236" s="285" t="s">
        <v>454</v>
      </c>
      <c r="B236" s="283" t="s">
        <v>453</v>
      </c>
      <c r="C236" s="264">
        <f>C237+C238</f>
        <v>0</v>
      </c>
      <c r="D236" s="209">
        <f>D237+D238</f>
        <v>0</v>
      </c>
      <c r="E236" s="122">
        <f>E237+E238</f>
        <v>0</v>
      </c>
      <c r="F236" s="122">
        <f>F237+F238</f>
        <v>0</v>
      </c>
      <c r="G236" s="209">
        <f>G237+G238</f>
        <v>0</v>
      </c>
      <c r="H236" s="110"/>
    </row>
    <row r="237" spans="1:8">
      <c r="A237" s="132" t="s">
        <v>38</v>
      </c>
      <c r="B237" s="133" t="s">
        <v>453</v>
      </c>
      <c r="C237" s="263"/>
      <c r="D237" s="209"/>
      <c r="E237" s="118"/>
      <c r="F237" s="118"/>
      <c r="G237" s="209"/>
      <c r="H237" s="110"/>
    </row>
    <row r="238" spans="1:8">
      <c r="A238" s="124" t="s">
        <v>455</v>
      </c>
      <c r="B238" s="133" t="s">
        <v>453</v>
      </c>
      <c r="C238" s="265"/>
      <c r="D238" s="122"/>
      <c r="E238" s="166"/>
      <c r="F238" s="122"/>
      <c r="G238" s="209"/>
      <c r="H238" s="110"/>
    </row>
    <row r="239" spans="1:8" ht="21">
      <c r="A239" s="285" t="s">
        <v>456</v>
      </c>
      <c r="B239" s="283" t="s">
        <v>453</v>
      </c>
      <c r="C239" s="265"/>
      <c r="D239" s="122">
        <f>D240+D241</f>
        <v>0</v>
      </c>
      <c r="E239" s="122">
        <f>E240+E241</f>
        <v>0</v>
      </c>
      <c r="F239" s="122">
        <f>F240+F241</f>
        <v>0</v>
      </c>
      <c r="G239" s="209">
        <f>G240+G241</f>
        <v>0</v>
      </c>
      <c r="H239" s="110"/>
    </row>
    <row r="240" spans="1:8">
      <c r="A240" s="132" t="s">
        <v>38</v>
      </c>
      <c r="B240" s="133" t="s">
        <v>453</v>
      </c>
      <c r="C240" s="263"/>
      <c r="D240" s="122"/>
      <c r="E240" s="118"/>
      <c r="F240" s="118"/>
      <c r="G240" s="209"/>
      <c r="H240" s="110"/>
    </row>
    <row r="241" spans="1:8">
      <c r="A241" s="124" t="s">
        <v>455</v>
      </c>
      <c r="B241" s="131" t="s">
        <v>453</v>
      </c>
      <c r="C241" s="265"/>
      <c r="D241" s="122"/>
      <c r="E241" s="166"/>
      <c r="F241" s="122"/>
      <c r="G241" s="209"/>
      <c r="H241" s="110"/>
    </row>
    <row r="242" spans="1:8">
      <c r="A242" s="733"/>
      <c r="B242" s="733"/>
      <c r="C242" s="733"/>
      <c r="D242" s="733"/>
      <c r="E242" s="156"/>
      <c r="F242" s="163"/>
      <c r="G242" s="405"/>
      <c r="H242" s="126"/>
    </row>
    <row r="243" spans="1:8" ht="45">
      <c r="A243" s="217" t="s">
        <v>565</v>
      </c>
      <c r="B243" s="110"/>
      <c r="C243" s="217" t="s">
        <v>602</v>
      </c>
      <c r="D243" t="s">
        <v>566</v>
      </c>
      <c r="E243" s="127" t="s">
        <v>597</v>
      </c>
      <c r="F243" s="359"/>
      <c r="H243" s="110"/>
    </row>
    <row r="244" spans="1:8">
      <c r="A244" s="110"/>
      <c r="B244" s="110"/>
      <c r="C244" s="266"/>
      <c r="D244" s="109"/>
      <c r="E244" s="109"/>
      <c r="F244" s="109"/>
      <c r="G244" s="402"/>
      <c r="H244" s="110"/>
    </row>
    <row r="245" spans="1:8">
      <c r="A245" s="110"/>
      <c r="B245" s="110"/>
      <c r="C245" s="266"/>
      <c r="D245" s="109"/>
      <c r="E245" s="109"/>
      <c r="F245" s="109"/>
      <c r="G245" s="402"/>
      <c r="H245" s="110"/>
    </row>
    <row r="246" spans="1:8" ht="26.65" customHeight="1">
      <c r="A246" s="734" t="s">
        <v>750</v>
      </c>
      <c r="B246" s="734"/>
      <c r="C246" s="734"/>
      <c r="D246" s="734"/>
      <c r="E246" s="734"/>
      <c r="F246" s="734"/>
      <c r="G246" s="734"/>
      <c r="H246" s="128"/>
    </row>
    <row r="247" spans="1:8">
      <c r="A247" s="734" t="s">
        <v>458</v>
      </c>
      <c r="B247" s="734"/>
      <c r="C247" s="734"/>
      <c r="D247" s="734"/>
      <c r="E247" s="734"/>
      <c r="F247" s="734"/>
      <c r="G247" s="734"/>
      <c r="H247" s="110"/>
    </row>
    <row r="248" spans="1:8" ht="14.45" customHeight="1">
      <c r="A248" s="732" t="s">
        <v>438</v>
      </c>
      <c r="B248" s="732" t="s">
        <v>439</v>
      </c>
      <c r="C248" s="726" t="s">
        <v>745</v>
      </c>
      <c r="D248" s="214" t="s">
        <v>526</v>
      </c>
      <c r="E248" s="215" t="s">
        <v>526</v>
      </c>
      <c r="F248" s="215" t="s">
        <v>601</v>
      </c>
      <c r="G248" s="407" t="s">
        <v>526</v>
      </c>
      <c r="H248" s="110"/>
    </row>
    <row r="249" spans="1:8">
      <c r="A249" s="732"/>
      <c r="B249" s="732"/>
      <c r="C249" s="727"/>
      <c r="D249" s="111" t="s">
        <v>459</v>
      </c>
      <c r="E249" s="111" t="s">
        <v>485</v>
      </c>
      <c r="F249" s="111" t="s">
        <v>486</v>
      </c>
      <c r="G249" s="111" t="s">
        <v>746</v>
      </c>
      <c r="H249" s="110"/>
    </row>
    <row r="250" spans="1:8">
      <c r="A250" s="728" t="s">
        <v>9</v>
      </c>
      <c r="B250" s="112" t="s">
        <v>41</v>
      </c>
      <c r="C250" s="260"/>
      <c r="D250" s="113"/>
      <c r="E250" s="113"/>
      <c r="F250" s="113"/>
      <c r="G250" s="113"/>
      <c r="H250" s="110"/>
    </row>
    <row r="251" spans="1:8">
      <c r="A251" s="729"/>
      <c r="B251" s="115" t="s">
        <v>440</v>
      </c>
      <c r="C251" s="261"/>
      <c r="D251" s="116"/>
      <c r="E251" s="116"/>
      <c r="F251" s="113"/>
      <c r="G251" s="116"/>
      <c r="H251" s="110"/>
    </row>
    <row r="252" spans="1:8">
      <c r="A252" s="730" t="s">
        <v>10</v>
      </c>
      <c r="B252" s="112" t="s">
        <v>441</v>
      </c>
      <c r="C252" s="260"/>
      <c r="D252" s="113"/>
      <c r="E252" s="113"/>
      <c r="F252" s="113"/>
      <c r="G252" s="113"/>
      <c r="H252" s="110"/>
    </row>
    <row r="253" spans="1:8">
      <c r="A253" s="731"/>
      <c r="B253" s="115" t="s">
        <v>440</v>
      </c>
      <c r="C253" s="261"/>
      <c r="D253" s="116"/>
      <c r="E253" s="116"/>
      <c r="F253" s="113"/>
      <c r="G253" s="116"/>
      <c r="H253" s="110"/>
    </row>
    <row r="254" spans="1:8">
      <c r="A254" s="730" t="s">
        <v>11</v>
      </c>
      <c r="B254" s="112" t="s">
        <v>331</v>
      </c>
      <c r="C254" s="260"/>
      <c r="D254" s="113"/>
      <c r="E254" s="113"/>
      <c r="F254" s="113"/>
      <c r="G254" s="113"/>
      <c r="H254" s="110"/>
    </row>
    <row r="255" spans="1:8">
      <c r="A255" s="731"/>
      <c r="B255" s="115" t="s">
        <v>440</v>
      </c>
      <c r="C255" s="261"/>
      <c r="D255" s="116"/>
      <c r="E255" s="116"/>
      <c r="F255" s="113"/>
      <c r="G255" s="116"/>
      <c r="H255" s="110"/>
    </row>
    <row r="256" spans="1:8">
      <c r="A256" s="730" t="s">
        <v>442</v>
      </c>
      <c r="B256" s="112" t="s">
        <v>443</v>
      </c>
      <c r="C256" s="260"/>
      <c r="D256" s="113"/>
      <c r="E256" s="113"/>
      <c r="F256" s="113"/>
      <c r="G256" s="113"/>
      <c r="H256" s="110"/>
    </row>
    <row r="257" spans="1:8">
      <c r="A257" s="731"/>
      <c r="B257" s="115" t="s">
        <v>440</v>
      </c>
      <c r="C257" s="261"/>
      <c r="D257" s="116"/>
      <c r="E257" s="116"/>
      <c r="F257" s="113"/>
      <c r="G257" s="116"/>
      <c r="H257" s="110"/>
    </row>
    <row r="258" spans="1:8">
      <c r="A258" s="728" t="s">
        <v>13</v>
      </c>
      <c r="B258" s="112" t="s">
        <v>331</v>
      </c>
      <c r="C258" s="260"/>
      <c r="D258" s="113"/>
      <c r="E258" s="113"/>
      <c r="F258" s="113"/>
      <c r="G258" s="113"/>
      <c r="H258" s="110"/>
    </row>
    <row r="259" spans="1:8">
      <c r="A259" s="729"/>
      <c r="B259" s="115" t="s">
        <v>440</v>
      </c>
      <c r="C259" s="261"/>
      <c r="D259" s="116"/>
      <c r="E259" s="116"/>
      <c r="F259" s="113"/>
      <c r="G259" s="116"/>
      <c r="H259" s="110"/>
    </row>
    <row r="260" spans="1:8">
      <c r="A260" s="728" t="s">
        <v>444</v>
      </c>
      <c r="B260" s="112" t="s">
        <v>41</v>
      </c>
      <c r="C260" s="260"/>
      <c r="D260" s="113"/>
      <c r="E260" s="113"/>
      <c r="F260" s="113"/>
      <c r="G260" s="113"/>
      <c r="H260" s="110"/>
    </row>
    <row r="261" spans="1:8">
      <c r="A261" s="729"/>
      <c r="B261" s="115" t="s">
        <v>440</v>
      </c>
      <c r="C261" s="261"/>
      <c r="D261" s="116"/>
      <c r="E261" s="116"/>
      <c r="F261" s="113"/>
      <c r="G261" s="116"/>
      <c r="H261" s="110"/>
    </row>
    <row r="262" spans="1:8">
      <c r="A262" s="728" t="s">
        <v>14</v>
      </c>
      <c r="B262" s="112" t="s">
        <v>331</v>
      </c>
      <c r="C262" s="260"/>
      <c r="D262" s="113"/>
      <c r="E262" s="113"/>
      <c r="F262" s="113"/>
      <c r="G262" s="113"/>
      <c r="H262" s="110"/>
    </row>
    <row r="263" spans="1:8">
      <c r="A263" s="729"/>
      <c r="B263" s="115" t="s">
        <v>440</v>
      </c>
      <c r="C263" s="261"/>
      <c r="D263" s="116"/>
      <c r="E263" s="116"/>
      <c r="F263" s="113"/>
      <c r="G263" s="116"/>
      <c r="H263" s="110"/>
    </row>
    <row r="264" spans="1:8">
      <c r="A264" s="728" t="s">
        <v>15</v>
      </c>
      <c r="B264" s="112" t="s">
        <v>331</v>
      </c>
      <c r="C264" s="260"/>
      <c r="D264" s="113"/>
      <c r="E264" s="113"/>
      <c r="F264" s="113"/>
      <c r="G264" s="113"/>
      <c r="H264" s="110"/>
    </row>
    <row r="265" spans="1:8">
      <c r="A265" s="729"/>
      <c r="B265" s="115" t="s">
        <v>440</v>
      </c>
      <c r="C265" s="261"/>
      <c r="D265" s="116"/>
      <c r="E265" s="116"/>
      <c r="F265" s="113"/>
      <c r="G265" s="116"/>
      <c r="H265" s="110"/>
    </row>
    <row r="266" spans="1:8">
      <c r="A266" s="728" t="s">
        <v>16</v>
      </c>
      <c r="B266" s="112" t="s">
        <v>331</v>
      </c>
      <c r="C266" s="260"/>
      <c r="D266" s="113"/>
      <c r="E266" s="113"/>
      <c r="F266" s="113"/>
      <c r="G266" s="113"/>
      <c r="H266" s="110"/>
    </row>
    <row r="267" spans="1:8">
      <c r="A267" s="729"/>
      <c r="B267" s="115" t="s">
        <v>440</v>
      </c>
      <c r="C267" s="261"/>
      <c r="D267" s="116"/>
      <c r="E267" s="116"/>
      <c r="F267" s="113"/>
      <c r="G267" s="116"/>
      <c r="H267" s="110"/>
    </row>
    <row r="268" spans="1:8">
      <c r="A268" s="730" t="s">
        <v>445</v>
      </c>
      <c r="B268" s="112" t="s">
        <v>331</v>
      </c>
      <c r="C268" s="260"/>
      <c r="D268" s="118"/>
      <c r="E268" s="118"/>
      <c r="F268" s="113"/>
      <c r="G268" s="403"/>
      <c r="H268" s="110"/>
    </row>
    <row r="269" spans="1:8">
      <c r="A269" s="731"/>
      <c r="B269" s="115" t="s">
        <v>440</v>
      </c>
      <c r="C269" s="261"/>
      <c r="D269" s="116"/>
      <c r="E269" s="116"/>
      <c r="F269" s="113"/>
      <c r="G269" s="116"/>
      <c r="H269" s="110"/>
    </row>
    <row r="270" spans="1:8">
      <c r="A270" s="730" t="s">
        <v>18</v>
      </c>
      <c r="B270" s="112" t="s">
        <v>331</v>
      </c>
      <c r="C270" s="260"/>
      <c r="D270" s="113"/>
      <c r="E270" s="113"/>
      <c r="F270" s="113"/>
      <c r="G270" s="113"/>
      <c r="H270" s="110"/>
    </row>
    <row r="271" spans="1:8">
      <c r="A271" s="731"/>
      <c r="B271" s="115" t="s">
        <v>440</v>
      </c>
      <c r="C271" s="261"/>
      <c r="D271" s="116"/>
      <c r="E271" s="116"/>
      <c r="F271" s="113"/>
      <c r="G271" s="116"/>
      <c r="H271" s="110"/>
    </row>
    <row r="272" spans="1:8">
      <c r="A272" s="730" t="s">
        <v>446</v>
      </c>
      <c r="B272" s="112" t="s">
        <v>331</v>
      </c>
      <c r="C272" s="260"/>
      <c r="D272" s="113"/>
      <c r="E272" s="113"/>
      <c r="F272" s="113"/>
      <c r="G272" s="113"/>
      <c r="H272" s="110"/>
    </row>
    <row r="273" spans="1:8">
      <c r="A273" s="731"/>
      <c r="B273" s="115" t="s">
        <v>440</v>
      </c>
      <c r="C273" s="261"/>
      <c r="D273" s="116"/>
      <c r="E273" s="116"/>
      <c r="F273" s="113"/>
      <c r="G273" s="116"/>
      <c r="H273" s="110"/>
    </row>
    <row r="274" spans="1:8">
      <c r="A274" s="730" t="s">
        <v>20</v>
      </c>
      <c r="B274" s="112" t="s">
        <v>331</v>
      </c>
      <c r="C274" s="260"/>
      <c r="D274" s="119"/>
      <c r="E274" s="119"/>
      <c r="F274" s="113"/>
      <c r="G274" s="113"/>
      <c r="H274" s="110"/>
    </row>
    <row r="275" spans="1:8">
      <c r="A275" s="731"/>
      <c r="B275" s="115" t="s">
        <v>440</v>
      </c>
      <c r="C275" s="261"/>
      <c r="D275" s="116"/>
      <c r="E275" s="116"/>
      <c r="F275" s="113"/>
      <c r="G275" s="116"/>
      <c r="H275" s="110"/>
    </row>
    <row r="276" spans="1:8">
      <c r="A276" s="730" t="s">
        <v>447</v>
      </c>
      <c r="B276" s="112" t="s">
        <v>41</v>
      </c>
      <c r="C276" s="260"/>
      <c r="D276" s="119"/>
      <c r="E276" s="119"/>
      <c r="F276" s="113"/>
      <c r="G276" s="113"/>
      <c r="H276" s="110"/>
    </row>
    <row r="277" spans="1:8">
      <c r="A277" s="731"/>
      <c r="B277" s="115" t="s">
        <v>440</v>
      </c>
      <c r="C277" s="261"/>
      <c r="D277" s="116"/>
      <c r="E277" s="116"/>
      <c r="F277" s="113"/>
      <c r="G277" s="116"/>
      <c r="H277" s="110"/>
    </row>
    <row r="278" spans="1:8">
      <c r="A278" s="728" t="s">
        <v>448</v>
      </c>
      <c r="B278" s="112" t="s">
        <v>443</v>
      </c>
      <c r="C278" s="260"/>
      <c r="D278" s="119"/>
      <c r="E278" s="119"/>
      <c r="F278" s="113"/>
      <c r="G278" s="113"/>
      <c r="H278" s="110"/>
    </row>
    <row r="279" spans="1:8">
      <c r="A279" s="729"/>
      <c r="B279" s="115" t="s">
        <v>440</v>
      </c>
      <c r="C279" s="261"/>
      <c r="D279" s="116"/>
      <c r="E279" s="116"/>
      <c r="F279" s="113"/>
      <c r="G279" s="116"/>
      <c r="H279" s="110"/>
    </row>
    <row r="280" spans="1:8">
      <c r="A280" s="728" t="s">
        <v>449</v>
      </c>
      <c r="B280" s="112" t="s">
        <v>41</v>
      </c>
      <c r="C280" s="260"/>
      <c r="D280" s="119"/>
      <c r="E280" s="119"/>
      <c r="F280" s="113"/>
      <c r="G280" s="113"/>
      <c r="H280" s="110"/>
    </row>
    <row r="281" spans="1:8">
      <c r="A281" s="729"/>
      <c r="B281" s="115" t="s">
        <v>440</v>
      </c>
      <c r="C281" s="261"/>
      <c r="D281" s="116"/>
      <c r="E281" s="116"/>
      <c r="F281" s="113"/>
      <c r="G281" s="116"/>
      <c r="H281" s="110"/>
    </row>
    <row r="282" spans="1:8">
      <c r="A282" s="728" t="s">
        <v>450</v>
      </c>
      <c r="B282" s="112" t="s">
        <v>41</v>
      </c>
      <c r="C282" s="260"/>
      <c r="D282" s="119"/>
      <c r="E282" s="119"/>
      <c r="F282" s="113"/>
      <c r="G282" s="113"/>
      <c r="H282" s="110"/>
    </row>
    <row r="283" spans="1:8">
      <c r="A283" s="729"/>
      <c r="B283" s="115" t="s">
        <v>440</v>
      </c>
      <c r="C283" s="261"/>
      <c r="D283" s="116"/>
      <c r="E283" s="116"/>
      <c r="F283" s="113"/>
      <c r="G283" s="116"/>
      <c r="H283" s="110"/>
    </row>
    <row r="284" spans="1:8">
      <c r="A284" s="115" t="s">
        <v>451</v>
      </c>
      <c r="B284" s="115" t="s">
        <v>440</v>
      </c>
      <c r="C284" s="261"/>
      <c r="D284" s="116"/>
      <c r="E284" s="116"/>
      <c r="F284" s="116"/>
      <c r="G284" s="116"/>
      <c r="H284" s="110"/>
    </row>
    <row r="285" spans="1:8">
      <c r="A285" s="133" t="s">
        <v>452</v>
      </c>
      <c r="B285" s="133" t="s">
        <v>453</v>
      </c>
      <c r="C285" s="262">
        <f>C284+C283+C281+C279+C277+C275+C273+C271+C269+C267+C265+C263+C261+C259+C257+C255+C253+C251</f>
        <v>0</v>
      </c>
      <c r="D285" s="262">
        <f>D284+D283+D281+D279+D277+D275+D273+D271+D269+D267+D265+D263+D261+D259+D257+D255+D253+D251</f>
        <v>0</v>
      </c>
      <c r="E285" s="262">
        <f>E284+E283+E281+E279+E277+E275+E273+E271+E269+E267+E265+E263+E261+E259+E257+E255+E253+E251</f>
        <v>0</v>
      </c>
      <c r="F285" s="262">
        <f>F284+F283+F281+F279+F277+F275+F273+F271+F269+F267+F265+F263+F261+F259+F257+F255+F253+F251</f>
        <v>0</v>
      </c>
      <c r="G285" s="116">
        <f>G284+G283+G281+G279+G277+G275+G273+G271+G269+G267+G265+G263+G261+G259+G257+G255+G253+G251</f>
        <v>0</v>
      </c>
      <c r="H285" s="110"/>
    </row>
    <row r="286" spans="1:8" ht="23.1" customHeight="1">
      <c r="A286" s="285" t="s">
        <v>454</v>
      </c>
      <c r="B286" s="283" t="s">
        <v>453</v>
      </c>
      <c r="C286" s="282">
        <f>C287+C288</f>
        <v>0</v>
      </c>
      <c r="D286" s="209">
        <f>D287+D288</f>
        <v>0</v>
      </c>
      <c r="E286" s="122">
        <f>E287+E288</f>
        <v>0</v>
      </c>
      <c r="F286" s="122">
        <f>F287+F288</f>
        <v>0</v>
      </c>
      <c r="G286" s="209">
        <f>G287+G288</f>
        <v>0</v>
      </c>
      <c r="H286" s="110"/>
    </row>
    <row r="287" spans="1:8">
      <c r="A287" s="132" t="s">
        <v>38</v>
      </c>
      <c r="B287" s="133" t="s">
        <v>453</v>
      </c>
      <c r="C287" s="281"/>
      <c r="D287" s="209"/>
      <c r="E287" s="118"/>
      <c r="F287" s="118"/>
      <c r="G287" s="209"/>
      <c r="H287" s="110"/>
    </row>
    <row r="288" spans="1:8">
      <c r="A288" s="124" t="s">
        <v>455</v>
      </c>
      <c r="B288" s="133" t="s">
        <v>453</v>
      </c>
      <c r="C288" s="265"/>
      <c r="D288" s="122"/>
      <c r="E288" s="166"/>
      <c r="F288" s="166"/>
      <c r="G288" s="209"/>
      <c r="H288" s="110"/>
    </row>
    <row r="289" spans="1:8" ht="21">
      <c r="A289" s="285" t="s">
        <v>456</v>
      </c>
      <c r="B289" s="283" t="s">
        <v>453</v>
      </c>
      <c r="C289" s="265"/>
      <c r="D289" s="122">
        <f>D290+D291</f>
        <v>0</v>
      </c>
      <c r="E289" s="122">
        <f>E290+E291</f>
        <v>0</v>
      </c>
      <c r="F289" s="122">
        <f>F290+F291</f>
        <v>0</v>
      </c>
      <c r="G289" s="209">
        <f>G290+G291</f>
        <v>0</v>
      </c>
      <c r="H289" s="110"/>
    </row>
    <row r="290" spans="1:8">
      <c r="A290" s="132" t="s">
        <v>38</v>
      </c>
      <c r="B290" s="133" t="s">
        <v>453</v>
      </c>
      <c r="C290" s="281"/>
      <c r="D290" s="122"/>
      <c r="E290" s="118"/>
      <c r="F290" s="118"/>
      <c r="G290" s="209"/>
      <c r="H290" s="110"/>
    </row>
    <row r="291" spans="1:8">
      <c r="A291" s="124" t="s">
        <v>455</v>
      </c>
      <c r="B291" s="131" t="s">
        <v>453</v>
      </c>
      <c r="C291" s="265"/>
      <c r="D291" s="122"/>
      <c r="E291" s="166"/>
      <c r="F291" s="166"/>
      <c r="G291" s="209"/>
      <c r="H291" s="110"/>
    </row>
    <row r="292" spans="1:8">
      <c r="A292" s="110"/>
      <c r="B292" s="110"/>
      <c r="C292" s="266"/>
      <c r="D292" s="109"/>
      <c r="E292" s="109"/>
      <c r="F292" s="109"/>
      <c r="G292" s="402"/>
      <c r="H292" s="110"/>
    </row>
    <row r="293" spans="1:8" ht="45">
      <c r="A293" s="217" t="s">
        <v>565</v>
      </c>
      <c r="B293" s="110"/>
      <c r="C293" s="217" t="s">
        <v>602</v>
      </c>
      <c r="D293" t="s">
        <v>566</v>
      </c>
      <c r="E293" s="127" t="s">
        <v>597</v>
      </c>
      <c r="F293" s="359"/>
      <c r="H293" s="110"/>
    </row>
    <row r="296" spans="1:8" ht="27" customHeight="1">
      <c r="A296" s="734" t="s">
        <v>751</v>
      </c>
      <c r="B296" s="734"/>
      <c r="C296" s="734"/>
      <c r="D296" s="734"/>
      <c r="E296" s="734"/>
      <c r="F296" s="734"/>
      <c r="G296" s="734"/>
      <c r="H296" s="128"/>
    </row>
    <row r="297" spans="1:8">
      <c r="A297" s="238"/>
      <c r="B297" s="108"/>
      <c r="C297" s="259"/>
      <c r="D297" s="109"/>
      <c r="E297" s="109"/>
      <c r="F297" s="109"/>
      <c r="G297" s="402"/>
      <c r="H297" s="110"/>
    </row>
    <row r="298" spans="1:8" ht="14.45" customHeight="1">
      <c r="A298" s="732" t="s">
        <v>438</v>
      </c>
      <c r="B298" s="732" t="s">
        <v>439</v>
      </c>
      <c r="C298" s="726" t="s">
        <v>745</v>
      </c>
      <c r="D298" s="214" t="s">
        <v>526</v>
      </c>
      <c r="E298" s="215" t="s">
        <v>526</v>
      </c>
      <c r="F298" s="215" t="s">
        <v>601</v>
      </c>
      <c r="G298" s="407" t="s">
        <v>526</v>
      </c>
      <c r="H298" s="110"/>
    </row>
    <row r="299" spans="1:8">
      <c r="A299" s="732"/>
      <c r="B299" s="732"/>
      <c r="C299" s="727"/>
      <c r="D299" s="111" t="s">
        <v>459</v>
      </c>
      <c r="E299" s="111" t="s">
        <v>485</v>
      </c>
      <c r="F299" s="111" t="s">
        <v>486</v>
      </c>
      <c r="G299" s="111" t="s">
        <v>746</v>
      </c>
      <c r="H299" s="110"/>
    </row>
    <row r="300" spans="1:8">
      <c r="A300" s="728" t="s">
        <v>9</v>
      </c>
      <c r="B300" s="112" t="s">
        <v>41</v>
      </c>
      <c r="C300" s="260"/>
      <c r="D300" s="113"/>
      <c r="E300" s="113"/>
      <c r="F300" s="113"/>
      <c r="G300" s="113"/>
      <c r="H300" s="110"/>
    </row>
    <row r="301" spans="1:8">
      <c r="A301" s="729"/>
      <c r="B301" s="115" t="s">
        <v>440</v>
      </c>
      <c r="C301" s="261"/>
      <c r="D301" s="116"/>
      <c r="E301" s="116"/>
      <c r="F301" s="116"/>
      <c r="G301" s="116"/>
      <c r="H301" s="110"/>
    </row>
    <row r="302" spans="1:8">
      <c r="A302" s="730" t="s">
        <v>10</v>
      </c>
      <c r="B302" s="112" t="s">
        <v>441</v>
      </c>
      <c r="C302" s="260"/>
      <c r="D302" s="113"/>
      <c r="E302" s="113"/>
      <c r="F302" s="113"/>
      <c r="G302" s="113"/>
      <c r="H302" s="110"/>
    </row>
    <row r="303" spans="1:8">
      <c r="A303" s="731"/>
      <c r="B303" s="115" t="s">
        <v>440</v>
      </c>
      <c r="C303" s="261"/>
      <c r="D303" s="116"/>
      <c r="E303" s="116"/>
      <c r="F303" s="116"/>
      <c r="G303" s="116"/>
      <c r="H303" s="110"/>
    </row>
    <row r="304" spans="1:8">
      <c r="A304" s="730" t="s">
        <v>11</v>
      </c>
      <c r="B304" s="112" t="s">
        <v>331</v>
      </c>
      <c r="C304" s="260"/>
      <c r="D304" s="113"/>
      <c r="E304" s="113"/>
      <c r="F304" s="113"/>
      <c r="G304" s="113"/>
      <c r="H304" s="110"/>
    </row>
    <row r="305" spans="1:8">
      <c r="A305" s="731"/>
      <c r="B305" s="115" t="s">
        <v>440</v>
      </c>
      <c r="C305" s="261"/>
      <c r="D305" s="116"/>
      <c r="E305" s="116"/>
      <c r="F305" s="116"/>
      <c r="G305" s="116"/>
      <c r="H305" s="110"/>
    </row>
    <row r="306" spans="1:8">
      <c r="A306" s="730" t="s">
        <v>442</v>
      </c>
      <c r="B306" s="112" t="s">
        <v>443</v>
      </c>
      <c r="C306" s="260"/>
      <c r="D306" s="113"/>
      <c r="E306" s="113"/>
      <c r="F306" s="113"/>
      <c r="G306" s="113"/>
      <c r="H306" s="110"/>
    </row>
    <row r="307" spans="1:8">
      <c r="A307" s="731"/>
      <c r="B307" s="115" t="s">
        <v>440</v>
      </c>
      <c r="C307" s="261"/>
      <c r="D307" s="116"/>
      <c r="E307" s="116"/>
      <c r="F307" s="116"/>
      <c r="G307" s="116"/>
      <c r="H307" s="110"/>
    </row>
    <row r="308" spans="1:8">
      <c r="A308" s="728" t="s">
        <v>13</v>
      </c>
      <c r="B308" s="112" t="s">
        <v>331</v>
      </c>
      <c r="C308" s="260"/>
      <c r="D308" s="113"/>
      <c r="E308" s="113"/>
      <c r="F308" s="113"/>
      <c r="G308" s="113"/>
      <c r="H308" s="110"/>
    </row>
    <row r="309" spans="1:8">
      <c r="A309" s="729"/>
      <c r="B309" s="115" t="s">
        <v>440</v>
      </c>
      <c r="C309" s="261"/>
      <c r="D309" s="116"/>
      <c r="E309" s="116"/>
      <c r="F309" s="116"/>
      <c r="G309" s="116"/>
      <c r="H309" s="110"/>
    </row>
    <row r="310" spans="1:8">
      <c r="A310" s="728" t="s">
        <v>444</v>
      </c>
      <c r="B310" s="112" t="s">
        <v>41</v>
      </c>
      <c r="C310" s="260"/>
      <c r="D310" s="113"/>
      <c r="E310" s="113"/>
      <c r="F310" s="113"/>
      <c r="G310" s="113"/>
      <c r="H310" s="110"/>
    </row>
    <row r="311" spans="1:8">
      <c r="A311" s="729"/>
      <c r="B311" s="115" t="s">
        <v>440</v>
      </c>
      <c r="C311" s="261"/>
      <c r="D311" s="116"/>
      <c r="E311" s="116"/>
      <c r="F311" s="116"/>
      <c r="G311" s="116"/>
      <c r="H311" s="110"/>
    </row>
    <row r="312" spans="1:8">
      <c r="A312" s="728" t="s">
        <v>14</v>
      </c>
      <c r="B312" s="112" t="s">
        <v>331</v>
      </c>
      <c r="C312" s="260"/>
      <c r="D312" s="113"/>
      <c r="E312" s="113"/>
      <c r="F312" s="113"/>
      <c r="G312" s="113"/>
      <c r="H312" s="110"/>
    </row>
    <row r="313" spans="1:8">
      <c r="A313" s="729"/>
      <c r="B313" s="115" t="s">
        <v>440</v>
      </c>
      <c r="C313" s="261"/>
      <c r="D313" s="116"/>
      <c r="E313" s="116"/>
      <c r="F313" s="116"/>
      <c r="G313" s="116"/>
      <c r="H313" s="110"/>
    </row>
    <row r="314" spans="1:8">
      <c r="A314" s="728" t="s">
        <v>15</v>
      </c>
      <c r="B314" s="112" t="s">
        <v>331</v>
      </c>
      <c r="C314" s="260"/>
      <c r="D314" s="113"/>
      <c r="E314" s="113"/>
      <c r="F314" s="113"/>
      <c r="G314" s="113"/>
      <c r="H314" s="110"/>
    </row>
    <row r="315" spans="1:8">
      <c r="A315" s="729"/>
      <c r="B315" s="115" t="s">
        <v>440</v>
      </c>
      <c r="C315" s="261"/>
      <c r="D315" s="116"/>
      <c r="E315" s="116"/>
      <c r="F315" s="116"/>
      <c r="G315" s="116"/>
      <c r="H315" s="110"/>
    </row>
    <row r="316" spans="1:8">
      <c r="A316" s="728" t="s">
        <v>16</v>
      </c>
      <c r="B316" s="112" t="s">
        <v>331</v>
      </c>
      <c r="C316" s="260"/>
      <c r="D316" s="113"/>
      <c r="E316" s="113"/>
      <c r="F316" s="113"/>
      <c r="G316" s="113"/>
      <c r="H316" s="110"/>
    </row>
    <row r="317" spans="1:8">
      <c r="A317" s="729"/>
      <c r="B317" s="115" t="s">
        <v>440</v>
      </c>
      <c r="C317" s="261"/>
      <c r="D317" s="116"/>
      <c r="E317" s="116"/>
      <c r="F317" s="116"/>
      <c r="G317" s="116"/>
      <c r="H317" s="110"/>
    </row>
    <row r="318" spans="1:8">
      <c r="A318" s="730" t="s">
        <v>445</v>
      </c>
      <c r="B318" s="112" t="s">
        <v>331</v>
      </c>
      <c r="C318" s="260"/>
      <c r="D318" s="118"/>
      <c r="E318" s="118"/>
      <c r="F318" s="118"/>
      <c r="G318" s="403"/>
      <c r="H318" s="110"/>
    </row>
    <row r="319" spans="1:8">
      <c r="A319" s="731"/>
      <c r="B319" s="115" t="s">
        <v>440</v>
      </c>
      <c r="C319" s="261"/>
      <c r="D319" s="116"/>
      <c r="E319" s="116"/>
      <c r="F319" s="116"/>
      <c r="G319" s="116"/>
      <c r="H319" s="110"/>
    </row>
    <row r="320" spans="1:8">
      <c r="A320" s="730" t="s">
        <v>18</v>
      </c>
      <c r="B320" s="112" t="s">
        <v>331</v>
      </c>
      <c r="C320" s="260"/>
      <c r="D320" s="113"/>
      <c r="E320" s="113"/>
      <c r="F320" s="113"/>
      <c r="G320" s="113"/>
      <c r="H320" s="110"/>
    </row>
    <row r="321" spans="1:8">
      <c r="A321" s="731"/>
      <c r="B321" s="115" t="s">
        <v>440</v>
      </c>
      <c r="C321" s="261"/>
      <c r="D321" s="116"/>
      <c r="E321" s="116"/>
      <c r="F321" s="116"/>
      <c r="G321" s="116"/>
      <c r="H321" s="110"/>
    </row>
    <row r="322" spans="1:8">
      <c r="A322" s="730" t="s">
        <v>446</v>
      </c>
      <c r="B322" s="112" t="s">
        <v>331</v>
      </c>
      <c r="C322" s="260"/>
      <c r="D322" s="113"/>
      <c r="E322" s="113"/>
      <c r="F322" s="113"/>
      <c r="G322" s="113"/>
      <c r="H322" s="110"/>
    </row>
    <row r="323" spans="1:8">
      <c r="A323" s="731"/>
      <c r="B323" s="115" t="s">
        <v>440</v>
      </c>
      <c r="C323" s="261"/>
      <c r="D323" s="116"/>
      <c r="E323" s="116"/>
      <c r="F323" s="116"/>
      <c r="G323" s="116"/>
      <c r="H323" s="110"/>
    </row>
    <row r="324" spans="1:8">
      <c r="A324" s="730" t="s">
        <v>20</v>
      </c>
      <c r="B324" s="112" t="s">
        <v>331</v>
      </c>
      <c r="C324" s="260"/>
      <c r="D324" s="119"/>
      <c r="E324" s="119"/>
      <c r="F324" s="119"/>
      <c r="G324" s="113"/>
      <c r="H324" s="110"/>
    </row>
    <row r="325" spans="1:8">
      <c r="A325" s="731"/>
      <c r="B325" s="115" t="s">
        <v>440</v>
      </c>
      <c r="C325" s="261"/>
      <c r="D325" s="116"/>
      <c r="E325" s="116"/>
      <c r="F325" s="116"/>
      <c r="G325" s="116"/>
      <c r="H325" s="110"/>
    </row>
    <row r="326" spans="1:8">
      <c r="A326" s="730" t="s">
        <v>447</v>
      </c>
      <c r="B326" s="112" t="s">
        <v>41</v>
      </c>
      <c r="C326" s="260"/>
      <c r="D326" s="119"/>
      <c r="E326" s="119"/>
      <c r="F326" s="119"/>
      <c r="G326" s="113"/>
      <c r="H326" s="110"/>
    </row>
    <row r="327" spans="1:8">
      <c r="A327" s="731"/>
      <c r="B327" s="115" t="s">
        <v>440</v>
      </c>
      <c r="C327" s="261"/>
      <c r="D327" s="116"/>
      <c r="E327" s="116"/>
      <c r="F327" s="116"/>
      <c r="G327" s="116"/>
      <c r="H327" s="110"/>
    </row>
    <row r="328" spans="1:8">
      <c r="A328" s="728" t="s">
        <v>448</v>
      </c>
      <c r="B328" s="112" t="s">
        <v>443</v>
      </c>
      <c r="C328" s="260"/>
      <c r="D328" s="119"/>
      <c r="E328" s="119"/>
      <c r="F328" s="119"/>
      <c r="G328" s="113"/>
      <c r="H328" s="110"/>
    </row>
    <row r="329" spans="1:8">
      <c r="A329" s="729"/>
      <c r="B329" s="115" t="s">
        <v>440</v>
      </c>
      <c r="C329" s="261"/>
      <c r="D329" s="116"/>
      <c r="E329" s="116"/>
      <c r="F329" s="116"/>
      <c r="G329" s="116"/>
      <c r="H329" s="110"/>
    </row>
    <row r="330" spans="1:8">
      <c r="A330" s="728" t="s">
        <v>449</v>
      </c>
      <c r="B330" s="112" t="s">
        <v>41</v>
      </c>
      <c r="C330" s="260"/>
      <c r="D330" s="119"/>
      <c r="E330" s="119"/>
      <c r="F330" s="119"/>
      <c r="G330" s="113"/>
      <c r="H330" s="110"/>
    </row>
    <row r="331" spans="1:8">
      <c r="A331" s="729"/>
      <c r="B331" s="115" t="s">
        <v>440</v>
      </c>
      <c r="C331" s="261"/>
      <c r="D331" s="116"/>
      <c r="E331" s="116"/>
      <c r="F331" s="116"/>
      <c r="G331" s="116"/>
      <c r="H331" s="110"/>
    </row>
    <row r="332" spans="1:8">
      <c r="A332" s="728" t="s">
        <v>450</v>
      </c>
      <c r="B332" s="112" t="s">
        <v>41</v>
      </c>
      <c r="C332" s="260"/>
      <c r="D332" s="119"/>
      <c r="E332" s="119"/>
      <c r="F332" s="119"/>
      <c r="G332" s="113"/>
      <c r="H332" s="110"/>
    </row>
    <row r="333" spans="1:8">
      <c r="A333" s="729"/>
      <c r="B333" s="115" t="s">
        <v>440</v>
      </c>
      <c r="C333" s="261"/>
      <c r="D333" s="116"/>
      <c r="E333" s="116"/>
      <c r="F333" s="116"/>
      <c r="G333" s="116"/>
      <c r="H333" s="110"/>
    </row>
    <row r="334" spans="1:8">
      <c r="A334" s="115" t="s">
        <v>451</v>
      </c>
      <c r="B334" s="115" t="s">
        <v>440</v>
      </c>
      <c r="C334" s="261"/>
      <c r="D334" s="116"/>
      <c r="E334" s="116"/>
      <c r="F334" s="116"/>
      <c r="G334" s="116"/>
      <c r="H334" s="110"/>
    </row>
    <row r="335" spans="1:8">
      <c r="A335" s="239" t="s">
        <v>452</v>
      </c>
      <c r="B335" s="239" t="s">
        <v>453</v>
      </c>
      <c r="C335" s="262">
        <f>C334+C333+C331+C329+C327+C325+C323+C321+C319+C317+C315+C313+C311+C309+C307+C305+C303+C301</f>
        <v>0</v>
      </c>
      <c r="D335" s="262">
        <f>D334+D333+D331+D329+D327+D325+D323+D321+D319+D317+D315+D313+D311+D309+D307+D305+D303+D301</f>
        <v>0</v>
      </c>
      <c r="E335" s="262">
        <f>E334+E333+E331+E329+E327+E325+E323+E321+E319+E317+E315+E313+E311+E309+E307+E305+E303+E301</f>
        <v>0</v>
      </c>
      <c r="F335" s="262">
        <f>F334+F333+F331+F329+F327+F325+F323+F321+F319+F317+F315+F313+F311+F309+F307+F305+F303+F301</f>
        <v>0</v>
      </c>
      <c r="G335" s="116">
        <f>G334+G333+G331+G329+G327+G325+G323+G321+G319+G317+G315+G313+G311+G309+G307+G305+G303+G301</f>
        <v>0</v>
      </c>
      <c r="H335" s="110"/>
    </row>
    <row r="336" spans="1:8" ht="21">
      <c r="A336" s="285" t="s">
        <v>454</v>
      </c>
      <c r="B336" s="283" t="s">
        <v>453</v>
      </c>
      <c r="C336" s="265">
        <f>C337+C338</f>
        <v>0</v>
      </c>
      <c r="D336" s="122">
        <f>D337+D338</f>
        <v>0</v>
      </c>
      <c r="E336" s="122">
        <f>E337+E338</f>
        <v>0</v>
      </c>
      <c r="F336" s="122">
        <f>F337+F338</f>
        <v>0</v>
      </c>
      <c r="G336" s="209">
        <f>G337+G338</f>
        <v>0</v>
      </c>
      <c r="H336" s="110"/>
    </row>
    <row r="337" spans="1:8">
      <c r="A337" s="240" t="s">
        <v>38</v>
      </c>
      <c r="B337" s="239" t="s">
        <v>453</v>
      </c>
      <c r="C337" s="263"/>
      <c r="D337" s="121"/>
      <c r="E337" s="118"/>
      <c r="F337" s="118"/>
      <c r="G337" s="209"/>
      <c r="H337" s="110"/>
    </row>
    <row r="338" spans="1:8">
      <c r="A338" s="124" t="s">
        <v>455</v>
      </c>
      <c r="B338" s="239" t="s">
        <v>453</v>
      </c>
      <c r="C338" s="265"/>
      <c r="D338" s="122"/>
      <c r="E338" s="166"/>
      <c r="F338" s="166"/>
      <c r="G338" s="209"/>
      <c r="H338" s="110"/>
    </row>
    <row r="339" spans="1:8" ht="21">
      <c r="A339" s="285" t="s">
        <v>456</v>
      </c>
      <c r="B339" s="283" t="s">
        <v>453</v>
      </c>
      <c r="C339" s="265"/>
      <c r="D339" s="122">
        <f>D340+D341</f>
        <v>0</v>
      </c>
      <c r="E339" s="122">
        <f>E340+E341</f>
        <v>0</v>
      </c>
      <c r="F339" s="122">
        <f>F340+F341</f>
        <v>0</v>
      </c>
      <c r="G339" s="209">
        <f>G340+G341</f>
        <v>0</v>
      </c>
      <c r="H339" s="110"/>
    </row>
    <row r="340" spans="1:8">
      <c r="A340" s="240" t="s">
        <v>38</v>
      </c>
      <c r="B340" s="239" t="s">
        <v>453</v>
      </c>
      <c r="C340" s="263"/>
      <c r="D340" s="122"/>
      <c r="E340" s="166"/>
      <c r="F340" s="118"/>
      <c r="G340" s="209"/>
      <c r="H340" s="110"/>
    </row>
    <row r="341" spans="1:8">
      <c r="A341" s="124" t="s">
        <v>455</v>
      </c>
      <c r="B341" s="241" t="s">
        <v>453</v>
      </c>
      <c r="C341" s="265"/>
      <c r="D341" s="122"/>
      <c r="E341" s="166"/>
      <c r="F341" s="166"/>
      <c r="G341" s="209"/>
      <c r="H341" s="110"/>
    </row>
    <row r="342" spans="1:8">
      <c r="A342" s="110"/>
      <c r="B342" s="110"/>
      <c r="C342" s="266"/>
      <c r="D342" s="109"/>
      <c r="E342" s="109"/>
      <c r="F342" s="109"/>
      <c r="G342" s="402"/>
      <c r="H342" s="110"/>
    </row>
    <row r="343" spans="1:8" ht="45">
      <c r="A343" s="217" t="s">
        <v>565</v>
      </c>
      <c r="B343" s="110"/>
      <c r="C343" s="217" t="s">
        <v>602</v>
      </c>
      <c r="D343" t="s">
        <v>566</v>
      </c>
      <c r="E343" s="127" t="s">
        <v>597</v>
      </c>
      <c r="F343" s="359"/>
      <c r="H343" s="110"/>
    </row>
    <row r="344" spans="1:8">
      <c r="A344" s="733"/>
      <c r="B344" s="733"/>
      <c r="C344" s="733"/>
      <c r="D344" s="733"/>
      <c r="E344" s="242"/>
      <c r="F344" s="242"/>
      <c r="G344" s="405"/>
      <c r="H344" s="126"/>
    </row>
    <row r="345" spans="1:8" ht="26.65" customHeight="1">
      <c r="A345" s="734" t="s">
        <v>752</v>
      </c>
      <c r="B345" s="734"/>
      <c r="C345" s="734"/>
      <c r="D345" s="734"/>
      <c r="E345" s="734"/>
      <c r="F345" s="734"/>
      <c r="G345" s="734"/>
      <c r="H345" s="128"/>
    </row>
    <row r="346" spans="1:8">
      <c r="A346" s="734" t="s">
        <v>458</v>
      </c>
      <c r="B346" s="734"/>
      <c r="C346" s="734"/>
      <c r="D346" s="734"/>
      <c r="E346" s="734"/>
      <c r="F346" s="734"/>
      <c r="G346" s="734"/>
      <c r="H346" s="110"/>
    </row>
    <row r="347" spans="1:8" ht="14.45" customHeight="1">
      <c r="A347" s="732" t="s">
        <v>438</v>
      </c>
      <c r="B347" s="732" t="s">
        <v>439</v>
      </c>
      <c r="C347" s="726" t="s">
        <v>745</v>
      </c>
      <c r="D347" s="214" t="s">
        <v>526</v>
      </c>
      <c r="E347" s="215" t="s">
        <v>526</v>
      </c>
      <c r="F347" s="215" t="s">
        <v>601</v>
      </c>
      <c r="G347" s="407" t="s">
        <v>526</v>
      </c>
      <c r="H347" s="110"/>
    </row>
    <row r="348" spans="1:8">
      <c r="A348" s="732"/>
      <c r="B348" s="732"/>
      <c r="C348" s="727"/>
      <c r="D348" s="111" t="s">
        <v>459</v>
      </c>
      <c r="E348" s="111" t="s">
        <v>485</v>
      </c>
      <c r="F348" s="111" t="s">
        <v>486</v>
      </c>
      <c r="G348" s="111" t="s">
        <v>746</v>
      </c>
      <c r="H348" s="110"/>
    </row>
    <row r="349" spans="1:8">
      <c r="A349" s="728" t="s">
        <v>9</v>
      </c>
      <c r="B349" s="112" t="s">
        <v>41</v>
      </c>
      <c r="C349" s="260"/>
      <c r="D349" s="113"/>
      <c r="E349" s="113"/>
      <c r="F349" s="113"/>
      <c r="G349" s="113"/>
      <c r="H349" s="110"/>
    </row>
    <row r="350" spans="1:8">
      <c r="A350" s="729"/>
      <c r="B350" s="115" t="s">
        <v>440</v>
      </c>
      <c r="C350" s="261"/>
      <c r="D350" s="116"/>
      <c r="E350" s="116"/>
      <c r="F350" s="116"/>
      <c r="G350" s="116"/>
      <c r="H350" s="110"/>
    </row>
    <row r="351" spans="1:8">
      <c r="A351" s="730" t="s">
        <v>10</v>
      </c>
      <c r="B351" s="112" t="s">
        <v>441</v>
      </c>
      <c r="C351" s="260"/>
      <c r="D351" s="113"/>
      <c r="E351" s="113"/>
      <c r="F351" s="113"/>
      <c r="G351" s="113"/>
      <c r="H351" s="110"/>
    </row>
    <row r="352" spans="1:8">
      <c r="A352" s="731"/>
      <c r="B352" s="115" t="s">
        <v>440</v>
      </c>
      <c r="C352" s="261"/>
      <c r="D352" s="116"/>
      <c r="E352" s="116"/>
      <c r="F352" s="116"/>
      <c r="G352" s="116"/>
      <c r="H352" s="110"/>
    </row>
    <row r="353" spans="1:8">
      <c r="A353" s="730" t="s">
        <v>11</v>
      </c>
      <c r="B353" s="112" t="s">
        <v>331</v>
      </c>
      <c r="C353" s="260"/>
      <c r="D353" s="113"/>
      <c r="E353" s="113"/>
      <c r="F353" s="113"/>
      <c r="G353" s="113"/>
      <c r="H353" s="110"/>
    </row>
    <row r="354" spans="1:8">
      <c r="A354" s="731"/>
      <c r="B354" s="115" t="s">
        <v>440</v>
      </c>
      <c r="C354" s="261"/>
      <c r="D354" s="116"/>
      <c r="E354" s="116"/>
      <c r="F354" s="116"/>
      <c r="G354" s="116"/>
      <c r="H354" s="110"/>
    </row>
    <row r="355" spans="1:8">
      <c r="A355" s="730" t="s">
        <v>442</v>
      </c>
      <c r="B355" s="112" t="s">
        <v>443</v>
      </c>
      <c r="C355" s="260"/>
      <c r="D355" s="113"/>
      <c r="E355" s="113"/>
      <c r="F355" s="113"/>
      <c r="G355" s="113"/>
      <c r="H355" s="110"/>
    </row>
    <row r="356" spans="1:8">
      <c r="A356" s="731"/>
      <c r="B356" s="115" t="s">
        <v>440</v>
      </c>
      <c r="C356" s="261"/>
      <c r="D356" s="116"/>
      <c r="E356" s="116"/>
      <c r="F356" s="116"/>
      <c r="G356" s="116"/>
      <c r="H356" s="110"/>
    </row>
    <row r="357" spans="1:8">
      <c r="A357" s="728" t="s">
        <v>13</v>
      </c>
      <c r="B357" s="112" t="s">
        <v>331</v>
      </c>
      <c r="C357" s="260"/>
      <c r="D357" s="113"/>
      <c r="E357" s="113"/>
      <c r="F357" s="113"/>
      <c r="G357" s="113"/>
      <c r="H357" s="110"/>
    </row>
    <row r="358" spans="1:8">
      <c r="A358" s="729"/>
      <c r="B358" s="115" t="s">
        <v>440</v>
      </c>
      <c r="C358" s="261"/>
      <c r="D358" s="116"/>
      <c r="E358" s="116"/>
      <c r="F358" s="116"/>
      <c r="G358" s="116"/>
      <c r="H358" s="110"/>
    </row>
    <row r="359" spans="1:8">
      <c r="A359" s="728" t="s">
        <v>444</v>
      </c>
      <c r="B359" s="112" t="s">
        <v>41</v>
      </c>
      <c r="C359" s="260"/>
      <c r="D359" s="113"/>
      <c r="E359" s="113"/>
      <c r="F359" s="113"/>
      <c r="G359" s="113"/>
      <c r="H359" s="110"/>
    </row>
    <row r="360" spans="1:8">
      <c r="A360" s="729"/>
      <c r="B360" s="115" t="s">
        <v>440</v>
      </c>
      <c r="C360" s="261"/>
      <c r="D360" s="116"/>
      <c r="E360" s="116"/>
      <c r="F360" s="116"/>
      <c r="G360" s="116"/>
      <c r="H360" s="110"/>
    </row>
    <row r="361" spans="1:8">
      <c r="A361" s="728" t="s">
        <v>14</v>
      </c>
      <c r="B361" s="112" t="s">
        <v>331</v>
      </c>
      <c r="C361" s="260"/>
      <c r="D361" s="113"/>
      <c r="E361" s="113"/>
      <c r="F361" s="113"/>
      <c r="G361" s="113"/>
      <c r="H361" s="110"/>
    </row>
    <row r="362" spans="1:8">
      <c r="A362" s="729"/>
      <c r="B362" s="115" t="s">
        <v>440</v>
      </c>
      <c r="C362" s="261"/>
      <c r="D362" s="116"/>
      <c r="E362" s="116"/>
      <c r="F362" s="116"/>
      <c r="G362" s="116"/>
      <c r="H362" s="110"/>
    </row>
    <row r="363" spans="1:8">
      <c r="A363" s="728" t="s">
        <v>15</v>
      </c>
      <c r="B363" s="112" t="s">
        <v>331</v>
      </c>
      <c r="C363" s="260"/>
      <c r="D363" s="113"/>
      <c r="E363" s="113"/>
      <c r="F363" s="113"/>
      <c r="G363" s="113"/>
      <c r="H363" s="110"/>
    </row>
    <row r="364" spans="1:8">
      <c r="A364" s="729"/>
      <c r="B364" s="115" t="s">
        <v>440</v>
      </c>
      <c r="C364" s="261"/>
      <c r="D364" s="116"/>
      <c r="E364" s="116"/>
      <c r="F364" s="116"/>
      <c r="G364" s="116"/>
      <c r="H364" s="110"/>
    </row>
    <row r="365" spans="1:8">
      <c r="A365" s="728" t="s">
        <v>16</v>
      </c>
      <c r="B365" s="112" t="s">
        <v>331</v>
      </c>
      <c r="C365" s="260"/>
      <c r="D365" s="113"/>
      <c r="E365" s="113"/>
      <c r="F365" s="113"/>
      <c r="G365" s="113"/>
      <c r="H365" s="110"/>
    </row>
    <row r="366" spans="1:8">
      <c r="A366" s="729"/>
      <c r="B366" s="115" t="s">
        <v>440</v>
      </c>
      <c r="C366" s="261"/>
      <c r="D366" s="116"/>
      <c r="E366" s="116"/>
      <c r="F366" s="116"/>
      <c r="G366" s="116"/>
      <c r="H366" s="110"/>
    </row>
    <row r="367" spans="1:8">
      <c r="A367" s="730" t="s">
        <v>445</v>
      </c>
      <c r="B367" s="112" t="s">
        <v>331</v>
      </c>
      <c r="C367" s="260"/>
      <c r="D367" s="118"/>
      <c r="E367" s="118"/>
      <c r="F367" s="118"/>
      <c r="G367" s="403"/>
      <c r="H367" s="110"/>
    </row>
    <row r="368" spans="1:8">
      <c r="A368" s="731"/>
      <c r="B368" s="115" t="s">
        <v>440</v>
      </c>
      <c r="C368" s="261"/>
      <c r="D368" s="116"/>
      <c r="E368" s="116"/>
      <c r="F368" s="116"/>
      <c r="G368" s="116"/>
      <c r="H368" s="110"/>
    </row>
    <row r="369" spans="1:8">
      <c r="A369" s="730" t="s">
        <v>18</v>
      </c>
      <c r="B369" s="112" t="s">
        <v>331</v>
      </c>
      <c r="C369" s="260"/>
      <c r="D369" s="113"/>
      <c r="E369" s="113"/>
      <c r="F369" s="113"/>
      <c r="G369" s="113"/>
      <c r="H369" s="110"/>
    </row>
    <row r="370" spans="1:8">
      <c r="A370" s="731"/>
      <c r="B370" s="115" t="s">
        <v>440</v>
      </c>
      <c r="C370" s="261"/>
      <c r="D370" s="116"/>
      <c r="E370" s="116"/>
      <c r="F370" s="116"/>
      <c r="G370" s="116"/>
      <c r="H370" s="110"/>
    </row>
    <row r="371" spans="1:8">
      <c r="A371" s="730" t="s">
        <v>446</v>
      </c>
      <c r="B371" s="112" t="s">
        <v>331</v>
      </c>
      <c r="C371" s="260"/>
      <c r="D371" s="113"/>
      <c r="E371" s="113"/>
      <c r="F371" s="113"/>
      <c r="G371" s="113"/>
      <c r="H371" s="110"/>
    </row>
    <row r="372" spans="1:8">
      <c r="A372" s="731"/>
      <c r="B372" s="115" t="s">
        <v>440</v>
      </c>
      <c r="C372" s="261"/>
      <c r="D372" s="116"/>
      <c r="E372" s="116"/>
      <c r="F372" s="116"/>
      <c r="G372" s="116"/>
      <c r="H372" s="110"/>
    </row>
    <row r="373" spans="1:8">
      <c r="A373" s="730" t="s">
        <v>20</v>
      </c>
      <c r="B373" s="112" t="s">
        <v>331</v>
      </c>
      <c r="C373" s="260"/>
      <c r="D373" s="119"/>
      <c r="E373" s="119"/>
      <c r="F373" s="119"/>
      <c r="G373" s="113"/>
      <c r="H373" s="110"/>
    </row>
    <row r="374" spans="1:8">
      <c r="A374" s="731"/>
      <c r="B374" s="115" t="s">
        <v>440</v>
      </c>
      <c r="C374" s="261"/>
      <c r="D374" s="116"/>
      <c r="E374" s="116"/>
      <c r="F374" s="116"/>
      <c r="G374" s="116"/>
      <c r="H374" s="110"/>
    </row>
    <row r="375" spans="1:8">
      <c r="A375" s="730" t="s">
        <v>447</v>
      </c>
      <c r="B375" s="112" t="s">
        <v>41</v>
      </c>
      <c r="C375" s="260"/>
      <c r="D375" s="119"/>
      <c r="E375" s="119"/>
      <c r="F375" s="119"/>
      <c r="G375" s="113"/>
      <c r="H375" s="110"/>
    </row>
    <row r="376" spans="1:8">
      <c r="A376" s="731"/>
      <c r="B376" s="115" t="s">
        <v>440</v>
      </c>
      <c r="C376" s="261"/>
      <c r="D376" s="116"/>
      <c r="E376" s="116"/>
      <c r="F376" s="116"/>
      <c r="G376" s="116"/>
      <c r="H376" s="110"/>
    </row>
    <row r="377" spans="1:8">
      <c r="A377" s="728" t="s">
        <v>448</v>
      </c>
      <c r="B377" s="112" t="s">
        <v>443</v>
      </c>
      <c r="C377" s="260"/>
      <c r="D377" s="119"/>
      <c r="E377" s="119"/>
      <c r="F377" s="119"/>
      <c r="G377" s="113"/>
      <c r="H377" s="110"/>
    </row>
    <row r="378" spans="1:8">
      <c r="A378" s="729"/>
      <c r="B378" s="115" t="s">
        <v>440</v>
      </c>
      <c r="C378" s="261"/>
      <c r="D378" s="116"/>
      <c r="E378" s="116"/>
      <c r="F378" s="116"/>
      <c r="G378" s="116"/>
      <c r="H378" s="110"/>
    </row>
    <row r="379" spans="1:8">
      <c r="A379" s="728" t="s">
        <v>449</v>
      </c>
      <c r="B379" s="112" t="s">
        <v>41</v>
      </c>
      <c r="C379" s="260"/>
      <c r="D379" s="119"/>
      <c r="E379" s="119"/>
      <c r="F379" s="119"/>
      <c r="G379" s="113"/>
      <c r="H379" s="110"/>
    </row>
    <row r="380" spans="1:8">
      <c r="A380" s="729"/>
      <c r="B380" s="115" t="s">
        <v>440</v>
      </c>
      <c r="C380" s="261"/>
      <c r="D380" s="116"/>
      <c r="E380" s="116"/>
      <c r="F380" s="116"/>
      <c r="G380" s="116"/>
      <c r="H380" s="110"/>
    </row>
    <row r="381" spans="1:8">
      <c r="A381" s="728" t="s">
        <v>450</v>
      </c>
      <c r="B381" s="112" t="s">
        <v>41</v>
      </c>
      <c r="C381" s="260"/>
      <c r="D381" s="119"/>
      <c r="E381" s="119"/>
      <c r="F381" s="119"/>
      <c r="G381" s="113"/>
      <c r="H381" s="110"/>
    </row>
    <row r="382" spans="1:8">
      <c r="A382" s="729"/>
      <c r="B382" s="115" t="s">
        <v>440</v>
      </c>
      <c r="C382" s="261"/>
      <c r="D382" s="116"/>
      <c r="E382" s="116"/>
      <c r="F382" s="116"/>
      <c r="G382" s="116"/>
      <c r="H382" s="110"/>
    </row>
    <row r="383" spans="1:8">
      <c r="A383" s="115" t="s">
        <v>451</v>
      </c>
      <c r="B383" s="115" t="s">
        <v>440</v>
      </c>
      <c r="C383" s="261"/>
      <c r="D383" s="116"/>
      <c r="E383" s="116"/>
      <c r="F383" s="116"/>
      <c r="G383" s="116"/>
      <c r="H383" s="110"/>
    </row>
    <row r="384" spans="1:8">
      <c r="A384" s="283" t="s">
        <v>452</v>
      </c>
      <c r="B384" s="283" t="s">
        <v>453</v>
      </c>
      <c r="C384" s="262">
        <f>C383+C382+C380+C378+C376+C374+C372+C370+C368+C366+C364+C362+C360+C358+C356+C354+C352+C350</f>
        <v>0</v>
      </c>
      <c r="D384" s="262">
        <f>D383+D382+D380+D378+D376+D374+D372+D370+D368+D366+D364+D362+D360+D358+D356+D354+D352+D350</f>
        <v>0</v>
      </c>
      <c r="E384" s="262">
        <f>E383+E382+E380+E378+E376+E374+E372+E370+E368+E366+E364+E362+E360+E358+E356+E354+E352+E350</f>
        <v>0</v>
      </c>
      <c r="F384" s="262">
        <f>F383+F382+F380+F378+F376+F374+F372+F370+F368+F366+F364+F362+F360+F358+F356+F354+F352+F350</f>
        <v>0</v>
      </c>
      <c r="G384" s="116">
        <f>G383+G382+G380+G378+G376+G374+G372+G370+G368+G366+G364+G362+G360+G358+G356+G354+G352+G350</f>
        <v>0</v>
      </c>
      <c r="H384" s="110"/>
    </row>
    <row r="385" spans="1:8" ht="23.1" customHeight="1">
      <c r="A385" s="285" t="s">
        <v>454</v>
      </c>
      <c r="B385" s="283" t="s">
        <v>453</v>
      </c>
      <c r="C385" s="306">
        <f>C386+C387</f>
        <v>0</v>
      </c>
      <c r="D385" s="209">
        <f>D386+D387</f>
        <v>0</v>
      </c>
      <c r="E385" s="122">
        <f>E386+E387</f>
        <v>0</v>
      </c>
      <c r="F385" s="122">
        <f>F386+F387</f>
        <v>0</v>
      </c>
      <c r="G385" s="209">
        <f>G386+G387</f>
        <v>0</v>
      </c>
      <c r="H385" s="110"/>
    </row>
    <row r="386" spans="1:8">
      <c r="A386" s="240" t="s">
        <v>38</v>
      </c>
      <c r="B386" s="283" t="s">
        <v>453</v>
      </c>
      <c r="C386" s="305"/>
      <c r="D386" s="209"/>
      <c r="E386" s="118"/>
      <c r="F386" s="118"/>
      <c r="G386" s="209"/>
      <c r="H386" s="110"/>
    </row>
    <row r="387" spans="1:8">
      <c r="A387" s="124" t="s">
        <v>455</v>
      </c>
      <c r="B387" s="283" t="s">
        <v>453</v>
      </c>
      <c r="C387" s="265"/>
      <c r="D387" s="122"/>
      <c r="E387" s="166"/>
      <c r="F387" s="166"/>
      <c r="G387" s="209"/>
      <c r="H387" s="110"/>
    </row>
    <row r="388" spans="1:8" ht="21">
      <c r="A388" s="285" t="s">
        <v>456</v>
      </c>
      <c r="B388" s="283" t="s">
        <v>453</v>
      </c>
      <c r="C388" s="265"/>
      <c r="D388" s="122">
        <f>D389+D390</f>
        <v>0</v>
      </c>
      <c r="E388" s="122">
        <f>E389+E390</f>
        <v>0</v>
      </c>
      <c r="F388" s="122">
        <f>F389+F390</f>
        <v>0</v>
      </c>
      <c r="G388" s="209">
        <f>G389+G390</f>
        <v>0</v>
      </c>
      <c r="H388" s="110"/>
    </row>
    <row r="389" spans="1:8">
      <c r="A389" s="240" t="s">
        <v>38</v>
      </c>
      <c r="B389" s="283" t="s">
        <v>453</v>
      </c>
      <c r="C389" s="305"/>
      <c r="D389" s="122"/>
      <c r="E389" s="118"/>
      <c r="F389" s="118"/>
      <c r="G389" s="209"/>
      <c r="H389" s="110"/>
    </row>
    <row r="390" spans="1:8">
      <c r="A390" s="124" t="s">
        <v>455</v>
      </c>
      <c r="B390" s="304" t="s">
        <v>453</v>
      </c>
      <c r="C390" s="265"/>
      <c r="D390" s="122"/>
      <c r="E390" s="166"/>
      <c r="F390" s="166"/>
      <c r="G390" s="209"/>
      <c r="H390" s="110"/>
    </row>
    <row r="391" spans="1:8">
      <c r="A391" s="110"/>
      <c r="B391" s="110"/>
      <c r="C391" s="266"/>
      <c r="D391" s="109"/>
      <c r="E391" s="109"/>
      <c r="F391" s="109"/>
      <c r="G391" s="402"/>
      <c r="H391" s="110"/>
    </row>
    <row r="392" spans="1:8" ht="45">
      <c r="A392" s="217" t="s">
        <v>565</v>
      </c>
      <c r="B392" s="110"/>
      <c r="C392" s="217" t="s">
        <v>602</v>
      </c>
      <c r="D392" t="s">
        <v>566</v>
      </c>
      <c r="E392" s="127" t="s">
        <v>597</v>
      </c>
      <c r="F392" s="359"/>
      <c r="H392" s="110"/>
    </row>
    <row r="393" spans="1:8" ht="33.75" customHeight="1">
      <c r="A393" s="734" t="s">
        <v>754</v>
      </c>
      <c r="B393" s="734"/>
      <c r="C393" s="734"/>
      <c r="D393" s="734"/>
      <c r="E393" s="128"/>
      <c r="F393" s="128"/>
      <c r="G393" s="401"/>
    </row>
    <row r="394" spans="1:8" ht="14.45" customHeight="1">
      <c r="A394" s="732" t="s">
        <v>438</v>
      </c>
      <c r="B394" s="732" t="s">
        <v>439</v>
      </c>
      <c r="C394" s="726" t="s">
        <v>590</v>
      </c>
      <c r="D394" s="214" t="s">
        <v>526</v>
      </c>
      <c r="E394" s="215" t="s">
        <v>526</v>
      </c>
      <c r="F394" s="215" t="s">
        <v>601</v>
      </c>
      <c r="G394" s="407" t="s">
        <v>526</v>
      </c>
    </row>
    <row r="395" spans="1:8">
      <c r="A395" s="732"/>
      <c r="B395" s="732"/>
      <c r="C395" s="727"/>
      <c r="D395" s="111" t="s">
        <v>459</v>
      </c>
      <c r="E395" s="111" t="s">
        <v>485</v>
      </c>
      <c r="F395" s="111" t="s">
        <v>486</v>
      </c>
      <c r="G395" s="111" t="s">
        <v>591</v>
      </c>
    </row>
    <row r="396" spans="1:8">
      <c r="A396" s="728" t="s">
        <v>9</v>
      </c>
      <c r="B396" s="112" t="s">
        <v>41</v>
      </c>
      <c r="C396" s="119">
        <f t="shared" ref="C396:D415" si="0">C200+C102+C5+C300</f>
        <v>0</v>
      </c>
      <c r="D396" s="113">
        <f t="shared" si="0"/>
        <v>0</v>
      </c>
      <c r="E396" s="114">
        <f>E5+E102+E200+E300</f>
        <v>0</v>
      </c>
      <c r="F396" s="114">
        <f>F5+F102+F200+F300</f>
        <v>0</v>
      </c>
      <c r="G396" s="113">
        <f t="shared" ref="G396:G431" si="1">G5+G102+G200+F300</f>
        <v>0</v>
      </c>
    </row>
    <row r="397" spans="1:8">
      <c r="A397" s="729"/>
      <c r="B397" s="115" t="s">
        <v>440</v>
      </c>
      <c r="C397" s="262">
        <f t="shared" si="0"/>
        <v>0</v>
      </c>
      <c r="D397" s="116">
        <f t="shared" si="0"/>
        <v>0</v>
      </c>
      <c r="E397" s="114">
        <f>E6+E103+E201+E301</f>
        <v>0</v>
      </c>
      <c r="F397" s="114">
        <f>F6+F103+F201+F301</f>
        <v>0</v>
      </c>
      <c r="G397" s="116">
        <f t="shared" si="1"/>
        <v>0</v>
      </c>
    </row>
    <row r="398" spans="1:8">
      <c r="A398" s="730" t="s">
        <v>10</v>
      </c>
      <c r="B398" s="112" t="s">
        <v>441</v>
      </c>
      <c r="C398" s="119">
        <f t="shared" si="0"/>
        <v>0</v>
      </c>
      <c r="D398" s="113">
        <f t="shared" si="0"/>
        <v>0</v>
      </c>
      <c r="E398" s="114">
        <f t="shared" ref="E398:E435" si="2">E7+E104+E202+E302</f>
        <v>0</v>
      </c>
      <c r="F398" s="114">
        <f t="shared" ref="F398:F403" si="3">F7+F104+F202</f>
        <v>0</v>
      </c>
      <c r="G398" s="113">
        <f t="shared" si="1"/>
        <v>0</v>
      </c>
    </row>
    <row r="399" spans="1:8">
      <c r="A399" s="731"/>
      <c r="B399" s="115" t="s">
        <v>440</v>
      </c>
      <c r="C399" s="262">
        <f t="shared" si="0"/>
        <v>0</v>
      </c>
      <c r="D399" s="116">
        <f t="shared" si="0"/>
        <v>0</v>
      </c>
      <c r="E399" s="114">
        <f t="shared" si="2"/>
        <v>0</v>
      </c>
      <c r="F399" s="114">
        <f t="shared" si="3"/>
        <v>0</v>
      </c>
      <c r="G399" s="116">
        <f t="shared" si="1"/>
        <v>0</v>
      </c>
    </row>
    <row r="400" spans="1:8">
      <c r="A400" s="730" t="s">
        <v>11</v>
      </c>
      <c r="B400" s="112" t="s">
        <v>331</v>
      </c>
      <c r="C400" s="119">
        <f t="shared" si="0"/>
        <v>0</v>
      </c>
      <c r="D400" s="113">
        <f t="shared" si="0"/>
        <v>0</v>
      </c>
      <c r="E400" s="114">
        <f t="shared" si="2"/>
        <v>0</v>
      </c>
      <c r="F400" s="114">
        <f t="shared" si="3"/>
        <v>0</v>
      </c>
      <c r="G400" s="113">
        <f t="shared" si="1"/>
        <v>0</v>
      </c>
    </row>
    <row r="401" spans="1:7">
      <c r="A401" s="731"/>
      <c r="B401" s="115" t="s">
        <v>440</v>
      </c>
      <c r="C401" s="262">
        <f t="shared" si="0"/>
        <v>0</v>
      </c>
      <c r="D401" s="116">
        <f t="shared" si="0"/>
        <v>0</v>
      </c>
      <c r="E401" s="114">
        <f t="shared" si="2"/>
        <v>0</v>
      </c>
      <c r="F401" s="114">
        <f t="shared" si="3"/>
        <v>0</v>
      </c>
      <c r="G401" s="116">
        <f t="shared" si="1"/>
        <v>0</v>
      </c>
    </row>
    <row r="402" spans="1:7">
      <c r="A402" s="730" t="s">
        <v>442</v>
      </c>
      <c r="B402" s="112" t="s">
        <v>443</v>
      </c>
      <c r="C402" s="119">
        <f t="shared" si="0"/>
        <v>0</v>
      </c>
      <c r="D402" s="113">
        <f t="shared" si="0"/>
        <v>0</v>
      </c>
      <c r="E402" s="114">
        <f t="shared" si="2"/>
        <v>0</v>
      </c>
      <c r="F402" s="114">
        <f t="shared" si="3"/>
        <v>0</v>
      </c>
      <c r="G402" s="113">
        <f t="shared" si="1"/>
        <v>0</v>
      </c>
    </row>
    <row r="403" spans="1:7">
      <c r="A403" s="731"/>
      <c r="B403" s="115" t="s">
        <v>440</v>
      </c>
      <c r="C403" s="262">
        <f t="shared" si="0"/>
        <v>0</v>
      </c>
      <c r="D403" s="116">
        <f t="shared" si="0"/>
        <v>0</v>
      </c>
      <c r="E403" s="114">
        <f t="shared" si="2"/>
        <v>0</v>
      </c>
      <c r="F403" s="114">
        <f t="shared" si="3"/>
        <v>0</v>
      </c>
      <c r="G403" s="116">
        <f t="shared" si="1"/>
        <v>0</v>
      </c>
    </row>
    <row r="404" spans="1:7">
      <c r="A404" s="728" t="s">
        <v>13</v>
      </c>
      <c r="B404" s="112" t="s">
        <v>331</v>
      </c>
      <c r="C404" s="119">
        <f t="shared" si="0"/>
        <v>0</v>
      </c>
      <c r="D404" s="113">
        <f t="shared" si="0"/>
        <v>0</v>
      </c>
      <c r="E404" s="114">
        <f t="shared" si="2"/>
        <v>0</v>
      </c>
      <c r="F404" s="114">
        <f t="shared" ref="F404:F431" si="4">F13+F110+F208</f>
        <v>0</v>
      </c>
      <c r="G404" s="113">
        <f t="shared" si="1"/>
        <v>0</v>
      </c>
    </row>
    <row r="405" spans="1:7">
      <c r="A405" s="729"/>
      <c r="B405" s="115" t="s">
        <v>440</v>
      </c>
      <c r="C405" s="262">
        <f t="shared" si="0"/>
        <v>0</v>
      </c>
      <c r="D405" s="116">
        <f t="shared" si="0"/>
        <v>0</v>
      </c>
      <c r="E405" s="114">
        <f t="shared" si="2"/>
        <v>0</v>
      </c>
      <c r="F405" s="114">
        <f t="shared" si="4"/>
        <v>0</v>
      </c>
      <c r="G405" s="116">
        <f t="shared" si="1"/>
        <v>0</v>
      </c>
    </row>
    <row r="406" spans="1:7">
      <c r="A406" s="728" t="s">
        <v>444</v>
      </c>
      <c r="B406" s="112" t="s">
        <v>41</v>
      </c>
      <c r="C406" s="119">
        <f t="shared" si="0"/>
        <v>0</v>
      </c>
      <c r="D406" s="113">
        <f t="shared" si="0"/>
        <v>0</v>
      </c>
      <c r="E406" s="114">
        <f t="shared" si="2"/>
        <v>0</v>
      </c>
      <c r="F406" s="114">
        <f t="shared" si="4"/>
        <v>0</v>
      </c>
      <c r="G406" s="113">
        <f t="shared" si="1"/>
        <v>0</v>
      </c>
    </row>
    <row r="407" spans="1:7">
      <c r="A407" s="729"/>
      <c r="B407" s="115" t="s">
        <v>440</v>
      </c>
      <c r="C407" s="262">
        <f t="shared" si="0"/>
        <v>0</v>
      </c>
      <c r="D407" s="116">
        <f t="shared" si="0"/>
        <v>0</v>
      </c>
      <c r="E407" s="114">
        <f t="shared" si="2"/>
        <v>0</v>
      </c>
      <c r="F407" s="114">
        <f t="shared" si="4"/>
        <v>0</v>
      </c>
      <c r="G407" s="116">
        <f t="shared" si="1"/>
        <v>0</v>
      </c>
    </row>
    <row r="408" spans="1:7">
      <c r="A408" s="728" t="s">
        <v>14</v>
      </c>
      <c r="B408" s="112" t="s">
        <v>331</v>
      </c>
      <c r="C408" s="119">
        <f t="shared" si="0"/>
        <v>0</v>
      </c>
      <c r="D408" s="113">
        <f t="shared" si="0"/>
        <v>0</v>
      </c>
      <c r="E408" s="114">
        <f t="shared" si="2"/>
        <v>0</v>
      </c>
      <c r="F408" s="114">
        <f t="shared" si="4"/>
        <v>0</v>
      </c>
      <c r="G408" s="113">
        <f t="shared" si="1"/>
        <v>0</v>
      </c>
    </row>
    <row r="409" spans="1:7">
      <c r="A409" s="729"/>
      <c r="B409" s="115" t="s">
        <v>440</v>
      </c>
      <c r="C409" s="262">
        <f t="shared" si="0"/>
        <v>0</v>
      </c>
      <c r="D409" s="116">
        <f t="shared" si="0"/>
        <v>0</v>
      </c>
      <c r="E409" s="114">
        <f t="shared" si="2"/>
        <v>0</v>
      </c>
      <c r="F409" s="114">
        <f t="shared" si="4"/>
        <v>0</v>
      </c>
      <c r="G409" s="116">
        <f t="shared" si="1"/>
        <v>0</v>
      </c>
    </row>
    <row r="410" spans="1:7">
      <c r="A410" s="728" t="s">
        <v>15</v>
      </c>
      <c r="B410" s="112" t="s">
        <v>331</v>
      </c>
      <c r="C410" s="119">
        <f t="shared" si="0"/>
        <v>0</v>
      </c>
      <c r="D410" s="113">
        <f t="shared" si="0"/>
        <v>0</v>
      </c>
      <c r="E410" s="114">
        <f t="shared" si="2"/>
        <v>0</v>
      </c>
      <c r="F410" s="114">
        <f>F19+F116+F214</f>
        <v>0</v>
      </c>
      <c r="G410" s="113">
        <f t="shared" si="1"/>
        <v>0</v>
      </c>
    </row>
    <row r="411" spans="1:7">
      <c r="A411" s="729"/>
      <c r="B411" s="115" t="s">
        <v>440</v>
      </c>
      <c r="C411" s="262">
        <f t="shared" si="0"/>
        <v>0</v>
      </c>
      <c r="D411" s="116">
        <f t="shared" si="0"/>
        <v>0</v>
      </c>
      <c r="E411" s="114">
        <f t="shared" si="2"/>
        <v>0</v>
      </c>
      <c r="F411" s="114">
        <f t="shared" si="4"/>
        <v>0</v>
      </c>
      <c r="G411" s="116">
        <f t="shared" si="1"/>
        <v>0</v>
      </c>
    </row>
    <row r="412" spans="1:7">
      <c r="A412" s="728" t="s">
        <v>16</v>
      </c>
      <c r="B412" s="112" t="s">
        <v>331</v>
      </c>
      <c r="C412" s="119">
        <f t="shared" si="0"/>
        <v>0</v>
      </c>
      <c r="D412" s="113">
        <f t="shared" si="0"/>
        <v>0</v>
      </c>
      <c r="E412" s="114">
        <f t="shared" si="2"/>
        <v>0</v>
      </c>
      <c r="F412" s="114">
        <f t="shared" si="4"/>
        <v>0</v>
      </c>
      <c r="G412" s="113">
        <f t="shared" si="1"/>
        <v>0</v>
      </c>
    </row>
    <row r="413" spans="1:7">
      <c r="A413" s="729"/>
      <c r="B413" s="115" t="s">
        <v>440</v>
      </c>
      <c r="C413" s="262">
        <f t="shared" si="0"/>
        <v>0</v>
      </c>
      <c r="D413" s="116">
        <f t="shared" si="0"/>
        <v>0</v>
      </c>
      <c r="E413" s="114">
        <f t="shared" si="2"/>
        <v>0</v>
      </c>
      <c r="F413" s="114">
        <f t="shared" si="4"/>
        <v>0</v>
      </c>
      <c r="G413" s="116">
        <f t="shared" si="1"/>
        <v>0</v>
      </c>
    </row>
    <row r="414" spans="1:7">
      <c r="A414" s="730" t="s">
        <v>445</v>
      </c>
      <c r="B414" s="112" t="s">
        <v>331</v>
      </c>
      <c r="C414" s="119">
        <f t="shared" si="0"/>
        <v>0</v>
      </c>
      <c r="D414" s="113">
        <f t="shared" si="0"/>
        <v>0</v>
      </c>
      <c r="E414" s="114">
        <f t="shared" si="2"/>
        <v>0</v>
      </c>
      <c r="F414" s="114">
        <f t="shared" si="4"/>
        <v>0</v>
      </c>
      <c r="G414" s="113">
        <f t="shared" si="1"/>
        <v>0</v>
      </c>
    </row>
    <row r="415" spans="1:7">
      <c r="A415" s="731"/>
      <c r="B415" s="115" t="s">
        <v>440</v>
      </c>
      <c r="C415" s="262">
        <f t="shared" si="0"/>
        <v>0</v>
      </c>
      <c r="D415" s="116">
        <f t="shared" si="0"/>
        <v>0</v>
      </c>
      <c r="E415" s="114">
        <f t="shared" si="2"/>
        <v>0</v>
      </c>
      <c r="F415" s="114">
        <f t="shared" si="4"/>
        <v>0</v>
      </c>
      <c r="G415" s="116">
        <f t="shared" si="1"/>
        <v>0</v>
      </c>
    </row>
    <row r="416" spans="1:7">
      <c r="A416" s="730" t="s">
        <v>18</v>
      </c>
      <c r="B416" s="112" t="s">
        <v>331</v>
      </c>
      <c r="C416" s="119">
        <f t="shared" ref="C416:D431" si="5">C220+C122+C25+C320</f>
        <v>0</v>
      </c>
      <c r="D416" s="113">
        <f t="shared" si="5"/>
        <v>0</v>
      </c>
      <c r="E416" s="114">
        <f t="shared" si="2"/>
        <v>0</v>
      </c>
      <c r="F416" s="114">
        <f>F25+F122+F220</f>
        <v>0</v>
      </c>
      <c r="G416" s="113">
        <f t="shared" si="1"/>
        <v>0</v>
      </c>
    </row>
    <row r="417" spans="1:7">
      <c r="A417" s="731"/>
      <c r="B417" s="115" t="s">
        <v>440</v>
      </c>
      <c r="C417" s="262">
        <f t="shared" si="5"/>
        <v>0</v>
      </c>
      <c r="D417" s="116">
        <f t="shared" si="5"/>
        <v>0</v>
      </c>
      <c r="E417" s="114">
        <f t="shared" si="2"/>
        <v>0</v>
      </c>
      <c r="F417" s="114">
        <f t="shared" si="4"/>
        <v>0</v>
      </c>
      <c r="G417" s="116">
        <f t="shared" si="1"/>
        <v>0</v>
      </c>
    </row>
    <row r="418" spans="1:7">
      <c r="A418" s="730" t="s">
        <v>446</v>
      </c>
      <c r="B418" s="112" t="s">
        <v>331</v>
      </c>
      <c r="C418" s="119">
        <f t="shared" si="5"/>
        <v>0</v>
      </c>
      <c r="D418" s="113">
        <f t="shared" si="5"/>
        <v>0</v>
      </c>
      <c r="E418" s="114">
        <f t="shared" si="2"/>
        <v>0</v>
      </c>
      <c r="F418" s="114">
        <f t="shared" si="4"/>
        <v>0</v>
      </c>
      <c r="G418" s="113">
        <f t="shared" si="1"/>
        <v>0</v>
      </c>
    </row>
    <row r="419" spans="1:7">
      <c r="A419" s="731"/>
      <c r="B419" s="115" t="s">
        <v>440</v>
      </c>
      <c r="C419" s="262">
        <f t="shared" si="5"/>
        <v>0</v>
      </c>
      <c r="D419" s="116">
        <f t="shared" si="5"/>
        <v>0</v>
      </c>
      <c r="E419" s="114">
        <f t="shared" si="2"/>
        <v>0</v>
      </c>
      <c r="F419" s="114">
        <f t="shared" si="4"/>
        <v>0</v>
      </c>
      <c r="G419" s="116">
        <f t="shared" si="1"/>
        <v>0</v>
      </c>
    </row>
    <row r="420" spans="1:7">
      <c r="A420" s="730" t="s">
        <v>20</v>
      </c>
      <c r="B420" s="112" t="s">
        <v>331</v>
      </c>
      <c r="C420" s="119">
        <f t="shared" si="5"/>
        <v>0</v>
      </c>
      <c r="D420" s="113">
        <f t="shared" si="5"/>
        <v>0</v>
      </c>
      <c r="E420" s="114">
        <f t="shared" si="2"/>
        <v>0</v>
      </c>
      <c r="F420" s="114">
        <f t="shared" si="4"/>
        <v>0</v>
      </c>
      <c r="G420" s="113">
        <f t="shared" si="1"/>
        <v>0</v>
      </c>
    </row>
    <row r="421" spans="1:7">
      <c r="A421" s="731"/>
      <c r="B421" s="115" t="s">
        <v>440</v>
      </c>
      <c r="C421" s="262">
        <f t="shared" si="5"/>
        <v>0</v>
      </c>
      <c r="D421" s="116">
        <f t="shared" si="5"/>
        <v>0</v>
      </c>
      <c r="E421" s="114">
        <f t="shared" si="2"/>
        <v>0</v>
      </c>
      <c r="F421" s="114">
        <f t="shared" si="4"/>
        <v>0</v>
      </c>
      <c r="G421" s="116">
        <f t="shared" si="1"/>
        <v>0</v>
      </c>
    </row>
    <row r="422" spans="1:7">
      <c r="A422" s="730" t="s">
        <v>447</v>
      </c>
      <c r="B422" s="112" t="s">
        <v>41</v>
      </c>
      <c r="C422" s="119">
        <f t="shared" si="5"/>
        <v>0</v>
      </c>
      <c r="D422" s="113">
        <f t="shared" si="5"/>
        <v>0</v>
      </c>
      <c r="E422" s="114">
        <f t="shared" si="2"/>
        <v>0</v>
      </c>
      <c r="F422" s="114">
        <f>F31+F128+F226</f>
        <v>0</v>
      </c>
      <c r="G422" s="113">
        <f t="shared" si="1"/>
        <v>0</v>
      </c>
    </row>
    <row r="423" spans="1:7">
      <c r="A423" s="731"/>
      <c r="B423" s="115" t="s">
        <v>440</v>
      </c>
      <c r="C423" s="262">
        <f t="shared" si="5"/>
        <v>0</v>
      </c>
      <c r="D423" s="116">
        <f t="shared" si="5"/>
        <v>0</v>
      </c>
      <c r="E423" s="114">
        <f t="shared" si="2"/>
        <v>0</v>
      </c>
      <c r="F423" s="114">
        <f t="shared" si="4"/>
        <v>0</v>
      </c>
      <c r="G423" s="116">
        <f t="shared" si="1"/>
        <v>0</v>
      </c>
    </row>
    <row r="424" spans="1:7">
      <c r="A424" s="728" t="s">
        <v>448</v>
      </c>
      <c r="B424" s="112" t="s">
        <v>443</v>
      </c>
      <c r="C424" s="119">
        <f t="shared" si="5"/>
        <v>0</v>
      </c>
      <c r="D424" s="113">
        <f t="shared" si="5"/>
        <v>0</v>
      </c>
      <c r="E424" s="114">
        <f t="shared" si="2"/>
        <v>0</v>
      </c>
      <c r="F424" s="114">
        <f t="shared" si="4"/>
        <v>0</v>
      </c>
      <c r="G424" s="113">
        <f t="shared" si="1"/>
        <v>0</v>
      </c>
    </row>
    <row r="425" spans="1:7">
      <c r="A425" s="729"/>
      <c r="B425" s="115" t="s">
        <v>440</v>
      </c>
      <c r="C425" s="262">
        <f t="shared" si="5"/>
        <v>0</v>
      </c>
      <c r="D425" s="116">
        <f t="shared" si="5"/>
        <v>0</v>
      </c>
      <c r="E425" s="114">
        <f t="shared" si="2"/>
        <v>0</v>
      </c>
      <c r="F425" s="114">
        <f t="shared" si="4"/>
        <v>0</v>
      </c>
      <c r="G425" s="116">
        <f t="shared" si="1"/>
        <v>0</v>
      </c>
    </row>
    <row r="426" spans="1:7">
      <c r="A426" s="728" t="s">
        <v>449</v>
      </c>
      <c r="B426" s="112" t="s">
        <v>41</v>
      </c>
      <c r="C426" s="119">
        <f t="shared" si="5"/>
        <v>0</v>
      </c>
      <c r="D426" s="113">
        <f t="shared" si="5"/>
        <v>0</v>
      </c>
      <c r="E426" s="114">
        <f t="shared" si="2"/>
        <v>0</v>
      </c>
      <c r="F426" s="114">
        <f t="shared" si="4"/>
        <v>0</v>
      </c>
      <c r="G426" s="113">
        <f t="shared" si="1"/>
        <v>0</v>
      </c>
    </row>
    <row r="427" spans="1:7">
      <c r="A427" s="729"/>
      <c r="B427" s="115" t="s">
        <v>440</v>
      </c>
      <c r="C427" s="119">
        <f t="shared" si="5"/>
        <v>0</v>
      </c>
      <c r="D427" s="116">
        <f t="shared" si="5"/>
        <v>0</v>
      </c>
      <c r="E427" s="114">
        <f t="shared" si="2"/>
        <v>0</v>
      </c>
      <c r="F427" s="114">
        <f t="shared" si="4"/>
        <v>0</v>
      </c>
      <c r="G427" s="116">
        <f t="shared" si="1"/>
        <v>0</v>
      </c>
    </row>
    <row r="428" spans="1:7">
      <c r="A428" s="728" t="s">
        <v>450</v>
      </c>
      <c r="B428" s="112" t="s">
        <v>41</v>
      </c>
      <c r="C428" s="119">
        <f t="shared" si="5"/>
        <v>0</v>
      </c>
      <c r="D428" s="113">
        <f t="shared" si="5"/>
        <v>0</v>
      </c>
      <c r="E428" s="114">
        <f t="shared" si="2"/>
        <v>0</v>
      </c>
      <c r="F428" s="114">
        <f>F37+F134+F232</f>
        <v>0</v>
      </c>
      <c r="G428" s="113">
        <f t="shared" si="1"/>
        <v>0</v>
      </c>
    </row>
    <row r="429" spans="1:7">
      <c r="A429" s="729"/>
      <c r="B429" s="115" t="s">
        <v>440</v>
      </c>
      <c r="C429" s="262">
        <f t="shared" si="5"/>
        <v>0</v>
      </c>
      <c r="D429" s="116">
        <f t="shared" si="5"/>
        <v>0</v>
      </c>
      <c r="E429" s="114">
        <f t="shared" si="2"/>
        <v>0</v>
      </c>
      <c r="F429" s="114">
        <f t="shared" si="4"/>
        <v>0</v>
      </c>
      <c r="G429" s="113">
        <f t="shared" si="1"/>
        <v>0</v>
      </c>
    </row>
    <row r="430" spans="1:7">
      <c r="A430" s="115" t="s">
        <v>451</v>
      </c>
      <c r="B430" s="115" t="s">
        <v>440</v>
      </c>
      <c r="C430" s="262">
        <f t="shared" si="5"/>
        <v>0</v>
      </c>
      <c r="D430" s="116">
        <f t="shared" si="5"/>
        <v>0</v>
      </c>
      <c r="E430" s="117">
        <f t="shared" si="2"/>
        <v>0</v>
      </c>
      <c r="F430" s="114">
        <f t="shared" si="4"/>
        <v>0</v>
      </c>
      <c r="G430" s="116">
        <f t="shared" si="1"/>
        <v>0</v>
      </c>
    </row>
    <row r="431" spans="1:7">
      <c r="A431" s="169" t="s">
        <v>452</v>
      </c>
      <c r="B431" s="169" t="s">
        <v>453</v>
      </c>
      <c r="C431" s="262">
        <f t="shared" si="5"/>
        <v>0</v>
      </c>
      <c r="D431" s="116">
        <f t="shared" si="5"/>
        <v>0</v>
      </c>
      <c r="E431" s="117">
        <f t="shared" si="2"/>
        <v>0</v>
      </c>
      <c r="F431" s="114">
        <f t="shared" si="4"/>
        <v>0</v>
      </c>
      <c r="G431" s="116">
        <f t="shared" si="1"/>
        <v>0</v>
      </c>
    </row>
    <row r="432" spans="1:7" ht="21">
      <c r="A432" s="285" t="s">
        <v>454</v>
      </c>
      <c r="B432" s="283" t="s">
        <v>453</v>
      </c>
      <c r="C432" s="262">
        <f>C41+C138+C236+C336</f>
        <v>0</v>
      </c>
      <c r="D432" s="262">
        <f>D41+D138+D236+D336</f>
        <v>0</v>
      </c>
      <c r="E432" s="262">
        <f t="shared" si="2"/>
        <v>0</v>
      </c>
      <c r="F432" s="262">
        <f t="shared" ref="F432:G434" si="6">F41+F138+F236+F336</f>
        <v>0</v>
      </c>
      <c r="G432" s="116">
        <f t="shared" si="6"/>
        <v>0</v>
      </c>
    </row>
    <row r="433" spans="1:7">
      <c r="A433" s="168" t="s">
        <v>38</v>
      </c>
      <c r="B433" s="169" t="s">
        <v>453</v>
      </c>
      <c r="C433" s="262">
        <f t="shared" ref="C433:D437" si="7">C42+C139+C237+C337</f>
        <v>0</v>
      </c>
      <c r="D433" s="262">
        <f t="shared" si="7"/>
        <v>0</v>
      </c>
      <c r="E433" s="262">
        <f t="shared" si="2"/>
        <v>0</v>
      </c>
      <c r="F433" s="117">
        <f t="shared" si="6"/>
        <v>0</v>
      </c>
      <c r="G433" s="116">
        <f t="shared" si="6"/>
        <v>0</v>
      </c>
    </row>
    <row r="434" spans="1:7">
      <c r="A434" s="124" t="s">
        <v>455</v>
      </c>
      <c r="B434" s="169" t="s">
        <v>453</v>
      </c>
      <c r="C434" s="262">
        <f t="shared" si="7"/>
        <v>0</v>
      </c>
      <c r="D434" s="262">
        <f t="shared" si="7"/>
        <v>0</v>
      </c>
      <c r="E434" s="262">
        <f t="shared" si="2"/>
        <v>0</v>
      </c>
      <c r="F434" s="117">
        <f t="shared" si="6"/>
        <v>0</v>
      </c>
      <c r="G434" s="116">
        <f t="shared" si="6"/>
        <v>0</v>
      </c>
    </row>
    <row r="435" spans="1:7" ht="21">
      <c r="A435" s="285" t="s">
        <v>456</v>
      </c>
      <c r="B435" s="283" t="s">
        <v>453</v>
      </c>
      <c r="C435" s="262">
        <f t="shared" si="7"/>
        <v>0</v>
      </c>
      <c r="D435" s="262">
        <f t="shared" si="7"/>
        <v>0</v>
      </c>
      <c r="E435" s="262">
        <f t="shared" si="2"/>
        <v>0</v>
      </c>
      <c r="F435" s="117">
        <f>F436+F437</f>
        <v>0</v>
      </c>
      <c r="G435" s="116">
        <f>G436+G437</f>
        <v>0</v>
      </c>
    </row>
    <row r="436" spans="1:7">
      <c r="A436" s="168" t="s">
        <v>38</v>
      </c>
      <c r="B436" s="169" t="s">
        <v>453</v>
      </c>
      <c r="C436" s="262">
        <f t="shared" si="7"/>
        <v>0</v>
      </c>
      <c r="D436" s="262">
        <f t="shared" si="7"/>
        <v>0</v>
      </c>
      <c r="E436" s="262">
        <f t="shared" ref="E436:G437" si="8">E45+E142+E240+E340</f>
        <v>0</v>
      </c>
      <c r="F436" s="117">
        <f t="shared" si="8"/>
        <v>0</v>
      </c>
      <c r="G436" s="116">
        <f t="shared" si="8"/>
        <v>0</v>
      </c>
    </row>
    <row r="437" spans="1:7">
      <c r="A437" s="124" t="s">
        <v>455</v>
      </c>
      <c r="B437" s="171" t="s">
        <v>453</v>
      </c>
      <c r="C437" s="262">
        <f t="shared" si="7"/>
        <v>0</v>
      </c>
      <c r="D437" s="262">
        <f t="shared" si="7"/>
        <v>0</v>
      </c>
      <c r="E437" s="262">
        <f t="shared" si="8"/>
        <v>0</v>
      </c>
      <c r="F437" s="117">
        <f t="shared" si="8"/>
        <v>0</v>
      </c>
      <c r="G437" s="116">
        <f t="shared" si="8"/>
        <v>0</v>
      </c>
    </row>
    <row r="438" spans="1:7">
      <c r="A438" s="110"/>
      <c r="B438" s="110"/>
      <c r="C438" s="266"/>
      <c r="D438" s="109"/>
      <c r="E438" s="109"/>
      <c r="F438" s="109"/>
      <c r="G438" s="402"/>
    </row>
    <row r="439" spans="1:7">
      <c r="A439" s="110"/>
      <c r="B439" s="110"/>
      <c r="C439" s="266"/>
      <c r="D439" s="109"/>
      <c r="E439" s="109"/>
      <c r="F439" s="109"/>
      <c r="G439" s="402"/>
    </row>
    <row r="440" spans="1:7">
      <c r="A440" s="733"/>
      <c r="B440" s="733"/>
      <c r="C440" s="733"/>
      <c r="D440" s="733"/>
      <c r="E440" s="170"/>
      <c r="F440" s="170"/>
      <c r="G440" s="405"/>
    </row>
    <row r="441" spans="1:7" ht="45">
      <c r="A441" s="217" t="s">
        <v>565</v>
      </c>
      <c r="B441" s="110"/>
      <c r="C441" s="217" t="s">
        <v>602</v>
      </c>
      <c r="D441" t="s">
        <v>566</v>
      </c>
      <c r="E441" s="127" t="s">
        <v>597</v>
      </c>
      <c r="F441" s="359"/>
    </row>
    <row r="442" spans="1:7">
      <c r="A442" s="110"/>
      <c r="B442" s="110"/>
      <c r="C442" s="266"/>
      <c r="D442" s="109"/>
      <c r="E442" s="109"/>
      <c r="F442" s="109"/>
      <c r="G442" s="402"/>
    </row>
    <row r="443" spans="1:7" ht="30" customHeight="1">
      <c r="A443" s="734" t="s">
        <v>753</v>
      </c>
      <c r="B443" s="734"/>
      <c r="C443" s="734"/>
      <c r="D443" s="734"/>
      <c r="E443" s="128"/>
      <c r="F443" s="128"/>
      <c r="G443" s="401"/>
    </row>
    <row r="444" spans="1:7">
      <c r="A444" s="734" t="s">
        <v>458</v>
      </c>
      <c r="B444" s="734"/>
      <c r="C444" s="734"/>
      <c r="D444" s="734"/>
      <c r="E444" s="243"/>
      <c r="F444" s="243"/>
      <c r="G444" s="406"/>
    </row>
    <row r="445" spans="1:7" ht="14.65" customHeight="1">
      <c r="A445" s="732" t="s">
        <v>438</v>
      </c>
      <c r="B445" s="732" t="s">
        <v>439</v>
      </c>
      <c r="C445" s="726" t="s">
        <v>590</v>
      </c>
      <c r="D445" s="214" t="s">
        <v>526</v>
      </c>
      <c r="E445" s="215" t="s">
        <v>526</v>
      </c>
      <c r="F445" s="215" t="s">
        <v>601</v>
      </c>
      <c r="G445" s="407" t="s">
        <v>526</v>
      </c>
    </row>
    <row r="446" spans="1:7" ht="14.65" customHeight="1">
      <c r="A446" s="732"/>
      <c r="B446" s="732"/>
      <c r="C446" s="727"/>
      <c r="D446" s="111" t="s">
        <v>459</v>
      </c>
      <c r="E446" s="111" t="s">
        <v>485</v>
      </c>
      <c r="F446" s="111" t="s">
        <v>486</v>
      </c>
      <c r="G446" s="111" t="s">
        <v>591</v>
      </c>
    </row>
    <row r="447" spans="1:7">
      <c r="A447" s="728" t="s">
        <v>9</v>
      </c>
      <c r="B447" s="112" t="s">
        <v>41</v>
      </c>
      <c r="C447" s="260">
        <f t="shared" ref="C447:D466" si="9">C250+C151+C54</f>
        <v>0</v>
      </c>
      <c r="D447" s="112">
        <f t="shared" si="9"/>
        <v>0</v>
      </c>
      <c r="E447" s="113">
        <f>E250+E151+E54+E349</f>
        <v>0</v>
      </c>
      <c r="F447" s="113">
        <f>F54+F151+F250+F349</f>
        <v>0</v>
      </c>
      <c r="G447" s="113">
        <f>G54+G151+G250+G349</f>
        <v>0</v>
      </c>
    </row>
    <row r="448" spans="1:7">
      <c r="A448" s="729"/>
      <c r="B448" s="115" t="s">
        <v>440</v>
      </c>
      <c r="C448" s="261">
        <f t="shared" si="9"/>
        <v>0</v>
      </c>
      <c r="D448" s="210">
        <f t="shared" si="9"/>
        <v>0</v>
      </c>
      <c r="E448" s="116">
        <f t="shared" ref="E448:E488" si="10">E251+E152+E55+E350</f>
        <v>0</v>
      </c>
      <c r="F448" s="116">
        <f>F55+F152+F251+F350</f>
        <v>0</v>
      </c>
      <c r="G448" s="116">
        <f t="shared" ref="G448:G482" si="11">G55+G152+G251+G350</f>
        <v>0</v>
      </c>
    </row>
    <row r="449" spans="1:7">
      <c r="A449" s="730" t="s">
        <v>10</v>
      </c>
      <c r="B449" s="112" t="s">
        <v>441</v>
      </c>
      <c r="C449" s="260">
        <f t="shared" si="9"/>
        <v>0</v>
      </c>
      <c r="D449" s="112">
        <f t="shared" si="9"/>
        <v>0</v>
      </c>
      <c r="E449" s="113">
        <f t="shared" si="10"/>
        <v>0</v>
      </c>
      <c r="F449" s="116">
        <f t="shared" ref="F449:F482" si="12">F56+F153+F252+F351</f>
        <v>0</v>
      </c>
      <c r="G449" s="113">
        <f t="shared" si="11"/>
        <v>0</v>
      </c>
    </row>
    <row r="450" spans="1:7">
      <c r="A450" s="731"/>
      <c r="B450" s="115" t="s">
        <v>440</v>
      </c>
      <c r="C450" s="261">
        <f t="shared" si="9"/>
        <v>0</v>
      </c>
      <c r="D450" s="210">
        <f t="shared" si="9"/>
        <v>0</v>
      </c>
      <c r="E450" s="113">
        <f t="shared" si="10"/>
        <v>0</v>
      </c>
      <c r="F450" s="116">
        <f t="shared" si="12"/>
        <v>0</v>
      </c>
      <c r="G450" s="116">
        <f t="shared" si="11"/>
        <v>0</v>
      </c>
    </row>
    <row r="451" spans="1:7">
      <c r="A451" s="730" t="s">
        <v>11</v>
      </c>
      <c r="B451" s="112" t="s">
        <v>331</v>
      </c>
      <c r="C451" s="260">
        <f t="shared" si="9"/>
        <v>0</v>
      </c>
      <c r="D451" s="112">
        <f t="shared" si="9"/>
        <v>0</v>
      </c>
      <c r="E451" s="113">
        <f t="shared" si="10"/>
        <v>0</v>
      </c>
      <c r="F451" s="116">
        <f t="shared" si="12"/>
        <v>0</v>
      </c>
      <c r="G451" s="113">
        <f t="shared" si="11"/>
        <v>0</v>
      </c>
    </row>
    <row r="452" spans="1:7">
      <c r="A452" s="731"/>
      <c r="B452" s="115" t="s">
        <v>440</v>
      </c>
      <c r="C452" s="261">
        <f t="shared" si="9"/>
        <v>0</v>
      </c>
      <c r="D452" s="210">
        <f t="shared" si="9"/>
        <v>0</v>
      </c>
      <c r="E452" s="113">
        <f t="shared" si="10"/>
        <v>0</v>
      </c>
      <c r="F452" s="116">
        <f t="shared" si="12"/>
        <v>0</v>
      </c>
      <c r="G452" s="116">
        <f t="shared" si="11"/>
        <v>0</v>
      </c>
    </row>
    <row r="453" spans="1:7">
      <c r="A453" s="730" t="s">
        <v>442</v>
      </c>
      <c r="B453" s="112" t="s">
        <v>443</v>
      </c>
      <c r="C453" s="260">
        <f t="shared" si="9"/>
        <v>0</v>
      </c>
      <c r="D453" s="112">
        <f t="shared" si="9"/>
        <v>0</v>
      </c>
      <c r="E453" s="113">
        <f t="shared" si="10"/>
        <v>0</v>
      </c>
      <c r="F453" s="116">
        <f t="shared" si="12"/>
        <v>0</v>
      </c>
      <c r="G453" s="113">
        <f t="shared" si="11"/>
        <v>0</v>
      </c>
    </row>
    <row r="454" spans="1:7">
      <c r="A454" s="731"/>
      <c r="B454" s="115" t="s">
        <v>440</v>
      </c>
      <c r="C454" s="261">
        <f t="shared" si="9"/>
        <v>0</v>
      </c>
      <c r="D454" s="210">
        <f t="shared" si="9"/>
        <v>0</v>
      </c>
      <c r="E454" s="116">
        <f t="shared" si="10"/>
        <v>0</v>
      </c>
      <c r="F454" s="116">
        <f t="shared" si="12"/>
        <v>0</v>
      </c>
      <c r="G454" s="116">
        <f t="shared" si="11"/>
        <v>0</v>
      </c>
    </row>
    <row r="455" spans="1:7">
      <c r="A455" s="728" t="s">
        <v>13</v>
      </c>
      <c r="B455" s="112" t="s">
        <v>331</v>
      </c>
      <c r="C455" s="260">
        <f t="shared" si="9"/>
        <v>0</v>
      </c>
      <c r="D455" s="112">
        <f t="shared" si="9"/>
        <v>0</v>
      </c>
      <c r="E455" s="113">
        <f t="shared" si="10"/>
        <v>0</v>
      </c>
      <c r="F455" s="116">
        <f t="shared" si="12"/>
        <v>0</v>
      </c>
      <c r="G455" s="113">
        <f t="shared" si="11"/>
        <v>0</v>
      </c>
    </row>
    <row r="456" spans="1:7">
      <c r="A456" s="729"/>
      <c r="B456" s="115" t="s">
        <v>440</v>
      </c>
      <c r="C456" s="261">
        <f t="shared" si="9"/>
        <v>0</v>
      </c>
      <c r="D456" s="210">
        <f t="shared" si="9"/>
        <v>0</v>
      </c>
      <c r="E456" s="116">
        <f t="shared" si="10"/>
        <v>0</v>
      </c>
      <c r="F456" s="116">
        <f t="shared" si="12"/>
        <v>0</v>
      </c>
      <c r="G456" s="116">
        <f t="shared" si="11"/>
        <v>0</v>
      </c>
    </row>
    <row r="457" spans="1:7">
      <c r="A457" s="728" t="s">
        <v>444</v>
      </c>
      <c r="B457" s="112" t="s">
        <v>41</v>
      </c>
      <c r="C457" s="260">
        <f t="shared" si="9"/>
        <v>0</v>
      </c>
      <c r="D457" s="112">
        <f t="shared" si="9"/>
        <v>0</v>
      </c>
      <c r="E457" s="113">
        <f t="shared" si="10"/>
        <v>0</v>
      </c>
      <c r="F457" s="116">
        <f t="shared" si="12"/>
        <v>0</v>
      </c>
      <c r="G457" s="113">
        <f t="shared" si="11"/>
        <v>0</v>
      </c>
    </row>
    <row r="458" spans="1:7">
      <c r="A458" s="729"/>
      <c r="B458" s="115" t="s">
        <v>440</v>
      </c>
      <c r="C458" s="261">
        <f t="shared" si="9"/>
        <v>0</v>
      </c>
      <c r="D458" s="210">
        <f t="shared" si="9"/>
        <v>0</v>
      </c>
      <c r="E458" s="113">
        <f t="shared" si="10"/>
        <v>0</v>
      </c>
      <c r="F458" s="116">
        <f t="shared" si="12"/>
        <v>0</v>
      </c>
      <c r="G458" s="116">
        <f t="shared" si="11"/>
        <v>0</v>
      </c>
    </row>
    <row r="459" spans="1:7">
      <c r="A459" s="728" t="s">
        <v>14</v>
      </c>
      <c r="B459" s="112" t="s">
        <v>331</v>
      </c>
      <c r="C459" s="260">
        <f t="shared" si="9"/>
        <v>0</v>
      </c>
      <c r="D459" s="112">
        <f t="shared" si="9"/>
        <v>0</v>
      </c>
      <c r="E459" s="113">
        <f t="shared" si="10"/>
        <v>0</v>
      </c>
      <c r="F459" s="116">
        <f t="shared" si="12"/>
        <v>0</v>
      </c>
      <c r="G459" s="113">
        <f t="shared" si="11"/>
        <v>0</v>
      </c>
    </row>
    <row r="460" spans="1:7">
      <c r="A460" s="729"/>
      <c r="B460" s="115" t="s">
        <v>440</v>
      </c>
      <c r="C460" s="261">
        <f t="shared" si="9"/>
        <v>0</v>
      </c>
      <c r="D460" s="210">
        <f t="shared" si="9"/>
        <v>0</v>
      </c>
      <c r="E460" s="113">
        <f t="shared" si="10"/>
        <v>0</v>
      </c>
      <c r="F460" s="116">
        <f t="shared" si="12"/>
        <v>0</v>
      </c>
      <c r="G460" s="116">
        <f t="shared" si="11"/>
        <v>0</v>
      </c>
    </row>
    <row r="461" spans="1:7">
      <c r="A461" s="728" t="s">
        <v>15</v>
      </c>
      <c r="B461" s="112" t="s">
        <v>331</v>
      </c>
      <c r="C461" s="260">
        <f t="shared" si="9"/>
        <v>0</v>
      </c>
      <c r="D461" s="112">
        <f t="shared" si="9"/>
        <v>0</v>
      </c>
      <c r="E461" s="113">
        <f t="shared" si="10"/>
        <v>0</v>
      </c>
      <c r="F461" s="116">
        <f t="shared" si="12"/>
        <v>0</v>
      </c>
      <c r="G461" s="113">
        <f t="shared" si="11"/>
        <v>0</v>
      </c>
    </row>
    <row r="462" spans="1:7">
      <c r="A462" s="729"/>
      <c r="B462" s="115" t="s">
        <v>440</v>
      </c>
      <c r="C462" s="261">
        <f t="shared" si="9"/>
        <v>0</v>
      </c>
      <c r="D462" s="210">
        <f t="shared" si="9"/>
        <v>0</v>
      </c>
      <c r="E462" s="116">
        <f t="shared" si="10"/>
        <v>0</v>
      </c>
      <c r="F462" s="116">
        <f t="shared" si="12"/>
        <v>0</v>
      </c>
      <c r="G462" s="116">
        <f t="shared" si="11"/>
        <v>0</v>
      </c>
    </row>
    <row r="463" spans="1:7">
      <c r="A463" s="728" t="s">
        <v>16</v>
      </c>
      <c r="B463" s="112" t="s">
        <v>331</v>
      </c>
      <c r="C463" s="260">
        <f t="shared" si="9"/>
        <v>0</v>
      </c>
      <c r="D463" s="112">
        <f t="shared" si="9"/>
        <v>0</v>
      </c>
      <c r="E463" s="113">
        <f t="shared" si="10"/>
        <v>0</v>
      </c>
      <c r="F463" s="116">
        <f t="shared" si="12"/>
        <v>0</v>
      </c>
      <c r="G463" s="113">
        <f t="shared" si="11"/>
        <v>0</v>
      </c>
    </row>
    <row r="464" spans="1:7">
      <c r="A464" s="729"/>
      <c r="B464" s="115" t="s">
        <v>440</v>
      </c>
      <c r="C464" s="261">
        <f t="shared" si="9"/>
        <v>0</v>
      </c>
      <c r="D464" s="210">
        <f t="shared" si="9"/>
        <v>0</v>
      </c>
      <c r="E464" s="116">
        <f t="shared" si="10"/>
        <v>0</v>
      </c>
      <c r="F464" s="116">
        <f t="shared" si="12"/>
        <v>0</v>
      </c>
      <c r="G464" s="116">
        <f t="shared" si="11"/>
        <v>0</v>
      </c>
    </row>
    <row r="465" spans="1:7">
      <c r="A465" s="730" t="s">
        <v>445</v>
      </c>
      <c r="B465" s="112" t="s">
        <v>331</v>
      </c>
      <c r="C465" s="260">
        <f t="shared" si="9"/>
        <v>0</v>
      </c>
      <c r="D465" s="112">
        <f t="shared" si="9"/>
        <v>0</v>
      </c>
      <c r="E465" s="113">
        <f t="shared" si="10"/>
        <v>0</v>
      </c>
      <c r="F465" s="116">
        <f t="shared" si="12"/>
        <v>0</v>
      </c>
      <c r="G465" s="113">
        <f t="shared" si="11"/>
        <v>0</v>
      </c>
    </row>
    <row r="466" spans="1:7">
      <c r="A466" s="731"/>
      <c r="B466" s="115" t="s">
        <v>440</v>
      </c>
      <c r="C466" s="261">
        <f t="shared" si="9"/>
        <v>0</v>
      </c>
      <c r="D466" s="210">
        <f t="shared" si="9"/>
        <v>0</v>
      </c>
      <c r="E466" s="113">
        <f t="shared" si="10"/>
        <v>0</v>
      </c>
      <c r="F466" s="116">
        <f t="shared" si="12"/>
        <v>0</v>
      </c>
      <c r="G466" s="116">
        <f t="shared" si="11"/>
        <v>0</v>
      </c>
    </row>
    <row r="467" spans="1:7">
      <c r="A467" s="730" t="s">
        <v>18</v>
      </c>
      <c r="B467" s="112" t="s">
        <v>331</v>
      </c>
      <c r="C467" s="260">
        <f t="shared" ref="C467:D482" si="13">C270+C171+C74</f>
        <v>0</v>
      </c>
      <c r="D467" s="112">
        <f t="shared" si="13"/>
        <v>0</v>
      </c>
      <c r="E467" s="113">
        <f t="shared" si="10"/>
        <v>0</v>
      </c>
      <c r="F467" s="116">
        <f t="shared" si="12"/>
        <v>0</v>
      </c>
      <c r="G467" s="113">
        <f t="shared" si="11"/>
        <v>0</v>
      </c>
    </row>
    <row r="468" spans="1:7">
      <c r="A468" s="731"/>
      <c r="B468" s="115" t="s">
        <v>440</v>
      </c>
      <c r="C468" s="261">
        <f t="shared" si="13"/>
        <v>0</v>
      </c>
      <c r="D468" s="210">
        <f t="shared" si="13"/>
        <v>0</v>
      </c>
      <c r="E468" s="113">
        <f t="shared" si="10"/>
        <v>0</v>
      </c>
      <c r="F468" s="116">
        <f t="shared" si="12"/>
        <v>0</v>
      </c>
      <c r="G468" s="116">
        <f t="shared" si="11"/>
        <v>0</v>
      </c>
    </row>
    <row r="469" spans="1:7">
      <c r="A469" s="730" t="s">
        <v>446</v>
      </c>
      <c r="B469" s="112" t="s">
        <v>331</v>
      </c>
      <c r="C469" s="260">
        <f t="shared" si="13"/>
        <v>0</v>
      </c>
      <c r="D469" s="112">
        <f t="shared" si="13"/>
        <v>0</v>
      </c>
      <c r="E469" s="113">
        <f t="shared" si="10"/>
        <v>0</v>
      </c>
      <c r="F469" s="116">
        <f t="shared" si="12"/>
        <v>0</v>
      </c>
      <c r="G469" s="113">
        <f t="shared" si="11"/>
        <v>0</v>
      </c>
    </row>
    <row r="470" spans="1:7">
      <c r="A470" s="731"/>
      <c r="B470" s="115" t="s">
        <v>440</v>
      </c>
      <c r="C470" s="261">
        <f t="shared" si="13"/>
        <v>0</v>
      </c>
      <c r="D470" s="210">
        <f t="shared" si="13"/>
        <v>0</v>
      </c>
      <c r="E470" s="113">
        <f t="shared" si="10"/>
        <v>0</v>
      </c>
      <c r="F470" s="116">
        <f t="shared" si="12"/>
        <v>0</v>
      </c>
      <c r="G470" s="116">
        <f t="shared" si="11"/>
        <v>0</v>
      </c>
    </row>
    <row r="471" spans="1:7">
      <c r="A471" s="730" t="s">
        <v>20</v>
      </c>
      <c r="B471" s="112" t="s">
        <v>331</v>
      </c>
      <c r="C471" s="260">
        <f t="shared" si="13"/>
        <v>0</v>
      </c>
      <c r="D471" s="112">
        <f t="shared" si="13"/>
        <v>0</v>
      </c>
      <c r="E471" s="113">
        <f t="shared" si="10"/>
        <v>0</v>
      </c>
      <c r="F471" s="116">
        <f t="shared" si="12"/>
        <v>0</v>
      </c>
      <c r="G471" s="113">
        <f t="shared" si="11"/>
        <v>0</v>
      </c>
    </row>
    <row r="472" spans="1:7">
      <c r="A472" s="731"/>
      <c r="B472" s="115" t="s">
        <v>440</v>
      </c>
      <c r="C472" s="261">
        <f t="shared" si="13"/>
        <v>0</v>
      </c>
      <c r="D472" s="210">
        <f t="shared" si="13"/>
        <v>0</v>
      </c>
      <c r="E472" s="116">
        <f t="shared" si="10"/>
        <v>0</v>
      </c>
      <c r="F472" s="116">
        <f t="shared" si="12"/>
        <v>0</v>
      </c>
      <c r="G472" s="116">
        <f t="shared" si="11"/>
        <v>0</v>
      </c>
    </row>
    <row r="473" spans="1:7">
      <c r="A473" s="730" t="s">
        <v>447</v>
      </c>
      <c r="B473" s="112" t="s">
        <v>41</v>
      </c>
      <c r="C473" s="260">
        <f t="shared" si="13"/>
        <v>0</v>
      </c>
      <c r="D473" s="112">
        <f t="shared" si="13"/>
        <v>0</v>
      </c>
      <c r="E473" s="113">
        <f t="shared" si="10"/>
        <v>0</v>
      </c>
      <c r="F473" s="116">
        <f t="shared" si="12"/>
        <v>0</v>
      </c>
      <c r="G473" s="113">
        <f t="shared" si="11"/>
        <v>0</v>
      </c>
    </row>
    <row r="474" spans="1:7">
      <c r="A474" s="731"/>
      <c r="B474" s="115" t="s">
        <v>440</v>
      </c>
      <c r="C474" s="261">
        <f t="shared" si="13"/>
        <v>0</v>
      </c>
      <c r="D474" s="210">
        <f t="shared" si="13"/>
        <v>0</v>
      </c>
      <c r="E474" s="113">
        <f t="shared" si="10"/>
        <v>0</v>
      </c>
      <c r="F474" s="116">
        <f t="shared" si="12"/>
        <v>0</v>
      </c>
      <c r="G474" s="116">
        <f t="shared" si="11"/>
        <v>0</v>
      </c>
    </row>
    <row r="475" spans="1:7">
      <c r="A475" s="728" t="s">
        <v>448</v>
      </c>
      <c r="B475" s="112" t="s">
        <v>443</v>
      </c>
      <c r="C475" s="260">
        <f t="shared" si="13"/>
        <v>0</v>
      </c>
      <c r="D475" s="112">
        <f t="shared" si="13"/>
        <v>0</v>
      </c>
      <c r="E475" s="113">
        <f>E278+E179+E82+E377</f>
        <v>0</v>
      </c>
      <c r="F475" s="116">
        <f t="shared" si="12"/>
        <v>0</v>
      </c>
      <c r="G475" s="113">
        <f t="shared" si="11"/>
        <v>0</v>
      </c>
    </row>
    <row r="476" spans="1:7">
      <c r="A476" s="729"/>
      <c r="B476" s="115" t="s">
        <v>440</v>
      </c>
      <c r="C476" s="261">
        <f t="shared" si="13"/>
        <v>0</v>
      </c>
      <c r="D476" s="210">
        <f t="shared" si="13"/>
        <v>0</v>
      </c>
      <c r="E476" s="113">
        <f t="shared" si="10"/>
        <v>0</v>
      </c>
      <c r="F476" s="116">
        <f t="shared" si="12"/>
        <v>0</v>
      </c>
      <c r="G476" s="116">
        <f t="shared" si="11"/>
        <v>0</v>
      </c>
    </row>
    <row r="477" spans="1:7">
      <c r="A477" s="728" t="s">
        <v>449</v>
      </c>
      <c r="B477" s="112" t="s">
        <v>41</v>
      </c>
      <c r="C477" s="260">
        <f t="shared" si="13"/>
        <v>0</v>
      </c>
      <c r="D477" s="112">
        <f t="shared" si="13"/>
        <v>0</v>
      </c>
      <c r="E477" s="113">
        <f t="shared" si="10"/>
        <v>0</v>
      </c>
      <c r="F477" s="116">
        <f t="shared" si="12"/>
        <v>0</v>
      </c>
      <c r="G477" s="113">
        <f t="shared" si="11"/>
        <v>0</v>
      </c>
    </row>
    <row r="478" spans="1:7">
      <c r="A478" s="729"/>
      <c r="B478" s="115" t="s">
        <v>440</v>
      </c>
      <c r="C478" s="261">
        <f t="shared" si="13"/>
        <v>0</v>
      </c>
      <c r="D478" s="210">
        <f t="shared" si="13"/>
        <v>0</v>
      </c>
      <c r="E478" s="113">
        <f t="shared" si="10"/>
        <v>0</v>
      </c>
      <c r="F478" s="116">
        <f t="shared" si="12"/>
        <v>0</v>
      </c>
      <c r="G478" s="116">
        <f t="shared" si="11"/>
        <v>0</v>
      </c>
    </row>
    <row r="479" spans="1:7">
      <c r="A479" s="728" t="s">
        <v>450</v>
      </c>
      <c r="B479" s="112" t="s">
        <v>41</v>
      </c>
      <c r="C479" s="260">
        <f t="shared" si="13"/>
        <v>0</v>
      </c>
      <c r="D479" s="112">
        <f t="shared" si="13"/>
        <v>0</v>
      </c>
      <c r="E479" s="113">
        <f t="shared" si="10"/>
        <v>0</v>
      </c>
      <c r="F479" s="116">
        <f t="shared" si="12"/>
        <v>0</v>
      </c>
      <c r="G479" s="113">
        <f t="shared" si="11"/>
        <v>0</v>
      </c>
    </row>
    <row r="480" spans="1:7">
      <c r="A480" s="729"/>
      <c r="B480" s="115" t="s">
        <v>440</v>
      </c>
      <c r="C480" s="261">
        <f t="shared" si="13"/>
        <v>0</v>
      </c>
      <c r="D480" s="210">
        <f t="shared" si="13"/>
        <v>0</v>
      </c>
      <c r="E480" s="113">
        <f t="shared" si="10"/>
        <v>0</v>
      </c>
      <c r="F480" s="116">
        <f t="shared" si="12"/>
        <v>0</v>
      </c>
      <c r="G480" s="113">
        <f t="shared" si="11"/>
        <v>0</v>
      </c>
    </row>
    <row r="481" spans="1:7">
      <c r="A481" s="115" t="s">
        <v>451</v>
      </c>
      <c r="B481" s="115" t="s">
        <v>440</v>
      </c>
      <c r="C481" s="261">
        <f t="shared" si="13"/>
        <v>0</v>
      </c>
      <c r="D481" s="210">
        <f t="shared" si="13"/>
        <v>0</v>
      </c>
      <c r="E481" s="262">
        <f t="shared" si="10"/>
        <v>0</v>
      </c>
      <c r="F481" s="116">
        <f t="shared" si="12"/>
        <v>0</v>
      </c>
      <c r="G481" s="116">
        <f t="shared" si="11"/>
        <v>0</v>
      </c>
    </row>
    <row r="482" spans="1:7">
      <c r="A482" s="169" t="s">
        <v>452</v>
      </c>
      <c r="B482" s="169" t="s">
        <v>453</v>
      </c>
      <c r="C482" s="261">
        <f t="shared" si="13"/>
        <v>0</v>
      </c>
      <c r="D482" s="210">
        <f t="shared" si="13"/>
        <v>0</v>
      </c>
      <c r="E482" s="262">
        <f t="shared" si="10"/>
        <v>0</v>
      </c>
      <c r="F482" s="116">
        <f t="shared" si="12"/>
        <v>0</v>
      </c>
      <c r="G482" s="116">
        <f t="shared" si="11"/>
        <v>0</v>
      </c>
    </row>
    <row r="483" spans="1:7" ht="21">
      <c r="A483" s="285" t="s">
        <v>454</v>
      </c>
      <c r="B483" s="283" t="s">
        <v>453</v>
      </c>
      <c r="C483" s="393">
        <f>C286+C187+C90+C385</f>
        <v>0</v>
      </c>
      <c r="D483" s="282">
        <f>D286+D187+D90+D385</f>
        <v>0</v>
      </c>
      <c r="E483" s="262">
        <f t="shared" si="10"/>
        <v>0</v>
      </c>
      <c r="F483" s="116">
        <f t="shared" ref="F483:G488" si="14">F90+F187+F286+F385</f>
        <v>0</v>
      </c>
      <c r="G483" s="116">
        <f t="shared" si="14"/>
        <v>0</v>
      </c>
    </row>
    <row r="484" spans="1:7">
      <c r="A484" s="168" t="s">
        <v>38</v>
      </c>
      <c r="B484" s="169" t="s">
        <v>453</v>
      </c>
      <c r="C484" s="393">
        <f>C287+C188+C91+C386</f>
        <v>0</v>
      </c>
      <c r="D484" s="282">
        <f>D287+D188+D91+D386</f>
        <v>0</v>
      </c>
      <c r="E484" s="262">
        <f t="shared" si="10"/>
        <v>0</v>
      </c>
      <c r="F484" s="116">
        <f t="shared" si="14"/>
        <v>0</v>
      </c>
      <c r="G484" s="116">
        <f t="shared" si="14"/>
        <v>0</v>
      </c>
    </row>
    <row r="485" spans="1:7">
      <c r="A485" s="124" t="s">
        <v>455</v>
      </c>
      <c r="B485" s="169" t="s">
        <v>453</v>
      </c>
      <c r="C485" s="393">
        <f t="shared" ref="C485:D488" si="15">C288+C189+C92+C387</f>
        <v>0</v>
      </c>
      <c r="D485" s="392">
        <f t="shared" si="15"/>
        <v>0</v>
      </c>
      <c r="E485" s="262">
        <f t="shared" si="10"/>
        <v>0</v>
      </c>
      <c r="F485" s="116">
        <f t="shared" si="14"/>
        <v>0</v>
      </c>
      <c r="G485" s="116">
        <f t="shared" si="14"/>
        <v>0</v>
      </c>
    </row>
    <row r="486" spans="1:7" ht="21">
      <c r="A486" s="285" t="s">
        <v>456</v>
      </c>
      <c r="B486" s="283" t="s">
        <v>453</v>
      </c>
      <c r="C486" s="282">
        <f>C289+C190+C93</f>
        <v>0</v>
      </c>
      <c r="D486" s="392">
        <f t="shared" si="15"/>
        <v>0</v>
      </c>
      <c r="E486" s="262">
        <f t="shared" si="10"/>
        <v>0</v>
      </c>
      <c r="F486" s="116">
        <f t="shared" si="14"/>
        <v>0</v>
      </c>
      <c r="G486" s="116">
        <f t="shared" si="14"/>
        <v>0</v>
      </c>
    </row>
    <row r="487" spans="1:7">
      <c r="A487" s="168" t="s">
        <v>38</v>
      </c>
      <c r="B487" s="169" t="s">
        <v>453</v>
      </c>
      <c r="C487" s="282">
        <f>C290+C191+C94</f>
        <v>0</v>
      </c>
      <c r="D487" s="392">
        <f t="shared" si="15"/>
        <v>0</v>
      </c>
      <c r="E487" s="262">
        <f t="shared" si="10"/>
        <v>0</v>
      </c>
      <c r="F487" s="116">
        <f t="shared" si="14"/>
        <v>0</v>
      </c>
      <c r="G487" s="116">
        <f t="shared" si="14"/>
        <v>0</v>
      </c>
    </row>
    <row r="488" spans="1:7">
      <c r="A488" s="124" t="s">
        <v>455</v>
      </c>
      <c r="B488" s="171" t="s">
        <v>453</v>
      </c>
      <c r="C488" s="282">
        <f>C291+C192+C95</f>
        <v>0</v>
      </c>
      <c r="D488" s="392">
        <f t="shared" si="15"/>
        <v>0</v>
      </c>
      <c r="E488" s="262">
        <f t="shared" si="10"/>
        <v>0</v>
      </c>
      <c r="F488" s="116">
        <f t="shared" si="14"/>
        <v>0</v>
      </c>
      <c r="G488" s="116">
        <f t="shared" si="14"/>
        <v>0</v>
      </c>
    </row>
    <row r="489" spans="1:7">
      <c r="A489" s="110"/>
      <c r="B489" s="110"/>
      <c r="C489" s="266"/>
      <c r="D489" s="109"/>
      <c r="E489" s="109"/>
      <c r="F489" s="109"/>
      <c r="G489" s="402"/>
    </row>
    <row r="490" spans="1:7" ht="45">
      <c r="A490" s="217" t="s">
        <v>565</v>
      </c>
      <c r="B490" s="110"/>
      <c r="C490" s="217" t="s">
        <v>602</v>
      </c>
      <c r="D490" t="s">
        <v>566</v>
      </c>
      <c r="E490" s="127" t="s">
        <v>597</v>
      </c>
      <c r="F490" s="359"/>
    </row>
  </sheetData>
  <mergeCells count="230">
    <mergeCell ref="B394:B395"/>
    <mergeCell ref="A396:A397"/>
    <mergeCell ref="A398:A399"/>
    <mergeCell ref="A400:A401"/>
    <mergeCell ref="A402:A403"/>
    <mergeCell ref="A404:A405"/>
    <mergeCell ref="C394:C395"/>
    <mergeCell ref="A308:A309"/>
    <mergeCell ref="A310:A311"/>
    <mergeCell ref="A312:A313"/>
    <mergeCell ref="A314:A315"/>
    <mergeCell ref="A316:A317"/>
    <mergeCell ref="A318:A319"/>
    <mergeCell ref="A320:A321"/>
    <mergeCell ref="A322:A323"/>
    <mergeCell ref="A344:D344"/>
    <mergeCell ref="A324:A325"/>
    <mergeCell ref="A326:A327"/>
    <mergeCell ref="A328:A329"/>
    <mergeCell ref="A330:A331"/>
    <mergeCell ref="A332:A333"/>
    <mergeCell ref="A393:D393"/>
    <mergeCell ref="A345:D345"/>
    <mergeCell ref="A353:A354"/>
    <mergeCell ref="A212:A213"/>
    <mergeCell ref="A214:A215"/>
    <mergeCell ref="A216:A217"/>
    <mergeCell ref="A218:A219"/>
    <mergeCell ref="A220:A221"/>
    <mergeCell ref="A202:A203"/>
    <mergeCell ref="A204:A205"/>
    <mergeCell ref="A206:A207"/>
    <mergeCell ref="A208:A209"/>
    <mergeCell ref="A210:A211"/>
    <mergeCell ref="A300:A301"/>
    <mergeCell ref="A302:A303"/>
    <mergeCell ref="A304:A305"/>
    <mergeCell ref="A232:A233"/>
    <mergeCell ref="A222:A223"/>
    <mergeCell ref="A224:A225"/>
    <mergeCell ref="A226:A227"/>
    <mergeCell ref="A228:A229"/>
    <mergeCell ref="A230:A231"/>
    <mergeCell ref="A451:A452"/>
    <mergeCell ref="A453:A454"/>
    <mergeCell ref="A455:A456"/>
    <mergeCell ref="A444:D444"/>
    <mergeCell ref="A406:A407"/>
    <mergeCell ref="A306:A307"/>
    <mergeCell ref="A242:D242"/>
    <mergeCell ref="A248:A249"/>
    <mergeCell ref="B248:B249"/>
    <mergeCell ref="A246:D246"/>
    <mergeCell ref="A260:A261"/>
    <mergeCell ref="A262:A263"/>
    <mergeCell ref="A264:A265"/>
    <mergeCell ref="A266:A267"/>
    <mergeCell ref="A268:A269"/>
    <mergeCell ref="A280:A281"/>
    <mergeCell ref="A282:A283"/>
    <mergeCell ref="A270:A271"/>
    <mergeCell ref="A272:A273"/>
    <mergeCell ref="A274:A275"/>
    <mergeCell ref="A276:A277"/>
    <mergeCell ref="A278:A279"/>
    <mergeCell ref="A375:A376"/>
    <mergeCell ref="A377:A378"/>
    <mergeCell ref="E246:G246"/>
    <mergeCell ref="A247:D247"/>
    <mergeCell ref="E247:G247"/>
    <mergeCell ref="C248:C249"/>
    <mergeCell ref="A250:A251"/>
    <mergeCell ref="A252:A253"/>
    <mergeCell ref="A254:A255"/>
    <mergeCell ref="A256:A257"/>
    <mergeCell ref="A258:A259"/>
    <mergeCell ref="E296:G296"/>
    <mergeCell ref="A298:A299"/>
    <mergeCell ref="B298:B299"/>
    <mergeCell ref="C298:C299"/>
    <mergeCell ref="A416:A417"/>
    <mergeCell ref="A418:A419"/>
    <mergeCell ref="A420:A421"/>
    <mergeCell ref="A422:A423"/>
    <mergeCell ref="A424:A425"/>
    <mergeCell ref="A296:D296"/>
    <mergeCell ref="A394:A395"/>
    <mergeCell ref="A408:A409"/>
    <mergeCell ref="A410:A411"/>
    <mergeCell ref="A412:A413"/>
    <mergeCell ref="A414:A415"/>
    <mergeCell ref="E345:G345"/>
    <mergeCell ref="A346:D346"/>
    <mergeCell ref="E346:G346"/>
    <mergeCell ref="A347:A348"/>
    <mergeCell ref="B347:B348"/>
    <mergeCell ref="C347:C348"/>
    <mergeCell ref="A349:A350"/>
    <mergeCell ref="A351:A352"/>
    <mergeCell ref="A373:A374"/>
    <mergeCell ref="A475:A476"/>
    <mergeCell ref="A477:A478"/>
    <mergeCell ref="A479:A480"/>
    <mergeCell ref="A1:D1"/>
    <mergeCell ref="A50:D50"/>
    <mergeCell ref="A98:D98"/>
    <mergeCell ref="A457:A458"/>
    <mergeCell ref="A459:A460"/>
    <mergeCell ref="A461:A462"/>
    <mergeCell ref="A463:A464"/>
    <mergeCell ref="A465:A466"/>
    <mergeCell ref="A467:A468"/>
    <mergeCell ref="A469:A470"/>
    <mergeCell ref="A471:A472"/>
    <mergeCell ref="A473:A474"/>
    <mergeCell ref="A445:A446"/>
    <mergeCell ref="B445:B446"/>
    <mergeCell ref="A447:A448"/>
    <mergeCell ref="A449:A450"/>
    <mergeCell ref="A426:A427"/>
    <mergeCell ref="A428:A429"/>
    <mergeCell ref="A440:D440"/>
    <mergeCell ref="A443:D443"/>
    <mergeCell ref="C445:C446"/>
    <mergeCell ref="B198:B199"/>
    <mergeCell ref="A200:A201"/>
    <mergeCell ref="A181:A182"/>
    <mergeCell ref="A183:A184"/>
    <mergeCell ref="A196:D196"/>
    <mergeCell ref="E196:G196"/>
    <mergeCell ref="C198:C199"/>
    <mergeCell ref="A132:A133"/>
    <mergeCell ref="A171:A172"/>
    <mergeCell ref="A173:A174"/>
    <mergeCell ref="A175:A176"/>
    <mergeCell ref="A177:A178"/>
    <mergeCell ref="A179:A180"/>
    <mergeCell ref="A161:A162"/>
    <mergeCell ref="A163:A164"/>
    <mergeCell ref="A165:A166"/>
    <mergeCell ref="A167:A168"/>
    <mergeCell ref="A169:A170"/>
    <mergeCell ref="E147:G147"/>
    <mergeCell ref="E148:G148"/>
    <mergeCell ref="A27:A28"/>
    <mergeCell ref="A29:A30"/>
    <mergeCell ref="A120:A121"/>
    <mergeCell ref="A151:A152"/>
    <mergeCell ref="A153:A154"/>
    <mergeCell ref="A155:A156"/>
    <mergeCell ref="A157:A158"/>
    <mergeCell ref="A159:A160"/>
    <mergeCell ref="A146:D146"/>
    <mergeCell ref="A149:A150"/>
    <mergeCell ref="B149:B150"/>
    <mergeCell ref="C149:C150"/>
    <mergeCell ref="A147:D147"/>
    <mergeCell ref="A148:D148"/>
    <mergeCell ref="A134:A135"/>
    <mergeCell ref="A124:A125"/>
    <mergeCell ref="A126:A127"/>
    <mergeCell ref="A128:A129"/>
    <mergeCell ref="A130:A131"/>
    <mergeCell ref="A122:A123"/>
    <mergeCell ref="A66:A67"/>
    <mergeCell ref="A68:A69"/>
    <mergeCell ref="A70:A71"/>
    <mergeCell ref="A72:A73"/>
    <mergeCell ref="C3:C4"/>
    <mergeCell ref="A52:A53"/>
    <mergeCell ref="B52:B53"/>
    <mergeCell ref="A33:A34"/>
    <mergeCell ref="A35:A36"/>
    <mergeCell ref="A37:A38"/>
    <mergeCell ref="E50:G50"/>
    <mergeCell ref="A51:D51"/>
    <mergeCell ref="E51:G51"/>
    <mergeCell ref="C52:C53"/>
    <mergeCell ref="A3:A4"/>
    <mergeCell ref="B3:B4"/>
    <mergeCell ref="A5:A6"/>
    <mergeCell ref="A7:A8"/>
    <mergeCell ref="A31:A32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74:A75"/>
    <mergeCell ref="A76:A77"/>
    <mergeCell ref="A54:A55"/>
    <mergeCell ref="A56:A57"/>
    <mergeCell ref="A58:A59"/>
    <mergeCell ref="A60:A61"/>
    <mergeCell ref="A62:A63"/>
    <mergeCell ref="A64:A65"/>
    <mergeCell ref="A97:D97"/>
    <mergeCell ref="A78:A79"/>
    <mergeCell ref="A80:A81"/>
    <mergeCell ref="A82:A83"/>
    <mergeCell ref="A84:A85"/>
    <mergeCell ref="A86:A87"/>
    <mergeCell ref="C100:C101"/>
    <mergeCell ref="A114:A115"/>
    <mergeCell ref="A116:A117"/>
    <mergeCell ref="A379:A380"/>
    <mergeCell ref="A381:A382"/>
    <mergeCell ref="A355:A356"/>
    <mergeCell ref="A357:A358"/>
    <mergeCell ref="A359:A360"/>
    <mergeCell ref="A361:A362"/>
    <mergeCell ref="A363:A364"/>
    <mergeCell ref="A365:A366"/>
    <mergeCell ref="A367:A368"/>
    <mergeCell ref="A369:A370"/>
    <mergeCell ref="A371:A372"/>
    <mergeCell ref="A104:A105"/>
    <mergeCell ref="A106:A107"/>
    <mergeCell ref="A108:A109"/>
    <mergeCell ref="A118:A119"/>
    <mergeCell ref="A110:A111"/>
    <mergeCell ref="A112:A113"/>
    <mergeCell ref="A100:A101"/>
    <mergeCell ref="B100:B101"/>
    <mergeCell ref="A102:A103"/>
    <mergeCell ref="A198:A199"/>
  </mergeCells>
  <pageMargins left="0.73" right="0.19685039370078741" top="0.35433070866141736" bottom="0.35433070866141736" header="0.31496062992125984" footer="0.31496062992125984"/>
  <pageSetup paperSize="9" orientation="portrait" r:id="rId1"/>
  <rowBreaks count="9" manualBreakCount="9">
    <brk id="48" max="16383" man="1"/>
    <brk id="97" max="3" man="1"/>
    <brk id="146" max="16383" man="1"/>
    <brk id="195" max="16383" man="1"/>
    <brk id="245" max="16383" man="1"/>
    <brk id="295" max="16383" man="1"/>
    <brk id="344" max="16383" man="1"/>
    <brk id="392" max="16383" man="1"/>
    <brk id="44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DL182"/>
  <sheetViews>
    <sheetView zoomScale="60" zoomScaleNormal="60" workbookViewId="0">
      <pane xSplit="9" ySplit="7" topLeftCell="J84" activePane="bottomRight" state="frozen"/>
      <selection pane="topRight" activeCell="J1" sqref="J1"/>
      <selection pane="bottomLeft" activeCell="A7" sqref="A7"/>
      <selection pane="bottomRight" activeCell="G7" sqref="G7:G176"/>
    </sheetView>
  </sheetViews>
  <sheetFormatPr defaultRowHeight="15"/>
  <cols>
    <col min="1" max="1" width="15.7109375" customWidth="1"/>
    <col min="2" max="2" width="7.28515625" customWidth="1"/>
    <col min="3" max="3" width="23.42578125" customWidth="1"/>
    <col min="4" max="4" width="6.5703125" bestFit="1" customWidth="1"/>
    <col min="10" max="10" width="6.28515625" customWidth="1"/>
    <col min="11" max="11" width="5.5703125" bestFit="1" customWidth="1"/>
    <col min="12" max="12" width="6.7109375" bestFit="1" customWidth="1"/>
    <col min="13" max="13" width="11.5703125" bestFit="1" customWidth="1"/>
    <col min="14" max="15" width="5.5703125" bestFit="1" customWidth="1"/>
    <col min="16" max="16" width="5.7109375" bestFit="1" customWidth="1"/>
    <col min="17" max="17" width="10.42578125" bestFit="1" customWidth="1"/>
    <col min="18" max="18" width="6.42578125" customWidth="1"/>
    <col min="19" max="19" width="6.7109375" bestFit="1" customWidth="1"/>
    <col min="20" max="20" width="5.5703125" bestFit="1" customWidth="1"/>
    <col min="21" max="21" width="10.42578125" bestFit="1" customWidth="1"/>
    <col min="22" max="23" width="5.5703125" bestFit="1" customWidth="1"/>
    <col min="24" max="24" width="7.28515625" bestFit="1" customWidth="1"/>
    <col min="25" max="25" width="6.7109375" customWidth="1"/>
    <col min="26" max="33" width="5.5703125" bestFit="1" customWidth="1"/>
    <col min="34" max="34" width="8.5703125" bestFit="1" customWidth="1"/>
    <col min="35" max="35" width="9.28515625" bestFit="1" customWidth="1"/>
    <col min="36" max="36" width="11.28515625" bestFit="1" customWidth="1"/>
    <col min="37" max="37" width="11" bestFit="1" customWidth="1"/>
    <col min="38" max="38" width="5" bestFit="1" customWidth="1"/>
    <col min="39" max="39" width="7.7109375" bestFit="1" customWidth="1"/>
    <col min="40" max="40" width="8.7109375" bestFit="1" customWidth="1"/>
    <col min="41" max="41" width="10.28515625" bestFit="1" customWidth="1"/>
    <col min="42" max="42" width="5.28515625" customWidth="1"/>
    <col min="43" max="43" width="9.7109375" bestFit="1" customWidth="1"/>
    <col min="44" max="44" width="10.42578125" bestFit="1" customWidth="1"/>
    <col min="45" max="45" width="5" bestFit="1" customWidth="1"/>
    <col min="46" max="46" width="6.42578125" bestFit="1" customWidth="1"/>
    <col min="47" max="47" width="9.42578125" bestFit="1" customWidth="1"/>
    <col min="48" max="48" width="7.28515625" customWidth="1"/>
    <col min="49" max="49" width="6.42578125" bestFit="1" customWidth="1"/>
    <col min="50" max="50" width="10.42578125" bestFit="1" customWidth="1"/>
    <col min="51" max="51" width="5" bestFit="1" customWidth="1"/>
    <col min="52" max="52" width="6.42578125" bestFit="1" customWidth="1"/>
    <col min="53" max="53" width="9.42578125" bestFit="1" customWidth="1"/>
    <col min="54" max="54" width="11.28515625" customWidth="1"/>
    <col min="55" max="55" width="7.42578125" bestFit="1" customWidth="1"/>
    <col min="56" max="56" width="10.42578125" bestFit="1" customWidth="1"/>
    <col min="57" max="57" width="5" bestFit="1" customWidth="1"/>
    <col min="58" max="58" width="7.28515625" bestFit="1" customWidth="1"/>
    <col min="59" max="59" width="9.42578125" bestFit="1" customWidth="1"/>
    <col min="60" max="60" width="8" customWidth="1"/>
    <col min="61" max="61" width="7.42578125" bestFit="1" customWidth="1"/>
    <col min="62" max="62" width="10.42578125" bestFit="1" customWidth="1"/>
    <col min="63" max="63" width="5" bestFit="1" customWidth="1"/>
    <col min="64" max="64" width="5.42578125" bestFit="1" customWidth="1"/>
    <col min="65" max="65" width="8.42578125" bestFit="1" customWidth="1"/>
    <col min="66" max="68" width="7.28515625" customWidth="1"/>
    <col min="69" max="71" width="5" bestFit="1" customWidth="1"/>
    <col min="72" max="72" width="7.7109375" bestFit="1" customWidth="1"/>
    <col min="73" max="76" width="5" bestFit="1" customWidth="1"/>
    <col min="77" max="77" width="8.7109375" bestFit="1" customWidth="1"/>
    <col min="78" max="78" width="8.5703125" customWidth="1"/>
    <col min="79" max="79" width="5.7109375" bestFit="1" customWidth="1"/>
    <col min="80" max="80" width="10.28515625" bestFit="1" customWidth="1"/>
    <col min="81" max="81" width="5" bestFit="1" customWidth="1"/>
    <col min="82" max="82" width="5.7109375" bestFit="1" customWidth="1"/>
    <col min="83" max="83" width="9.42578125" bestFit="1" customWidth="1"/>
    <col min="84" max="84" width="8.42578125" customWidth="1"/>
    <col min="85" max="85" width="7.7109375" bestFit="1" customWidth="1"/>
    <col min="86" max="86" width="9.42578125" bestFit="1" customWidth="1"/>
    <col min="87" max="87" width="5" bestFit="1" customWidth="1"/>
    <col min="88" max="88" width="5.42578125" bestFit="1" customWidth="1"/>
    <col min="89" max="89" width="8.42578125" bestFit="1" customWidth="1"/>
    <col min="90" max="90" width="9.5703125" customWidth="1"/>
    <col min="91" max="91" width="5.42578125" bestFit="1" customWidth="1"/>
    <col min="92" max="92" width="8.7109375" bestFit="1" customWidth="1"/>
    <col min="93" max="93" width="5" bestFit="1" customWidth="1"/>
    <col min="94" max="96" width="6.5703125" customWidth="1"/>
    <col min="97" max="97" width="7.28515625" bestFit="1" customWidth="1"/>
    <col min="98" max="98" width="10.28515625" bestFit="1" customWidth="1"/>
    <col min="99" max="103" width="6.5703125" customWidth="1"/>
    <col min="104" max="104" width="5" bestFit="1" customWidth="1"/>
    <col min="105" max="105" width="5.7109375" bestFit="1" customWidth="1"/>
    <col min="106" max="107" width="5" bestFit="1" customWidth="1"/>
    <col min="108" max="108" width="14.42578125" customWidth="1"/>
    <col min="109" max="109" width="15" customWidth="1"/>
    <col min="110" max="110" width="4.42578125" bestFit="1" customWidth="1"/>
    <col min="111" max="111" width="5.5703125" bestFit="1" customWidth="1"/>
    <col min="112" max="112" width="12.28515625" bestFit="1" customWidth="1"/>
    <col min="113" max="113" width="11" customWidth="1"/>
    <col min="114" max="114" width="5" bestFit="1" customWidth="1"/>
    <col min="115" max="115" width="13.5703125" bestFit="1" customWidth="1"/>
    <col min="116" max="116" width="10.28515625" bestFit="1" customWidth="1"/>
  </cols>
  <sheetData>
    <row r="1" spans="1:116">
      <c r="A1" t="s">
        <v>0</v>
      </c>
    </row>
    <row r="2" spans="1:116">
      <c r="A2" s="750" t="s">
        <v>2</v>
      </c>
      <c r="B2" s="750" t="s">
        <v>3</v>
      </c>
      <c r="C2" s="750" t="s">
        <v>4</v>
      </c>
      <c r="D2" s="750" t="s">
        <v>5</v>
      </c>
      <c r="E2" s="750" t="s">
        <v>6</v>
      </c>
      <c r="F2" s="664" t="s">
        <v>300</v>
      </c>
      <c r="G2" s="741" t="s">
        <v>55</v>
      </c>
      <c r="H2" s="744" t="s">
        <v>8</v>
      </c>
      <c r="I2" s="747" t="s">
        <v>7</v>
      </c>
      <c r="J2" s="104" t="s">
        <v>9</v>
      </c>
      <c r="K2" s="105"/>
      <c r="L2" s="105"/>
      <c r="M2" s="105"/>
      <c r="N2" s="105"/>
      <c r="O2" s="105"/>
      <c r="P2" s="105"/>
      <c r="Q2" s="106"/>
      <c r="R2" s="104" t="s">
        <v>10</v>
      </c>
      <c r="S2" s="105"/>
      <c r="T2" s="105"/>
      <c r="U2" s="105"/>
      <c r="V2" s="105"/>
      <c r="W2" s="105"/>
      <c r="X2" s="106"/>
      <c r="Y2" s="104" t="s">
        <v>11</v>
      </c>
      <c r="Z2" s="105"/>
      <c r="AA2" s="105"/>
      <c r="AB2" s="105"/>
      <c r="AC2" s="105"/>
      <c r="AD2" s="105"/>
      <c r="AE2" s="105"/>
      <c r="AF2" s="106"/>
      <c r="AG2" s="658" t="s">
        <v>12</v>
      </c>
      <c r="AH2" s="659"/>
      <c r="AI2" s="659"/>
      <c r="AJ2" s="659"/>
      <c r="AK2" s="659"/>
      <c r="AL2" s="659"/>
      <c r="AM2" s="659"/>
      <c r="AN2" s="659"/>
      <c r="AO2" s="660"/>
      <c r="AP2" s="658" t="s">
        <v>13</v>
      </c>
      <c r="AQ2" s="659"/>
      <c r="AR2" s="659"/>
      <c r="AS2" s="659"/>
      <c r="AT2" s="659"/>
      <c r="AU2" s="660"/>
      <c r="AV2" s="104" t="s">
        <v>14</v>
      </c>
      <c r="AW2" s="105"/>
      <c r="AX2" s="105"/>
      <c r="AY2" s="105"/>
      <c r="AZ2" s="105"/>
      <c r="BA2" s="106"/>
      <c r="BB2" s="658" t="s">
        <v>15</v>
      </c>
      <c r="BC2" s="659"/>
      <c r="BD2" s="659"/>
      <c r="BE2" s="659"/>
      <c r="BF2" s="659"/>
      <c r="BG2" s="660"/>
      <c r="BH2" s="104" t="s">
        <v>16</v>
      </c>
      <c r="BI2" s="105"/>
      <c r="BJ2" s="105"/>
      <c r="BK2" s="105"/>
      <c r="BL2" s="105"/>
      <c r="BM2" s="106"/>
      <c r="BN2" s="104" t="s">
        <v>17</v>
      </c>
      <c r="BO2" s="105"/>
      <c r="BP2" s="105"/>
      <c r="BQ2" s="105"/>
      <c r="BR2" s="105"/>
      <c r="BS2" s="106"/>
      <c r="BT2" s="104" t="s">
        <v>18</v>
      </c>
      <c r="BU2" s="105"/>
      <c r="BV2" s="105"/>
      <c r="BW2" s="105"/>
      <c r="BX2" s="105"/>
      <c r="BY2" s="106"/>
      <c r="BZ2" s="104" t="s">
        <v>19</v>
      </c>
      <c r="CA2" s="105"/>
      <c r="CB2" s="105"/>
      <c r="CC2" s="105"/>
      <c r="CD2" s="105"/>
      <c r="CE2" s="106"/>
      <c r="CF2" s="104" t="s">
        <v>20</v>
      </c>
      <c r="CG2" s="105"/>
      <c r="CH2" s="105"/>
      <c r="CI2" s="105"/>
      <c r="CJ2" s="105"/>
      <c r="CK2" s="106"/>
      <c r="CL2" s="104" t="s">
        <v>21</v>
      </c>
      <c r="CM2" s="105"/>
      <c r="CN2" s="105"/>
      <c r="CO2" s="105"/>
      <c r="CP2" s="105"/>
      <c r="CQ2" s="106"/>
      <c r="CR2" s="658" t="s">
        <v>22</v>
      </c>
      <c r="CS2" s="659"/>
      <c r="CT2" s="659"/>
      <c r="CU2" s="659"/>
      <c r="CV2" s="659"/>
      <c r="CW2" s="660"/>
      <c r="CX2" s="104" t="s">
        <v>23</v>
      </c>
      <c r="CY2" s="105"/>
      <c r="CZ2" s="105"/>
      <c r="DA2" s="105"/>
      <c r="DB2" s="105"/>
      <c r="DC2" s="106"/>
      <c r="DD2" s="104" t="s">
        <v>24</v>
      </c>
      <c r="DE2" s="105"/>
      <c r="DF2" s="106"/>
      <c r="DG2" s="104" t="s">
        <v>25</v>
      </c>
      <c r="DH2" s="105"/>
      <c r="DI2" s="105"/>
      <c r="DJ2" s="105"/>
      <c r="DK2" s="105"/>
      <c r="DL2" s="106"/>
    </row>
    <row r="3" spans="1:116">
      <c r="A3" s="750"/>
      <c r="B3" s="750"/>
      <c r="C3" s="750"/>
      <c r="D3" s="750"/>
      <c r="E3" s="750"/>
      <c r="F3" s="751"/>
      <c r="G3" s="742"/>
      <c r="H3" s="745"/>
      <c r="I3" s="748"/>
      <c r="J3" s="676" t="s">
        <v>34</v>
      </c>
      <c r="K3" s="676"/>
      <c r="L3" s="676"/>
      <c r="M3" s="676"/>
      <c r="N3" s="676" t="s">
        <v>35</v>
      </c>
      <c r="O3" s="676"/>
      <c r="P3" s="676"/>
      <c r="Q3" s="676"/>
      <c r="R3" s="676" t="s">
        <v>34</v>
      </c>
      <c r="S3" s="676"/>
      <c r="T3" s="676"/>
      <c r="U3" s="676"/>
      <c r="V3" s="676" t="s">
        <v>35</v>
      </c>
      <c r="W3" s="676"/>
      <c r="X3" s="676"/>
      <c r="Y3" s="676" t="s">
        <v>34</v>
      </c>
      <c r="Z3" s="676"/>
      <c r="AA3" s="676"/>
      <c r="AB3" s="676"/>
      <c r="AC3" s="676" t="s">
        <v>35</v>
      </c>
      <c r="AD3" s="676"/>
      <c r="AE3" s="676"/>
      <c r="AF3" s="676"/>
      <c r="AG3" s="676" t="s">
        <v>34</v>
      </c>
      <c r="AH3" s="676"/>
      <c r="AI3" s="676"/>
      <c r="AJ3" s="676"/>
      <c r="AK3" s="676"/>
      <c r="AL3" s="676" t="s">
        <v>35</v>
      </c>
      <c r="AM3" s="676"/>
      <c r="AN3" s="676"/>
      <c r="AO3" s="676"/>
      <c r="AP3" s="676" t="s">
        <v>34</v>
      </c>
      <c r="AQ3" s="676"/>
      <c r="AR3" s="676"/>
      <c r="AS3" s="676" t="s">
        <v>35</v>
      </c>
      <c r="AT3" s="676"/>
      <c r="AU3" s="676"/>
      <c r="AV3" s="676" t="s">
        <v>34</v>
      </c>
      <c r="AW3" s="676"/>
      <c r="AX3" s="676"/>
      <c r="AY3" s="676" t="s">
        <v>36</v>
      </c>
      <c r="AZ3" s="676"/>
      <c r="BA3" s="676"/>
      <c r="BB3" s="676" t="s">
        <v>34</v>
      </c>
      <c r="BC3" s="676"/>
      <c r="BD3" s="676"/>
      <c r="BE3" s="676" t="s">
        <v>35</v>
      </c>
      <c r="BF3" s="676"/>
      <c r="BG3" s="676"/>
      <c r="BH3" s="676" t="s">
        <v>34</v>
      </c>
      <c r="BI3" s="676"/>
      <c r="BJ3" s="676"/>
      <c r="BK3" s="676" t="s">
        <v>35</v>
      </c>
      <c r="BL3" s="676"/>
      <c r="BM3" s="676"/>
      <c r="BN3" s="676" t="s">
        <v>34</v>
      </c>
      <c r="BO3" s="676"/>
      <c r="BP3" s="676"/>
      <c r="BQ3" s="676" t="s">
        <v>35</v>
      </c>
      <c r="BR3" s="676"/>
      <c r="BS3" s="676"/>
      <c r="BT3" s="676" t="s">
        <v>34</v>
      </c>
      <c r="BU3" s="676"/>
      <c r="BV3" s="676"/>
      <c r="BW3" s="676" t="s">
        <v>35</v>
      </c>
      <c r="BX3" s="676"/>
      <c r="BY3" s="676"/>
      <c r="BZ3" s="676" t="s">
        <v>34</v>
      </c>
      <c r="CA3" s="676"/>
      <c r="CB3" s="676"/>
      <c r="CC3" s="676" t="s">
        <v>35</v>
      </c>
      <c r="CD3" s="676"/>
      <c r="CE3" s="676"/>
      <c r="CF3" s="676" t="s">
        <v>34</v>
      </c>
      <c r="CG3" s="676"/>
      <c r="CH3" s="676"/>
      <c r="CI3" s="676" t="s">
        <v>35</v>
      </c>
      <c r="CJ3" s="676"/>
      <c r="CK3" s="676"/>
      <c r="CL3" s="676" t="s">
        <v>34</v>
      </c>
      <c r="CM3" s="676"/>
      <c r="CN3" s="676"/>
      <c r="CO3" s="676" t="s">
        <v>35</v>
      </c>
      <c r="CP3" s="676"/>
      <c r="CQ3" s="676"/>
      <c r="CR3" s="676" t="s">
        <v>34</v>
      </c>
      <c r="CS3" s="676"/>
      <c r="CT3" s="676"/>
      <c r="CU3" s="676" t="s">
        <v>35</v>
      </c>
      <c r="CV3" s="676"/>
      <c r="CW3" s="676"/>
      <c r="CX3" s="676" t="s">
        <v>34</v>
      </c>
      <c r="CY3" s="676"/>
      <c r="CZ3" s="676"/>
      <c r="DA3" s="676" t="s">
        <v>35</v>
      </c>
      <c r="DB3" s="676"/>
      <c r="DC3" s="676"/>
      <c r="DD3" s="676" t="s">
        <v>34</v>
      </c>
      <c r="DE3" s="676"/>
      <c r="DF3" s="676"/>
      <c r="DG3" s="676" t="s">
        <v>34</v>
      </c>
      <c r="DH3" s="676"/>
      <c r="DI3" s="676"/>
      <c r="DJ3" s="676" t="s">
        <v>35</v>
      </c>
      <c r="DK3" s="676"/>
      <c r="DL3" s="676"/>
    </row>
    <row r="4" spans="1:116">
      <c r="A4" s="750"/>
      <c r="B4" s="750"/>
      <c r="C4" s="750"/>
      <c r="D4" s="750"/>
      <c r="E4" s="750"/>
      <c r="F4" s="751"/>
      <c r="G4" s="742"/>
      <c r="H4" s="745"/>
      <c r="I4" s="748"/>
      <c r="J4" s="676" t="s">
        <v>40</v>
      </c>
      <c r="K4" s="676" t="s">
        <v>41</v>
      </c>
      <c r="L4" s="737" t="s">
        <v>42</v>
      </c>
      <c r="M4" s="685" t="s">
        <v>43</v>
      </c>
      <c r="N4" s="676" t="s">
        <v>40</v>
      </c>
      <c r="O4" s="676" t="s">
        <v>41</v>
      </c>
      <c r="P4" s="737" t="s">
        <v>42</v>
      </c>
      <c r="Q4" s="735" t="s">
        <v>43</v>
      </c>
      <c r="R4" s="676" t="s">
        <v>40</v>
      </c>
      <c r="S4" s="676" t="s">
        <v>44</v>
      </c>
      <c r="T4" s="737" t="s">
        <v>45</v>
      </c>
      <c r="U4" s="740" t="s">
        <v>46</v>
      </c>
      <c r="V4" s="676" t="s">
        <v>40</v>
      </c>
      <c r="W4" s="676" t="s">
        <v>44</v>
      </c>
      <c r="X4" s="739" t="s">
        <v>46</v>
      </c>
      <c r="Y4" s="676" t="s">
        <v>40</v>
      </c>
      <c r="Z4" s="676" t="s">
        <v>47</v>
      </c>
      <c r="AA4" s="737" t="s">
        <v>306</v>
      </c>
      <c r="AB4" s="740" t="s">
        <v>48</v>
      </c>
      <c r="AC4" s="676" t="s">
        <v>40</v>
      </c>
      <c r="AD4" s="676" t="s">
        <v>47</v>
      </c>
      <c r="AE4" s="737" t="s">
        <v>45</v>
      </c>
      <c r="AF4" s="739" t="s">
        <v>48</v>
      </c>
      <c r="AG4" s="676" t="s">
        <v>40</v>
      </c>
      <c r="AH4" s="677" t="s">
        <v>49</v>
      </c>
      <c r="AI4" s="676" t="s">
        <v>44</v>
      </c>
      <c r="AJ4" s="737" t="s">
        <v>45</v>
      </c>
      <c r="AK4" s="740" t="s">
        <v>48</v>
      </c>
      <c r="AL4" s="676" t="s">
        <v>40</v>
      </c>
      <c r="AM4" s="676" t="s">
        <v>44</v>
      </c>
      <c r="AN4" s="737" t="s">
        <v>45</v>
      </c>
      <c r="AO4" s="739" t="s">
        <v>48</v>
      </c>
      <c r="AP4" s="676" t="s">
        <v>40</v>
      </c>
      <c r="AQ4" s="676" t="s">
        <v>47</v>
      </c>
      <c r="AR4" s="685" t="s">
        <v>43</v>
      </c>
      <c r="AS4" s="676" t="s">
        <v>40</v>
      </c>
      <c r="AT4" s="676" t="s">
        <v>47</v>
      </c>
      <c r="AU4" s="735" t="s">
        <v>43</v>
      </c>
      <c r="AV4" s="676" t="s">
        <v>40</v>
      </c>
      <c r="AW4" s="676" t="s">
        <v>47</v>
      </c>
      <c r="AX4" s="685" t="s">
        <v>43</v>
      </c>
      <c r="AY4" s="676" t="s">
        <v>40</v>
      </c>
      <c r="AZ4" s="676" t="s">
        <v>47</v>
      </c>
      <c r="BA4" s="735" t="s">
        <v>43</v>
      </c>
      <c r="BB4" s="676" t="s">
        <v>40</v>
      </c>
      <c r="BC4" s="676" t="s">
        <v>47</v>
      </c>
      <c r="BD4" s="685" t="s">
        <v>43</v>
      </c>
      <c r="BE4" s="676" t="s">
        <v>40</v>
      </c>
      <c r="BF4" s="676" t="s">
        <v>47</v>
      </c>
      <c r="BG4" s="735" t="s">
        <v>43</v>
      </c>
      <c r="BH4" s="676" t="s">
        <v>40</v>
      </c>
      <c r="BI4" s="676" t="s">
        <v>47</v>
      </c>
      <c r="BJ4" s="685" t="s">
        <v>43</v>
      </c>
      <c r="BK4" s="676" t="s">
        <v>40</v>
      </c>
      <c r="BL4" s="676" t="s">
        <v>47</v>
      </c>
      <c r="BM4" s="735" t="s">
        <v>43</v>
      </c>
      <c r="BN4" s="676" t="s">
        <v>40</v>
      </c>
      <c r="BO4" s="676" t="s">
        <v>47</v>
      </c>
      <c r="BP4" s="685" t="s">
        <v>43</v>
      </c>
      <c r="BQ4" s="676" t="s">
        <v>40</v>
      </c>
      <c r="BR4" s="676" t="s">
        <v>47</v>
      </c>
      <c r="BS4" s="735" t="s">
        <v>43</v>
      </c>
      <c r="BT4" s="676" t="s">
        <v>40</v>
      </c>
      <c r="BU4" s="676" t="s">
        <v>47</v>
      </c>
      <c r="BV4" s="685" t="s">
        <v>43</v>
      </c>
      <c r="BW4" s="676" t="s">
        <v>40</v>
      </c>
      <c r="BX4" s="676" t="s">
        <v>47</v>
      </c>
      <c r="BY4" s="735" t="s">
        <v>43</v>
      </c>
      <c r="BZ4" s="676" t="s">
        <v>40</v>
      </c>
      <c r="CA4" s="676" t="s">
        <v>47</v>
      </c>
      <c r="CB4" s="685" t="s">
        <v>43</v>
      </c>
      <c r="CC4" s="676" t="s">
        <v>40</v>
      </c>
      <c r="CD4" s="676" t="s">
        <v>47</v>
      </c>
      <c r="CE4" s="735" t="s">
        <v>43</v>
      </c>
      <c r="CF4" s="676" t="s">
        <v>40</v>
      </c>
      <c r="CG4" s="676" t="s">
        <v>47</v>
      </c>
      <c r="CH4" s="685" t="s">
        <v>43</v>
      </c>
      <c r="CI4" s="676" t="s">
        <v>40</v>
      </c>
      <c r="CJ4" s="676" t="s">
        <v>47</v>
      </c>
      <c r="CK4" s="735" t="s">
        <v>43</v>
      </c>
      <c r="CL4" s="676" t="s">
        <v>40</v>
      </c>
      <c r="CM4" s="676" t="s">
        <v>41</v>
      </c>
      <c r="CN4" s="685" t="s">
        <v>43</v>
      </c>
      <c r="CO4" s="676" t="s">
        <v>40</v>
      </c>
      <c r="CP4" s="676" t="s">
        <v>47</v>
      </c>
      <c r="CQ4" s="735" t="s">
        <v>43</v>
      </c>
      <c r="CR4" s="676" t="s">
        <v>40</v>
      </c>
      <c r="CS4" s="676" t="s">
        <v>44</v>
      </c>
      <c r="CT4" s="685" t="s">
        <v>43</v>
      </c>
      <c r="CU4" s="676" t="s">
        <v>40</v>
      </c>
      <c r="CV4" s="676" t="s">
        <v>44</v>
      </c>
      <c r="CW4" s="735" t="s">
        <v>43</v>
      </c>
      <c r="CX4" s="676" t="s">
        <v>40</v>
      </c>
      <c r="CY4" s="676" t="s">
        <v>44</v>
      </c>
      <c r="CZ4" s="685" t="s">
        <v>43</v>
      </c>
      <c r="DA4" s="676" t="s">
        <v>40</v>
      </c>
      <c r="DB4" s="676" t="s">
        <v>44</v>
      </c>
      <c r="DC4" s="735" t="s">
        <v>43</v>
      </c>
      <c r="DD4" s="676" t="s">
        <v>40</v>
      </c>
      <c r="DE4" s="677" t="s">
        <v>50</v>
      </c>
      <c r="DF4" s="685" t="s">
        <v>43</v>
      </c>
      <c r="DG4" s="676" t="s">
        <v>40</v>
      </c>
      <c r="DH4" s="676"/>
      <c r="DI4" s="685" t="s">
        <v>43</v>
      </c>
      <c r="DJ4" s="676" t="s">
        <v>40</v>
      </c>
      <c r="DK4" s="676"/>
      <c r="DL4" s="735" t="s">
        <v>43</v>
      </c>
    </row>
    <row r="5" spans="1:116" ht="20.65" customHeight="1">
      <c r="A5" s="750"/>
      <c r="B5" s="750"/>
      <c r="C5" s="750"/>
      <c r="D5" s="750"/>
      <c r="E5" s="750"/>
      <c r="F5" s="665"/>
      <c r="G5" s="743"/>
      <c r="H5" s="746"/>
      <c r="I5" s="749"/>
      <c r="J5" s="676"/>
      <c r="K5" s="676"/>
      <c r="L5" s="738"/>
      <c r="M5" s="686"/>
      <c r="N5" s="676"/>
      <c r="O5" s="676"/>
      <c r="P5" s="738"/>
      <c r="Q5" s="736"/>
      <c r="R5" s="676"/>
      <c r="S5" s="676"/>
      <c r="T5" s="738"/>
      <c r="U5" s="740"/>
      <c r="V5" s="676"/>
      <c r="W5" s="676"/>
      <c r="X5" s="739"/>
      <c r="Y5" s="676"/>
      <c r="Z5" s="676"/>
      <c r="AA5" s="738"/>
      <c r="AB5" s="740"/>
      <c r="AC5" s="676"/>
      <c r="AD5" s="676"/>
      <c r="AE5" s="738"/>
      <c r="AF5" s="739"/>
      <c r="AG5" s="676"/>
      <c r="AH5" s="678"/>
      <c r="AI5" s="676"/>
      <c r="AJ5" s="738"/>
      <c r="AK5" s="740"/>
      <c r="AL5" s="676"/>
      <c r="AM5" s="676"/>
      <c r="AN5" s="738"/>
      <c r="AO5" s="739"/>
      <c r="AP5" s="676"/>
      <c r="AQ5" s="676"/>
      <c r="AR5" s="686"/>
      <c r="AS5" s="676"/>
      <c r="AT5" s="676"/>
      <c r="AU5" s="736"/>
      <c r="AV5" s="676"/>
      <c r="AW5" s="676"/>
      <c r="AX5" s="686"/>
      <c r="AY5" s="676"/>
      <c r="AZ5" s="676"/>
      <c r="BA5" s="736"/>
      <c r="BB5" s="676"/>
      <c r="BC5" s="676"/>
      <c r="BD5" s="686"/>
      <c r="BE5" s="676"/>
      <c r="BF5" s="676"/>
      <c r="BG5" s="736"/>
      <c r="BH5" s="676"/>
      <c r="BI5" s="676"/>
      <c r="BJ5" s="686"/>
      <c r="BK5" s="676"/>
      <c r="BL5" s="676"/>
      <c r="BM5" s="736"/>
      <c r="BN5" s="676"/>
      <c r="BO5" s="676"/>
      <c r="BP5" s="686"/>
      <c r="BQ5" s="676"/>
      <c r="BR5" s="676"/>
      <c r="BS5" s="736"/>
      <c r="BT5" s="676"/>
      <c r="BU5" s="676"/>
      <c r="BV5" s="686"/>
      <c r="BW5" s="676"/>
      <c r="BX5" s="676"/>
      <c r="BY5" s="736"/>
      <c r="BZ5" s="676"/>
      <c r="CA5" s="676"/>
      <c r="CB5" s="686"/>
      <c r="CC5" s="676"/>
      <c r="CD5" s="676"/>
      <c r="CE5" s="736"/>
      <c r="CF5" s="676"/>
      <c r="CG5" s="676"/>
      <c r="CH5" s="686"/>
      <c r="CI5" s="676"/>
      <c r="CJ5" s="676"/>
      <c r="CK5" s="736"/>
      <c r="CL5" s="676"/>
      <c r="CM5" s="676"/>
      <c r="CN5" s="686"/>
      <c r="CO5" s="676"/>
      <c r="CP5" s="676"/>
      <c r="CQ5" s="736"/>
      <c r="CR5" s="676"/>
      <c r="CS5" s="676"/>
      <c r="CT5" s="686"/>
      <c r="CU5" s="676"/>
      <c r="CV5" s="676"/>
      <c r="CW5" s="736"/>
      <c r="CX5" s="676"/>
      <c r="CY5" s="676"/>
      <c r="CZ5" s="686"/>
      <c r="DA5" s="676"/>
      <c r="DB5" s="676"/>
      <c r="DC5" s="736"/>
      <c r="DD5" s="676"/>
      <c r="DE5" s="678"/>
      <c r="DF5" s="686"/>
      <c r="DG5" s="676"/>
      <c r="DH5" s="676"/>
      <c r="DI5" s="686"/>
      <c r="DJ5" s="676"/>
      <c r="DK5" s="676"/>
      <c r="DL5" s="736"/>
    </row>
    <row r="6" spans="1:116">
      <c r="A6" s="76">
        <v>2</v>
      </c>
      <c r="B6" s="76">
        <v>3</v>
      </c>
      <c r="C6" s="76">
        <v>4</v>
      </c>
      <c r="D6" s="76">
        <v>5</v>
      </c>
      <c r="E6" s="76">
        <v>6</v>
      </c>
      <c r="F6" s="39">
        <v>7</v>
      </c>
      <c r="G6" s="77">
        <v>8</v>
      </c>
      <c r="H6" s="78">
        <v>9</v>
      </c>
      <c r="I6" s="79">
        <v>10</v>
      </c>
      <c r="J6" s="76">
        <v>11</v>
      </c>
      <c r="K6" s="76">
        <v>12</v>
      </c>
      <c r="L6" s="76"/>
      <c r="M6" s="79">
        <v>13</v>
      </c>
      <c r="N6" s="76">
        <v>14</v>
      </c>
      <c r="O6" s="76">
        <v>15</v>
      </c>
      <c r="P6" s="76"/>
      <c r="Q6" s="77">
        <v>16</v>
      </c>
      <c r="R6" s="76">
        <v>17</v>
      </c>
      <c r="S6" s="76">
        <v>18</v>
      </c>
      <c r="T6" s="76"/>
      <c r="U6" s="79">
        <v>19</v>
      </c>
      <c r="V6" s="76">
        <v>20</v>
      </c>
      <c r="W6" s="76">
        <v>21</v>
      </c>
      <c r="X6" s="77">
        <v>22</v>
      </c>
      <c r="Y6" s="76">
        <v>23</v>
      </c>
      <c r="Z6" s="76">
        <v>24</v>
      </c>
      <c r="AA6" s="76"/>
      <c r="AB6" s="79">
        <v>25</v>
      </c>
      <c r="AC6" s="76">
        <v>26</v>
      </c>
      <c r="AD6" s="76">
        <v>27</v>
      </c>
      <c r="AE6" s="76"/>
      <c r="AF6" s="77">
        <v>28</v>
      </c>
      <c r="AG6" s="76">
        <v>29</v>
      </c>
      <c r="AH6" s="76"/>
      <c r="AI6" s="76">
        <v>30</v>
      </c>
      <c r="AJ6" s="76"/>
      <c r="AK6" s="79">
        <v>31</v>
      </c>
      <c r="AL6" s="76">
        <v>32</v>
      </c>
      <c r="AM6" s="76">
        <v>33</v>
      </c>
      <c r="AN6" s="76"/>
      <c r="AO6" s="77">
        <v>34</v>
      </c>
      <c r="AP6" s="76">
        <v>35</v>
      </c>
      <c r="AQ6" s="76">
        <v>36</v>
      </c>
      <c r="AR6" s="79">
        <v>37</v>
      </c>
      <c r="AS6" s="76">
        <v>38</v>
      </c>
      <c r="AT6" s="76">
        <v>39</v>
      </c>
      <c r="AU6" s="77">
        <v>40</v>
      </c>
      <c r="AV6" s="76">
        <v>41</v>
      </c>
      <c r="AW6" s="76">
        <v>42</v>
      </c>
      <c r="AX6" s="79">
        <v>43</v>
      </c>
      <c r="AY6" s="76">
        <v>44</v>
      </c>
      <c r="AZ6" s="76">
        <v>45</v>
      </c>
      <c r="BA6" s="77">
        <v>46</v>
      </c>
      <c r="BB6" s="76">
        <v>47</v>
      </c>
      <c r="BC6" s="76">
        <v>48</v>
      </c>
      <c r="BD6" s="79">
        <v>49</v>
      </c>
      <c r="BE6" s="76">
        <v>50</v>
      </c>
      <c r="BF6" s="76">
        <v>51</v>
      </c>
      <c r="BG6" s="77">
        <v>52</v>
      </c>
      <c r="BH6" s="76">
        <v>53</v>
      </c>
      <c r="BI6" s="76">
        <v>54</v>
      </c>
      <c r="BJ6" s="79">
        <v>55</v>
      </c>
      <c r="BK6" s="76">
        <v>56</v>
      </c>
      <c r="BL6" s="76">
        <v>57</v>
      </c>
      <c r="BM6" s="77">
        <v>58</v>
      </c>
      <c r="BN6" s="76">
        <v>59</v>
      </c>
      <c r="BO6" s="76">
        <v>60</v>
      </c>
      <c r="BP6" s="79">
        <v>61</v>
      </c>
      <c r="BQ6" s="76">
        <v>62</v>
      </c>
      <c r="BR6" s="76">
        <v>63</v>
      </c>
      <c r="BS6" s="77">
        <v>64</v>
      </c>
      <c r="BT6" s="76">
        <v>65</v>
      </c>
      <c r="BU6" s="76">
        <v>66</v>
      </c>
      <c r="BV6" s="79">
        <v>67</v>
      </c>
      <c r="BW6" s="76">
        <v>68</v>
      </c>
      <c r="BX6" s="76">
        <v>69</v>
      </c>
      <c r="BY6" s="77">
        <v>70</v>
      </c>
      <c r="BZ6" s="76">
        <v>71</v>
      </c>
      <c r="CA6" s="76">
        <v>72</v>
      </c>
      <c r="CB6" s="79">
        <v>73</v>
      </c>
      <c r="CC6" s="76">
        <v>74</v>
      </c>
      <c r="CD6" s="76">
        <v>75</v>
      </c>
      <c r="CE6" s="77">
        <v>76</v>
      </c>
      <c r="CF6" s="76">
        <v>77</v>
      </c>
      <c r="CG6" s="76">
        <v>78</v>
      </c>
      <c r="CH6" s="79">
        <v>79</v>
      </c>
      <c r="CI6" s="76">
        <v>80</v>
      </c>
      <c r="CJ6" s="76">
        <v>81</v>
      </c>
      <c r="CK6" s="77">
        <v>82</v>
      </c>
      <c r="CL6" s="76">
        <v>83</v>
      </c>
      <c r="CM6" s="76">
        <v>84</v>
      </c>
      <c r="CN6" s="79">
        <v>85</v>
      </c>
      <c r="CO6" s="76">
        <v>86</v>
      </c>
      <c r="CP6" s="76">
        <v>87</v>
      </c>
      <c r="CQ6" s="77">
        <v>88</v>
      </c>
      <c r="CR6" s="76">
        <v>89</v>
      </c>
      <c r="CS6" s="76">
        <v>90</v>
      </c>
      <c r="CT6" s="79">
        <v>91</v>
      </c>
      <c r="CU6" s="76">
        <v>92</v>
      </c>
      <c r="CV6" s="76">
        <v>93</v>
      </c>
      <c r="CW6" s="77">
        <v>94</v>
      </c>
      <c r="CX6" s="76">
        <v>95</v>
      </c>
      <c r="CY6" s="76">
        <v>96</v>
      </c>
      <c r="CZ6" s="79">
        <v>97</v>
      </c>
      <c r="DA6" s="76">
        <v>98</v>
      </c>
      <c r="DB6" s="76">
        <v>99</v>
      </c>
      <c r="DC6" s="77">
        <v>100</v>
      </c>
      <c r="DD6" s="76">
        <v>101</v>
      </c>
      <c r="DE6" s="76">
        <v>102</v>
      </c>
      <c r="DF6" s="79">
        <v>103</v>
      </c>
      <c r="DG6" s="76">
        <v>104</v>
      </c>
      <c r="DH6" s="76">
        <v>105</v>
      </c>
      <c r="DI6" s="79">
        <v>106</v>
      </c>
      <c r="DJ6" s="76">
        <v>107</v>
      </c>
      <c r="DK6" s="76">
        <v>108</v>
      </c>
      <c r="DL6" s="77">
        <v>109</v>
      </c>
    </row>
    <row r="7" spans="1:116">
      <c r="A7" s="53" t="s">
        <v>301</v>
      </c>
      <c r="B7" s="40">
        <v>1</v>
      </c>
      <c r="C7" s="53" t="s">
        <v>211</v>
      </c>
      <c r="D7" s="54" t="s">
        <v>132</v>
      </c>
      <c r="E7" s="54">
        <v>7</v>
      </c>
      <c r="F7" s="59">
        <v>31.625044000000003</v>
      </c>
      <c r="G7" s="68">
        <f>(Q7+X7+AF7+AO7+AU7+BA7+BG7+BM7+BS7+BY7+CE7+CK7+CQ7+CW7+DC7+DL7)/1000</f>
        <v>0</v>
      </c>
      <c r="H7" s="47">
        <v>31.625044000000003</v>
      </c>
      <c r="I7" s="69">
        <v>124.1</v>
      </c>
      <c r="J7" s="41"/>
      <c r="K7" s="41"/>
      <c r="L7" s="41"/>
      <c r="M7" s="69"/>
      <c r="N7" s="41"/>
      <c r="O7" s="41"/>
      <c r="P7" s="41"/>
      <c r="Q7" s="68"/>
      <c r="R7" s="41"/>
      <c r="S7" s="41"/>
      <c r="T7" s="41"/>
      <c r="U7" s="69"/>
      <c r="V7" s="41"/>
      <c r="W7" s="41"/>
      <c r="X7" s="68"/>
      <c r="Y7" s="41"/>
      <c r="Z7" s="41"/>
      <c r="AA7" s="41"/>
      <c r="AB7" s="69"/>
      <c r="AC7" s="41"/>
      <c r="AD7" s="41"/>
      <c r="AE7" s="41"/>
      <c r="AF7" s="68"/>
      <c r="AG7" s="46" t="s">
        <v>402</v>
      </c>
      <c r="AH7" s="41" t="s">
        <v>308</v>
      </c>
      <c r="AI7" s="98">
        <v>146</v>
      </c>
      <c r="AJ7" s="41">
        <v>7.8</v>
      </c>
      <c r="AK7" s="69">
        <v>124100</v>
      </c>
      <c r="AL7" s="46"/>
      <c r="AM7" s="41"/>
      <c r="AN7" s="41"/>
      <c r="AO7" s="68"/>
      <c r="AP7" s="41"/>
      <c r="AQ7" s="41"/>
      <c r="AR7" s="69"/>
      <c r="AS7" s="46"/>
      <c r="AT7" s="41"/>
      <c r="AU7" s="68"/>
      <c r="AV7" s="41"/>
      <c r="AW7" s="41"/>
      <c r="AX7" s="69"/>
      <c r="AY7" s="41"/>
      <c r="AZ7" s="41"/>
      <c r="BA7" s="68"/>
      <c r="BB7" s="41"/>
      <c r="BC7" s="41"/>
      <c r="BD7" s="69"/>
      <c r="BE7" s="46"/>
      <c r="BF7" s="41"/>
      <c r="BG7" s="68"/>
      <c r="BH7" s="41"/>
      <c r="BI7" s="41"/>
      <c r="BJ7" s="69"/>
      <c r="BK7" s="46"/>
      <c r="BL7" s="41"/>
      <c r="BM7" s="68"/>
      <c r="BN7" s="41"/>
      <c r="BO7" s="41"/>
      <c r="BP7" s="69"/>
      <c r="BQ7" s="41"/>
      <c r="BR7" s="41"/>
      <c r="BS7" s="68"/>
      <c r="BT7" s="41"/>
      <c r="BU7" s="41"/>
      <c r="BV7" s="69"/>
      <c r="BW7" s="46"/>
      <c r="BX7" s="41"/>
      <c r="BY7" s="68"/>
      <c r="BZ7" s="41"/>
      <c r="CA7" s="41"/>
      <c r="CB7" s="69"/>
      <c r="CC7" s="46"/>
      <c r="CD7" s="41"/>
      <c r="CE7" s="68"/>
      <c r="CF7" s="41"/>
      <c r="CG7" s="41"/>
      <c r="CH7" s="69"/>
      <c r="CI7" s="41"/>
      <c r="CJ7" s="41"/>
      <c r="CK7" s="68"/>
      <c r="CL7" s="41"/>
      <c r="CM7" s="41"/>
      <c r="CN7" s="69"/>
      <c r="CO7" s="41"/>
      <c r="CP7" s="41"/>
      <c r="CQ7" s="68"/>
      <c r="CR7" s="41"/>
      <c r="CS7" s="41"/>
      <c r="CT7" s="69"/>
      <c r="CU7" s="41"/>
      <c r="CV7" s="41"/>
      <c r="CW7" s="68"/>
      <c r="CX7" s="41"/>
      <c r="CY7" s="41"/>
      <c r="CZ7" s="69"/>
      <c r="DA7" s="41"/>
      <c r="DB7" s="41"/>
      <c r="DC7" s="68"/>
      <c r="DD7" s="41"/>
      <c r="DE7" s="41"/>
      <c r="DF7" s="69"/>
      <c r="DG7" s="41"/>
      <c r="DH7" s="86"/>
      <c r="DI7" s="69">
        <v>0</v>
      </c>
      <c r="DJ7" s="46"/>
      <c r="DK7" s="41"/>
      <c r="DL7" s="68">
        <v>0</v>
      </c>
    </row>
    <row r="8" spans="1:116">
      <c r="A8" s="53" t="s">
        <v>301</v>
      </c>
      <c r="B8" s="40">
        <v>1</v>
      </c>
      <c r="C8" s="53" t="s">
        <v>211</v>
      </c>
      <c r="D8" s="54" t="s">
        <v>212</v>
      </c>
      <c r="E8" s="54">
        <v>7</v>
      </c>
      <c r="F8" s="59">
        <v>41.022856000000004</v>
      </c>
      <c r="G8" s="68">
        <f t="shared" ref="G8:G71" si="0">(Q8+X8+AF8+AO8+AU8+BA8+BG8+BM8+BS8+BY8+CE8+CK8+CQ8+CW8+DC8+DL8)/1000</f>
        <v>2.29068</v>
      </c>
      <c r="H8" s="47">
        <v>38.732176000000003</v>
      </c>
      <c r="I8" s="69">
        <v>124.1</v>
      </c>
      <c r="J8" s="41"/>
      <c r="K8" s="41"/>
      <c r="L8" s="41"/>
      <c r="M8" s="69"/>
      <c r="N8" s="41"/>
      <c r="O8" s="41"/>
      <c r="P8" s="41"/>
      <c r="Q8" s="68"/>
      <c r="R8" s="41"/>
      <c r="S8" s="41"/>
      <c r="T8" s="41"/>
      <c r="U8" s="69"/>
      <c r="V8" s="41"/>
      <c r="W8" s="41"/>
      <c r="X8" s="68"/>
      <c r="Y8" s="41"/>
      <c r="Z8" s="41"/>
      <c r="AA8" s="41"/>
      <c r="AB8" s="69"/>
      <c r="AC8" s="41"/>
      <c r="AD8" s="41"/>
      <c r="AE8" s="41"/>
      <c r="AF8" s="68"/>
      <c r="AG8" s="46" t="s">
        <v>402</v>
      </c>
      <c r="AH8" s="41" t="s">
        <v>308</v>
      </c>
      <c r="AI8" s="98">
        <v>146</v>
      </c>
      <c r="AJ8" s="41" t="s">
        <v>367</v>
      </c>
      <c r="AK8" s="69">
        <v>124100</v>
      </c>
      <c r="AL8" s="46"/>
      <c r="AM8" s="41"/>
      <c r="AN8" s="41"/>
      <c r="AO8" s="68"/>
      <c r="AP8" s="41"/>
      <c r="AQ8" s="41"/>
      <c r="AR8" s="69"/>
      <c r="AS8" s="46"/>
      <c r="AT8" s="41"/>
      <c r="AU8" s="68"/>
      <c r="AV8" s="41"/>
      <c r="AW8" s="41"/>
      <c r="AX8" s="69"/>
      <c r="AY8" s="41"/>
      <c r="AZ8" s="41"/>
      <c r="BA8" s="68"/>
      <c r="BB8" s="41"/>
      <c r="BC8" s="41"/>
      <c r="BD8" s="69"/>
      <c r="BE8" s="46" t="s">
        <v>323</v>
      </c>
      <c r="BF8" s="41">
        <v>3</v>
      </c>
      <c r="BG8" s="68">
        <v>2290.6799999999998</v>
      </c>
      <c r="BH8" s="41"/>
      <c r="BI8" s="41"/>
      <c r="BJ8" s="69"/>
      <c r="BK8" s="46"/>
      <c r="BL8" s="41"/>
      <c r="BM8" s="68"/>
      <c r="BN8" s="41"/>
      <c r="BO8" s="41"/>
      <c r="BP8" s="69"/>
      <c r="BQ8" s="41"/>
      <c r="BR8" s="41"/>
      <c r="BS8" s="68"/>
      <c r="BT8" s="41"/>
      <c r="BU8" s="41"/>
      <c r="BV8" s="69"/>
      <c r="BW8" s="46"/>
      <c r="BX8" s="41"/>
      <c r="BY8" s="68"/>
      <c r="BZ8" s="41"/>
      <c r="CA8" s="41"/>
      <c r="CB8" s="69"/>
      <c r="CC8" s="46"/>
      <c r="CD8" s="41"/>
      <c r="CE8" s="68"/>
      <c r="CF8" s="41"/>
      <c r="CG8" s="41"/>
      <c r="CH8" s="69"/>
      <c r="CI8" s="41"/>
      <c r="CJ8" s="41"/>
      <c r="CK8" s="68"/>
      <c r="CL8" s="41"/>
      <c r="CM8" s="41"/>
      <c r="CN8" s="69"/>
      <c r="CO8" s="41"/>
      <c r="CP8" s="41"/>
      <c r="CQ8" s="68"/>
      <c r="CR8" s="41"/>
      <c r="CS8" s="41"/>
      <c r="CT8" s="69"/>
      <c r="CU8" s="41"/>
      <c r="CV8" s="41"/>
      <c r="CW8" s="68"/>
      <c r="CX8" s="41"/>
      <c r="CY8" s="41"/>
      <c r="CZ8" s="69"/>
      <c r="DA8" s="41"/>
      <c r="DB8" s="41"/>
      <c r="DC8" s="68"/>
      <c r="DD8" s="41"/>
      <c r="DE8" s="41"/>
      <c r="DF8" s="69"/>
      <c r="DG8" s="41"/>
      <c r="DH8" s="86"/>
      <c r="DI8" s="69">
        <v>0</v>
      </c>
      <c r="DJ8" s="46"/>
      <c r="DK8" s="41"/>
      <c r="DL8" s="68">
        <v>0</v>
      </c>
    </row>
    <row r="9" spans="1:116">
      <c r="A9" s="53" t="s">
        <v>301</v>
      </c>
      <c r="B9" s="40">
        <v>1</v>
      </c>
      <c r="C9" s="53" t="s">
        <v>211</v>
      </c>
      <c r="D9" s="54" t="s">
        <v>213</v>
      </c>
      <c r="E9" s="54">
        <v>7</v>
      </c>
      <c r="F9" s="59">
        <v>12.160376000000001</v>
      </c>
      <c r="G9" s="68">
        <f t="shared" si="0"/>
        <v>0</v>
      </c>
      <c r="H9" s="47">
        <v>12.160376000000001</v>
      </c>
      <c r="I9" s="69">
        <v>0</v>
      </c>
      <c r="J9" s="41"/>
      <c r="K9" s="41"/>
      <c r="L9" s="41"/>
      <c r="M9" s="69"/>
      <c r="N9" s="41"/>
      <c r="O9" s="41"/>
      <c r="P9" s="41"/>
      <c r="Q9" s="68"/>
      <c r="R9" s="41"/>
      <c r="S9" s="41"/>
      <c r="T9" s="41"/>
      <c r="U9" s="69"/>
      <c r="V9" s="41"/>
      <c r="W9" s="41"/>
      <c r="X9" s="68"/>
      <c r="Y9" s="41"/>
      <c r="Z9" s="41"/>
      <c r="AA9" s="41"/>
      <c r="AB9" s="69"/>
      <c r="AC9" s="41"/>
      <c r="AD9" s="41"/>
      <c r="AE9" s="41"/>
      <c r="AF9" s="68"/>
      <c r="AG9" s="41"/>
      <c r="AH9" s="41"/>
      <c r="AI9" s="41"/>
      <c r="AJ9" s="41"/>
      <c r="AK9" s="69"/>
      <c r="AL9" s="46"/>
      <c r="AM9" s="41"/>
      <c r="AN9" s="41"/>
      <c r="AO9" s="68"/>
      <c r="AP9" s="41"/>
      <c r="AQ9" s="41"/>
      <c r="AR9" s="69"/>
      <c r="AS9" s="46"/>
      <c r="AT9" s="41"/>
      <c r="AU9" s="68"/>
      <c r="AV9" s="41"/>
      <c r="AW9" s="41"/>
      <c r="AX9" s="69"/>
      <c r="AY9" s="41"/>
      <c r="AZ9" s="41"/>
      <c r="BA9" s="68"/>
      <c r="BB9" s="41"/>
      <c r="BC9" s="41"/>
      <c r="BD9" s="69"/>
      <c r="BE9" s="46"/>
      <c r="BF9" s="41"/>
      <c r="BG9" s="68"/>
      <c r="BH9" s="41"/>
      <c r="BI9" s="41"/>
      <c r="BJ9" s="69"/>
      <c r="BK9" s="46"/>
      <c r="BL9" s="41"/>
      <c r="BM9" s="68"/>
      <c r="BN9" s="41"/>
      <c r="BO9" s="41"/>
      <c r="BP9" s="69"/>
      <c r="BQ9" s="41"/>
      <c r="BR9" s="41"/>
      <c r="BS9" s="68"/>
      <c r="BT9" s="41"/>
      <c r="BU9" s="41"/>
      <c r="BV9" s="69"/>
      <c r="BW9" s="46"/>
      <c r="BX9" s="41"/>
      <c r="BY9" s="68"/>
      <c r="BZ9" s="41"/>
      <c r="CA9" s="41"/>
      <c r="CB9" s="69"/>
      <c r="CC9" s="46"/>
      <c r="CD9" s="41"/>
      <c r="CE9" s="68"/>
      <c r="CF9" s="41"/>
      <c r="CG9" s="41"/>
      <c r="CH9" s="69"/>
      <c r="CI9" s="41"/>
      <c r="CJ9" s="41"/>
      <c r="CK9" s="68"/>
      <c r="CL9" s="41"/>
      <c r="CM9" s="41"/>
      <c r="CN9" s="69"/>
      <c r="CO9" s="41"/>
      <c r="CP9" s="41"/>
      <c r="CQ9" s="68"/>
      <c r="CR9" s="41"/>
      <c r="CS9" s="41"/>
      <c r="CT9" s="69"/>
      <c r="CU9" s="41"/>
      <c r="CV9" s="41"/>
      <c r="CW9" s="68"/>
      <c r="CX9" s="41"/>
      <c r="CY9" s="41"/>
      <c r="CZ9" s="69"/>
      <c r="DA9" s="41"/>
      <c r="DB9" s="41"/>
      <c r="DC9" s="68"/>
      <c r="DD9" s="41"/>
      <c r="DE9" s="41"/>
      <c r="DF9" s="69"/>
      <c r="DG9" s="41"/>
      <c r="DH9" s="86"/>
      <c r="DI9" s="69">
        <v>0</v>
      </c>
      <c r="DJ9" s="46"/>
      <c r="DK9" s="41"/>
      <c r="DL9" s="68">
        <v>0</v>
      </c>
    </row>
    <row r="10" spans="1:116">
      <c r="A10" s="91" t="s">
        <v>301</v>
      </c>
      <c r="B10" s="90">
        <v>1</v>
      </c>
      <c r="C10" s="91" t="s">
        <v>211</v>
      </c>
      <c r="D10" s="92" t="s">
        <v>214</v>
      </c>
      <c r="E10" s="92">
        <v>7</v>
      </c>
      <c r="F10" s="94">
        <v>-18.240809999999996</v>
      </c>
      <c r="G10" s="68">
        <f t="shared" si="0"/>
        <v>0</v>
      </c>
      <c r="H10" s="93">
        <v>-18.240809999999996</v>
      </c>
      <c r="I10" s="93">
        <v>0</v>
      </c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46"/>
      <c r="AM10" s="93"/>
      <c r="AN10" s="93"/>
      <c r="AO10" s="93"/>
      <c r="AP10" s="93"/>
      <c r="AQ10" s="93"/>
      <c r="AR10" s="93"/>
      <c r="AS10" s="46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46"/>
      <c r="BF10" s="93"/>
      <c r="BG10" s="93"/>
      <c r="BH10" s="93"/>
      <c r="BI10" s="93"/>
      <c r="BJ10" s="93"/>
      <c r="BK10" s="46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46"/>
      <c r="BX10" s="93"/>
      <c r="BY10" s="93"/>
      <c r="BZ10" s="93"/>
      <c r="CA10" s="93"/>
      <c r="CB10" s="93"/>
      <c r="CC10" s="46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5"/>
      <c r="DI10" s="93">
        <v>0</v>
      </c>
      <c r="DJ10" s="46"/>
      <c r="DK10" s="93"/>
      <c r="DL10" s="68">
        <v>0</v>
      </c>
    </row>
    <row r="11" spans="1:116" ht="23.25">
      <c r="A11" s="53" t="s">
        <v>301</v>
      </c>
      <c r="B11" s="40">
        <v>1</v>
      </c>
      <c r="C11" s="53" t="s">
        <v>211</v>
      </c>
      <c r="D11" s="54" t="s">
        <v>215</v>
      </c>
      <c r="E11" s="54">
        <v>7</v>
      </c>
      <c r="F11" s="59">
        <v>78.138783999999987</v>
      </c>
      <c r="G11" s="68">
        <f t="shared" si="0"/>
        <v>0</v>
      </c>
      <c r="H11" s="47">
        <v>78.138783999999987</v>
      </c>
      <c r="I11" s="69">
        <v>325.14</v>
      </c>
      <c r="J11" s="41"/>
      <c r="K11" s="41"/>
      <c r="L11" s="41"/>
      <c r="M11" s="69"/>
      <c r="N11" s="41"/>
      <c r="O11" s="41"/>
      <c r="P11" s="41"/>
      <c r="Q11" s="68"/>
      <c r="R11" s="41"/>
      <c r="S11" s="41"/>
      <c r="T11" s="41"/>
      <c r="U11" s="69"/>
      <c r="V11" s="41"/>
      <c r="W11" s="41"/>
      <c r="X11" s="68"/>
      <c r="Y11" s="41"/>
      <c r="Z11" s="41"/>
      <c r="AA11" s="41"/>
      <c r="AB11" s="69"/>
      <c r="AC11" s="41"/>
      <c r="AD11" s="41"/>
      <c r="AE11" s="41"/>
      <c r="AF11" s="68"/>
      <c r="AG11" s="46" t="s">
        <v>402</v>
      </c>
      <c r="AH11" s="41" t="s">
        <v>308</v>
      </c>
      <c r="AI11" s="98">
        <v>316</v>
      </c>
      <c r="AJ11" s="41">
        <v>7</v>
      </c>
      <c r="AK11" s="69">
        <v>268600</v>
      </c>
      <c r="AL11" s="46"/>
      <c r="AM11" s="41"/>
      <c r="AN11" s="41"/>
      <c r="AO11" s="68"/>
      <c r="AP11" s="41"/>
      <c r="AQ11" s="41"/>
      <c r="AR11" s="69"/>
      <c r="AS11" s="46"/>
      <c r="AT11" s="41"/>
      <c r="AU11" s="68"/>
      <c r="AV11" s="41"/>
      <c r="AW11" s="41"/>
      <c r="AX11" s="69"/>
      <c r="AY11" s="41"/>
      <c r="AZ11" s="41"/>
      <c r="BA11" s="68"/>
      <c r="BB11" s="41"/>
      <c r="BC11" s="41"/>
      <c r="BD11" s="69"/>
      <c r="BE11" s="46"/>
      <c r="BF11" s="41"/>
      <c r="BG11" s="68"/>
      <c r="BH11" s="41"/>
      <c r="BI11" s="41"/>
      <c r="BJ11" s="69"/>
      <c r="BK11" s="46"/>
      <c r="BL11" s="41"/>
      <c r="BM11" s="68"/>
      <c r="BN11" s="41"/>
      <c r="BO11" s="41"/>
      <c r="BP11" s="69"/>
      <c r="BQ11" s="41"/>
      <c r="BR11" s="41"/>
      <c r="BS11" s="68"/>
      <c r="BT11" s="41"/>
      <c r="BU11" s="41"/>
      <c r="BV11" s="69"/>
      <c r="BW11" s="46"/>
      <c r="BX11" s="41"/>
      <c r="BY11" s="68"/>
      <c r="BZ11" s="41"/>
      <c r="CA11" s="41"/>
      <c r="CB11" s="69"/>
      <c r="CC11" s="46"/>
      <c r="CD11" s="41"/>
      <c r="CE11" s="68"/>
      <c r="CF11" s="41"/>
      <c r="CG11" s="41"/>
      <c r="CH11" s="69"/>
      <c r="CI11" s="41"/>
      <c r="CJ11" s="41"/>
      <c r="CK11" s="68"/>
      <c r="CL11" s="41"/>
      <c r="CM11" s="41"/>
      <c r="CN11" s="69"/>
      <c r="CO11" s="41"/>
      <c r="CP11" s="41"/>
      <c r="CQ11" s="68"/>
      <c r="CR11" s="41"/>
      <c r="CS11" s="41"/>
      <c r="CT11" s="69"/>
      <c r="CU11" s="41"/>
      <c r="CV11" s="41"/>
      <c r="CW11" s="68"/>
      <c r="CX11" s="41"/>
      <c r="CY11" s="41"/>
      <c r="CZ11" s="69"/>
      <c r="DA11" s="41"/>
      <c r="DB11" s="41"/>
      <c r="DC11" s="68"/>
      <c r="DD11" s="41"/>
      <c r="DE11" s="41"/>
      <c r="DF11" s="69"/>
      <c r="DG11" s="41" t="s">
        <v>403</v>
      </c>
      <c r="DH11" s="85" t="s">
        <v>416</v>
      </c>
      <c r="DI11" s="69">
        <v>56540</v>
      </c>
      <c r="DJ11" s="46"/>
      <c r="DK11" s="41"/>
      <c r="DL11" s="68">
        <v>0</v>
      </c>
    </row>
    <row r="12" spans="1:116">
      <c r="A12" s="53" t="s">
        <v>301</v>
      </c>
      <c r="B12" s="40">
        <v>1</v>
      </c>
      <c r="C12" s="53" t="s">
        <v>211</v>
      </c>
      <c r="D12" s="54" t="s">
        <v>216</v>
      </c>
      <c r="E12" s="54">
        <v>7</v>
      </c>
      <c r="F12" s="59">
        <v>69.797207999999998</v>
      </c>
      <c r="G12" s="68">
        <f t="shared" si="0"/>
        <v>19.588720000000002</v>
      </c>
      <c r="H12" s="47">
        <v>59.216267999999999</v>
      </c>
      <c r="I12" s="69">
        <v>221.8</v>
      </c>
      <c r="J12" s="41"/>
      <c r="K12" s="41"/>
      <c r="L12" s="41"/>
      <c r="M12" s="69"/>
      <c r="N12" s="41"/>
      <c r="O12" s="41"/>
      <c r="P12" s="41"/>
      <c r="Q12" s="68"/>
      <c r="R12" s="41"/>
      <c r="S12" s="41"/>
      <c r="T12" s="41"/>
      <c r="U12" s="69"/>
      <c r="V12" s="41"/>
      <c r="W12" s="41"/>
      <c r="X12" s="68"/>
      <c r="Y12" s="41"/>
      <c r="Z12" s="41"/>
      <c r="AA12" s="41"/>
      <c r="AB12" s="69"/>
      <c r="AC12" s="41"/>
      <c r="AD12" s="41"/>
      <c r="AE12" s="41"/>
      <c r="AF12" s="68"/>
      <c r="AG12" s="46" t="s">
        <v>402</v>
      </c>
      <c r="AH12" s="41" t="s">
        <v>308</v>
      </c>
      <c r="AI12" s="98">
        <v>217</v>
      </c>
      <c r="AJ12" s="41"/>
      <c r="AK12" s="69">
        <v>173600</v>
      </c>
      <c r="AL12" s="46"/>
      <c r="AM12" s="41"/>
      <c r="AN12" s="41"/>
      <c r="AO12" s="68"/>
      <c r="AP12" s="41"/>
      <c r="AQ12" s="41"/>
      <c r="AR12" s="69"/>
      <c r="AS12" s="46"/>
      <c r="AT12" s="41"/>
      <c r="AU12" s="68"/>
      <c r="AV12" s="41"/>
      <c r="AW12" s="41"/>
      <c r="AX12" s="69"/>
      <c r="AY12" s="41"/>
      <c r="AZ12" s="41"/>
      <c r="BA12" s="68"/>
      <c r="BB12" s="41" t="s">
        <v>403</v>
      </c>
      <c r="BC12" s="41">
        <v>25</v>
      </c>
      <c r="BD12" s="69">
        <v>48200</v>
      </c>
      <c r="BE12" s="46" t="s">
        <v>409</v>
      </c>
      <c r="BF12" s="41">
        <v>12</v>
      </c>
      <c r="BG12" s="68">
        <v>10580.94</v>
      </c>
      <c r="BH12" s="41"/>
      <c r="BI12" s="41"/>
      <c r="BJ12" s="69"/>
      <c r="BK12" s="46"/>
      <c r="BL12" s="41"/>
      <c r="BM12" s="68"/>
      <c r="BN12" s="41"/>
      <c r="BO12" s="41"/>
      <c r="BP12" s="69"/>
      <c r="BQ12" s="41"/>
      <c r="BR12" s="41"/>
      <c r="BS12" s="68"/>
      <c r="BT12" s="41"/>
      <c r="BU12" s="41"/>
      <c r="BV12" s="69"/>
      <c r="BW12" s="46"/>
      <c r="BX12" s="41"/>
      <c r="BY12" s="68"/>
      <c r="BZ12" s="41"/>
      <c r="CA12" s="41"/>
      <c r="CB12" s="69"/>
      <c r="CC12" s="46"/>
      <c r="CD12" s="41"/>
      <c r="CE12" s="68"/>
      <c r="CF12" s="41"/>
      <c r="CG12" s="41"/>
      <c r="CH12" s="69"/>
      <c r="CI12" s="41"/>
      <c r="CJ12" s="41"/>
      <c r="CK12" s="68"/>
      <c r="CL12" s="41"/>
      <c r="CM12" s="41"/>
      <c r="CN12" s="69"/>
      <c r="CO12" s="41"/>
      <c r="CP12" s="41"/>
      <c r="CQ12" s="68"/>
      <c r="CR12" s="41"/>
      <c r="CS12" s="41"/>
      <c r="CT12" s="69"/>
      <c r="CU12" s="41"/>
      <c r="CV12" s="41"/>
      <c r="CW12" s="68"/>
      <c r="CX12" s="41"/>
      <c r="CY12" s="41"/>
      <c r="CZ12" s="69"/>
      <c r="DA12" s="41"/>
      <c r="DB12" s="41"/>
      <c r="DC12" s="68"/>
      <c r="DD12" s="41"/>
      <c r="DE12" s="41"/>
      <c r="DF12" s="69"/>
      <c r="DG12" s="41"/>
      <c r="DH12" s="86"/>
      <c r="DI12" s="69">
        <v>0</v>
      </c>
      <c r="DJ12" s="46" t="s">
        <v>408</v>
      </c>
      <c r="DK12" s="41" t="s">
        <v>318</v>
      </c>
      <c r="DL12" s="68">
        <v>9007.7800000000007</v>
      </c>
    </row>
    <row r="13" spans="1:116">
      <c r="A13" s="53" t="s">
        <v>301</v>
      </c>
      <c r="B13" s="40">
        <v>1</v>
      </c>
      <c r="C13" s="53" t="s">
        <v>211</v>
      </c>
      <c r="D13" s="54" t="s">
        <v>217</v>
      </c>
      <c r="E13" s="54">
        <v>7</v>
      </c>
      <c r="F13" s="59">
        <v>44.592427999999998</v>
      </c>
      <c r="G13" s="68">
        <f t="shared" si="0"/>
        <v>0</v>
      </c>
      <c r="H13" s="47">
        <v>44.592427999999998</v>
      </c>
      <c r="I13" s="69">
        <v>44.59</v>
      </c>
      <c r="J13" s="41"/>
      <c r="K13" s="41"/>
      <c r="L13" s="41"/>
      <c r="M13" s="69"/>
      <c r="N13" s="41"/>
      <c r="O13" s="41"/>
      <c r="P13" s="41"/>
      <c r="Q13" s="68"/>
      <c r="R13" s="41"/>
      <c r="S13" s="41"/>
      <c r="T13" s="41"/>
      <c r="U13" s="69"/>
      <c r="V13" s="41"/>
      <c r="W13" s="41"/>
      <c r="X13" s="68"/>
      <c r="Y13" s="41"/>
      <c r="Z13" s="41"/>
      <c r="AA13" s="41"/>
      <c r="AB13" s="69"/>
      <c r="AC13" s="41"/>
      <c r="AD13" s="41"/>
      <c r="AE13" s="41"/>
      <c r="AF13" s="68"/>
      <c r="AG13" s="41"/>
      <c r="AH13" s="41"/>
      <c r="AI13" s="41"/>
      <c r="AJ13" s="41"/>
      <c r="AK13" s="69"/>
      <c r="AL13" s="46"/>
      <c r="AM13" s="41"/>
      <c r="AN13" s="41"/>
      <c r="AO13" s="68"/>
      <c r="AP13" s="41"/>
      <c r="AQ13" s="41"/>
      <c r="AR13" s="69"/>
      <c r="AS13" s="46"/>
      <c r="AT13" s="41"/>
      <c r="AU13" s="68"/>
      <c r="AV13" s="41"/>
      <c r="AW13" s="41"/>
      <c r="AX13" s="69"/>
      <c r="AY13" s="41"/>
      <c r="AZ13" s="41"/>
      <c r="BA13" s="68"/>
      <c r="BB13" s="41" t="s">
        <v>405</v>
      </c>
      <c r="BC13" s="41">
        <v>25</v>
      </c>
      <c r="BD13" s="69">
        <v>44590</v>
      </c>
      <c r="BE13" s="46"/>
      <c r="BF13" s="41"/>
      <c r="BG13" s="68"/>
      <c r="BH13" s="41"/>
      <c r="BI13" s="41"/>
      <c r="BJ13" s="69"/>
      <c r="BK13" s="46"/>
      <c r="BL13" s="41"/>
      <c r="BM13" s="68"/>
      <c r="BN13" s="41"/>
      <c r="BO13" s="41"/>
      <c r="BP13" s="69"/>
      <c r="BQ13" s="41"/>
      <c r="BR13" s="41"/>
      <c r="BS13" s="68"/>
      <c r="BT13" s="41"/>
      <c r="BU13" s="41"/>
      <c r="BV13" s="69"/>
      <c r="BW13" s="46"/>
      <c r="BX13" s="41"/>
      <c r="BY13" s="68"/>
      <c r="BZ13" s="41"/>
      <c r="CA13" s="41"/>
      <c r="CB13" s="69"/>
      <c r="CC13" s="46"/>
      <c r="CD13" s="41"/>
      <c r="CE13" s="68"/>
      <c r="CF13" s="41"/>
      <c r="CG13" s="41"/>
      <c r="CH13" s="69"/>
      <c r="CI13" s="41"/>
      <c r="CJ13" s="41"/>
      <c r="CK13" s="68"/>
      <c r="CL13" s="41"/>
      <c r="CM13" s="41"/>
      <c r="CN13" s="69"/>
      <c r="CO13" s="41"/>
      <c r="CP13" s="41"/>
      <c r="CQ13" s="68"/>
      <c r="CR13" s="41"/>
      <c r="CS13" s="41"/>
      <c r="CT13" s="69"/>
      <c r="CU13" s="41"/>
      <c r="CV13" s="41"/>
      <c r="CW13" s="68"/>
      <c r="CX13" s="41"/>
      <c r="CY13" s="41"/>
      <c r="CZ13" s="69"/>
      <c r="DA13" s="41"/>
      <c r="DB13" s="41"/>
      <c r="DC13" s="68"/>
      <c r="DD13" s="41"/>
      <c r="DE13" s="41"/>
      <c r="DF13" s="69"/>
      <c r="DG13" s="41"/>
      <c r="DH13" s="86"/>
      <c r="DI13" s="69">
        <v>0</v>
      </c>
      <c r="DJ13" s="46"/>
      <c r="DK13" s="41"/>
      <c r="DL13" s="68">
        <v>0</v>
      </c>
    </row>
    <row r="14" spans="1:116">
      <c r="A14" s="53" t="s">
        <v>301</v>
      </c>
      <c r="B14" s="40">
        <v>1</v>
      </c>
      <c r="C14" s="53" t="s">
        <v>211</v>
      </c>
      <c r="D14" s="54" t="s">
        <v>218</v>
      </c>
      <c r="E14" s="54">
        <v>7</v>
      </c>
      <c r="F14" s="59">
        <v>42.349753999999997</v>
      </c>
      <c r="G14" s="68">
        <f t="shared" si="0"/>
        <v>19.737189999999998</v>
      </c>
      <c r="H14" s="47">
        <v>42.349753999999997</v>
      </c>
      <c r="I14" s="69">
        <v>150.35</v>
      </c>
      <c r="J14" s="41"/>
      <c r="K14" s="41"/>
      <c r="L14" s="41"/>
      <c r="M14" s="69"/>
      <c r="N14" s="41"/>
      <c r="O14" s="41"/>
      <c r="P14" s="41"/>
      <c r="Q14" s="68"/>
      <c r="R14" s="41"/>
      <c r="S14" s="41"/>
      <c r="T14" s="41"/>
      <c r="U14" s="69"/>
      <c r="V14" s="41"/>
      <c r="W14" s="41"/>
      <c r="X14" s="68"/>
      <c r="Y14" s="41"/>
      <c r="Z14" s="41"/>
      <c r="AA14" s="41"/>
      <c r="AB14" s="69"/>
      <c r="AC14" s="41"/>
      <c r="AD14" s="41"/>
      <c r="AE14" s="41"/>
      <c r="AF14" s="68"/>
      <c r="AG14" s="46" t="s">
        <v>402</v>
      </c>
      <c r="AH14" s="41" t="s">
        <v>308</v>
      </c>
      <c r="AI14" s="98">
        <v>176</v>
      </c>
      <c r="AJ14" s="41"/>
      <c r="AK14" s="69">
        <v>149600</v>
      </c>
      <c r="AL14" s="46"/>
      <c r="AM14" s="41"/>
      <c r="AN14" s="41"/>
      <c r="AO14" s="68"/>
      <c r="AP14" s="41"/>
      <c r="AQ14" s="41"/>
      <c r="AR14" s="69"/>
      <c r="AS14" s="46"/>
      <c r="AT14" s="41"/>
      <c r="AU14" s="68"/>
      <c r="AV14" s="41"/>
      <c r="AW14" s="41"/>
      <c r="AX14" s="69"/>
      <c r="AY14" s="41"/>
      <c r="AZ14" s="41"/>
      <c r="BA14" s="68"/>
      <c r="BB14" s="41"/>
      <c r="BC14" s="41"/>
      <c r="BD14" s="69"/>
      <c r="BE14" s="46"/>
      <c r="BF14" s="41"/>
      <c r="BG14" s="68"/>
      <c r="BH14" s="41"/>
      <c r="BI14" s="41"/>
      <c r="BJ14" s="69"/>
      <c r="BK14" s="46"/>
      <c r="BL14" s="41"/>
      <c r="BM14" s="68"/>
      <c r="BN14" s="41"/>
      <c r="BO14" s="41"/>
      <c r="BP14" s="69"/>
      <c r="BQ14" s="41"/>
      <c r="BR14" s="41"/>
      <c r="BS14" s="68"/>
      <c r="BT14" s="41"/>
      <c r="BU14" s="41"/>
      <c r="BV14" s="69"/>
      <c r="BW14" s="46" t="s">
        <v>403</v>
      </c>
      <c r="BX14" s="41">
        <v>7</v>
      </c>
      <c r="BY14" s="68">
        <v>19737.189999999999</v>
      </c>
      <c r="BZ14" s="41"/>
      <c r="CA14" s="41"/>
      <c r="CB14" s="69"/>
      <c r="CC14" s="46"/>
      <c r="CD14" s="41"/>
      <c r="CE14" s="68"/>
      <c r="CF14" s="41"/>
      <c r="CG14" s="41"/>
      <c r="CH14" s="69"/>
      <c r="CI14" s="41"/>
      <c r="CJ14" s="41"/>
      <c r="CK14" s="68"/>
      <c r="CL14" s="41"/>
      <c r="CM14" s="41"/>
      <c r="CN14" s="69"/>
      <c r="CO14" s="41"/>
      <c r="CP14" s="41"/>
      <c r="CQ14" s="68"/>
      <c r="CR14" s="41"/>
      <c r="CS14" s="41"/>
      <c r="CT14" s="69"/>
      <c r="CU14" s="41"/>
      <c r="CV14" s="41"/>
      <c r="CW14" s="68"/>
      <c r="CX14" s="41"/>
      <c r="CY14" s="41"/>
      <c r="CZ14" s="69"/>
      <c r="DA14" s="41"/>
      <c r="DB14" s="41"/>
      <c r="DC14" s="68"/>
      <c r="DD14" s="41"/>
      <c r="DE14" s="41"/>
      <c r="DF14" s="69"/>
      <c r="DG14" s="41"/>
      <c r="DH14" s="86"/>
      <c r="DI14" s="69">
        <v>750</v>
      </c>
      <c r="DJ14" s="46"/>
      <c r="DK14" s="41"/>
      <c r="DL14" s="68">
        <v>0</v>
      </c>
    </row>
    <row r="15" spans="1:116" ht="23.25">
      <c r="A15" s="53" t="s">
        <v>301</v>
      </c>
      <c r="B15" s="40">
        <v>1</v>
      </c>
      <c r="C15" s="55" t="s">
        <v>219</v>
      </c>
      <c r="D15" s="54">
        <v>34</v>
      </c>
      <c r="E15" s="54">
        <v>6</v>
      </c>
      <c r="F15" s="59">
        <v>41.170287999999992</v>
      </c>
      <c r="G15" s="68">
        <f t="shared" si="0"/>
        <v>44.474089999999997</v>
      </c>
      <c r="H15" s="47">
        <v>41.170287999999992</v>
      </c>
      <c r="I15" s="69">
        <v>41.17</v>
      </c>
      <c r="J15" s="41"/>
      <c r="K15" s="41"/>
      <c r="L15" s="41"/>
      <c r="M15" s="69"/>
      <c r="N15" s="41"/>
      <c r="O15" s="41"/>
      <c r="P15" s="41"/>
      <c r="Q15" s="68"/>
      <c r="R15" s="41"/>
      <c r="S15" s="41"/>
      <c r="T15" s="41"/>
      <c r="U15" s="69"/>
      <c r="V15" s="41"/>
      <c r="W15" s="41"/>
      <c r="X15" s="68"/>
      <c r="Y15" s="41"/>
      <c r="Z15" s="41"/>
      <c r="AA15" s="41"/>
      <c r="AB15" s="69"/>
      <c r="AC15" s="41"/>
      <c r="AD15" s="41"/>
      <c r="AE15" s="41"/>
      <c r="AF15" s="68"/>
      <c r="AG15" s="41"/>
      <c r="AH15" s="41"/>
      <c r="AI15" s="41"/>
      <c r="AJ15" s="41"/>
      <c r="AK15" s="69"/>
      <c r="AL15" s="46"/>
      <c r="AM15" s="41"/>
      <c r="AN15" s="41"/>
      <c r="AO15" s="68"/>
      <c r="AP15" s="41"/>
      <c r="AQ15" s="41"/>
      <c r="AR15" s="69"/>
      <c r="AS15" s="46"/>
      <c r="AT15" s="41"/>
      <c r="AU15" s="68"/>
      <c r="AV15" s="41"/>
      <c r="AW15" s="41"/>
      <c r="AX15" s="69"/>
      <c r="AY15" s="41"/>
      <c r="AZ15" s="41"/>
      <c r="BA15" s="68"/>
      <c r="BB15" s="41"/>
      <c r="BC15" s="41"/>
      <c r="BD15" s="69"/>
      <c r="BE15" s="46"/>
      <c r="BF15" s="41"/>
      <c r="BG15" s="68"/>
      <c r="BH15" s="41"/>
      <c r="BI15" s="41"/>
      <c r="BJ15" s="69"/>
      <c r="BK15" s="46"/>
      <c r="BL15" s="41"/>
      <c r="BM15" s="68"/>
      <c r="BN15" s="41"/>
      <c r="BO15" s="41"/>
      <c r="BP15" s="69"/>
      <c r="BQ15" s="41"/>
      <c r="BR15" s="41"/>
      <c r="BS15" s="68"/>
      <c r="BT15" s="41"/>
      <c r="BU15" s="41"/>
      <c r="BV15" s="69"/>
      <c r="BW15" s="46"/>
      <c r="BX15" s="41"/>
      <c r="BY15" s="68"/>
      <c r="BZ15" s="41"/>
      <c r="CA15" s="41"/>
      <c r="CB15" s="69"/>
      <c r="CC15" s="46"/>
      <c r="CD15" s="41"/>
      <c r="CE15" s="68"/>
      <c r="CF15" s="41"/>
      <c r="CG15" s="41"/>
      <c r="CH15" s="69"/>
      <c r="CI15" s="41"/>
      <c r="CJ15" s="41"/>
      <c r="CK15" s="68"/>
      <c r="CL15" s="41"/>
      <c r="CM15" s="41"/>
      <c r="CN15" s="69"/>
      <c r="CO15" s="41"/>
      <c r="CP15" s="41"/>
      <c r="CQ15" s="68"/>
      <c r="CR15" s="41"/>
      <c r="CS15" s="41"/>
      <c r="CT15" s="69"/>
      <c r="CU15" s="41"/>
      <c r="CV15" s="41"/>
      <c r="CW15" s="68"/>
      <c r="CX15" s="41"/>
      <c r="CY15" s="41"/>
      <c r="CZ15" s="69"/>
      <c r="DA15" s="41"/>
      <c r="DB15" s="41"/>
      <c r="DC15" s="68"/>
      <c r="DD15" s="41"/>
      <c r="DE15" s="41"/>
      <c r="DF15" s="69"/>
      <c r="DG15" s="41" t="s">
        <v>408</v>
      </c>
      <c r="DH15" s="85" t="s">
        <v>398</v>
      </c>
      <c r="DI15" s="69">
        <v>41170</v>
      </c>
      <c r="DJ15" s="46" t="s">
        <v>402</v>
      </c>
      <c r="DK15" s="41" t="s">
        <v>473</v>
      </c>
      <c r="DL15" s="68">
        <v>44474.09</v>
      </c>
    </row>
    <row r="16" spans="1:116">
      <c r="A16" s="53" t="s">
        <v>301</v>
      </c>
      <c r="B16" s="40">
        <v>1</v>
      </c>
      <c r="C16" s="55" t="s">
        <v>219</v>
      </c>
      <c r="D16" s="54">
        <v>35</v>
      </c>
      <c r="E16" s="54">
        <v>6</v>
      </c>
      <c r="F16" s="59">
        <v>41.063522000000006</v>
      </c>
      <c r="G16" s="68">
        <f t="shared" si="0"/>
        <v>20.286439999999999</v>
      </c>
      <c r="H16" s="47">
        <v>20.777082000000007</v>
      </c>
      <c r="I16" s="69">
        <v>41.06</v>
      </c>
      <c r="J16" s="41"/>
      <c r="K16" s="41"/>
      <c r="L16" s="41"/>
      <c r="M16" s="69"/>
      <c r="N16" s="41"/>
      <c r="O16" s="41"/>
      <c r="P16" s="41"/>
      <c r="Q16" s="68"/>
      <c r="R16" s="41"/>
      <c r="S16" s="41"/>
      <c r="T16" s="41"/>
      <c r="U16" s="69"/>
      <c r="V16" s="41"/>
      <c r="W16" s="41"/>
      <c r="X16" s="68"/>
      <c r="Y16" s="41"/>
      <c r="Z16" s="41"/>
      <c r="AA16" s="41"/>
      <c r="AB16" s="69"/>
      <c r="AC16" s="41"/>
      <c r="AD16" s="41"/>
      <c r="AE16" s="41"/>
      <c r="AF16" s="68"/>
      <c r="AG16" s="41"/>
      <c r="AH16" s="41"/>
      <c r="AI16" s="41"/>
      <c r="AJ16" s="41"/>
      <c r="AK16" s="69"/>
      <c r="AL16" s="46"/>
      <c r="AM16" s="41"/>
      <c r="AN16" s="41"/>
      <c r="AO16" s="68"/>
      <c r="AP16" s="41"/>
      <c r="AQ16" s="41"/>
      <c r="AR16" s="69"/>
      <c r="AS16" s="46"/>
      <c r="AT16" s="41"/>
      <c r="AU16" s="68"/>
      <c r="AV16" s="41"/>
      <c r="AW16" s="41"/>
      <c r="AX16" s="69"/>
      <c r="AY16" s="41"/>
      <c r="AZ16" s="41"/>
      <c r="BA16" s="68"/>
      <c r="BB16" s="41"/>
      <c r="BC16" s="41"/>
      <c r="BD16" s="69"/>
      <c r="BE16" s="46" t="s">
        <v>362</v>
      </c>
      <c r="BF16" s="46">
        <v>9</v>
      </c>
      <c r="BG16" s="68">
        <v>20286.439999999999</v>
      </c>
      <c r="BH16" s="41"/>
      <c r="BI16" s="41"/>
      <c r="BJ16" s="69"/>
      <c r="BK16" s="46"/>
      <c r="BL16" s="41"/>
      <c r="BM16" s="68"/>
      <c r="BN16" s="41"/>
      <c r="BO16" s="41"/>
      <c r="BP16" s="69"/>
      <c r="BQ16" s="41"/>
      <c r="BR16" s="41"/>
      <c r="BS16" s="68"/>
      <c r="BT16" s="41"/>
      <c r="BU16" s="41"/>
      <c r="BV16" s="69"/>
      <c r="BW16" s="46"/>
      <c r="BX16" s="41"/>
      <c r="BY16" s="68"/>
      <c r="BZ16" s="41"/>
      <c r="CA16" s="41"/>
      <c r="CB16" s="69"/>
      <c r="CC16" s="46"/>
      <c r="CD16" s="41"/>
      <c r="CE16" s="68"/>
      <c r="CF16" s="41"/>
      <c r="CG16" s="41"/>
      <c r="CH16" s="69"/>
      <c r="CI16" s="41"/>
      <c r="CJ16" s="41"/>
      <c r="CK16" s="68"/>
      <c r="CL16" s="41"/>
      <c r="CM16" s="41"/>
      <c r="CN16" s="69"/>
      <c r="CO16" s="41"/>
      <c r="CP16" s="41"/>
      <c r="CQ16" s="68"/>
      <c r="CR16" s="41"/>
      <c r="CS16" s="41"/>
      <c r="CT16" s="69"/>
      <c r="CU16" s="41"/>
      <c r="CV16" s="41"/>
      <c r="CW16" s="68"/>
      <c r="CX16" s="41"/>
      <c r="CY16" s="41"/>
      <c r="CZ16" s="69"/>
      <c r="DA16" s="41"/>
      <c r="DB16" s="41"/>
      <c r="DC16" s="68"/>
      <c r="DD16" s="41"/>
      <c r="DE16" s="41"/>
      <c r="DF16" s="69"/>
      <c r="DG16" s="41" t="s">
        <v>406</v>
      </c>
      <c r="DH16" s="86" t="s">
        <v>399</v>
      </c>
      <c r="DI16" s="69">
        <v>41060</v>
      </c>
      <c r="DJ16" s="46"/>
      <c r="DK16" s="41"/>
      <c r="DL16" s="68">
        <v>0</v>
      </c>
    </row>
    <row r="17" spans="1:116">
      <c r="A17" s="53" t="s">
        <v>301</v>
      </c>
      <c r="B17" s="40">
        <v>1</v>
      </c>
      <c r="C17" s="55" t="s">
        <v>219</v>
      </c>
      <c r="D17" s="54">
        <v>36</v>
      </c>
      <c r="E17" s="54">
        <v>6</v>
      </c>
      <c r="F17" s="59">
        <v>78.020616000000004</v>
      </c>
      <c r="G17" s="68">
        <f t="shared" si="0"/>
        <v>0</v>
      </c>
      <c r="H17" s="47">
        <v>78.020616000000004</v>
      </c>
      <c r="I17" s="69">
        <v>78.02</v>
      </c>
      <c r="J17" s="41"/>
      <c r="K17" s="41"/>
      <c r="L17" s="41"/>
      <c r="M17" s="69"/>
      <c r="N17" s="41"/>
      <c r="O17" s="41"/>
      <c r="P17" s="41"/>
      <c r="Q17" s="68"/>
      <c r="R17" s="41"/>
      <c r="S17" s="41"/>
      <c r="T17" s="41"/>
      <c r="U17" s="69"/>
      <c r="V17" s="41"/>
      <c r="W17" s="41"/>
      <c r="X17" s="68"/>
      <c r="Y17" s="41"/>
      <c r="Z17" s="41"/>
      <c r="AA17" s="41"/>
      <c r="AB17" s="69"/>
      <c r="AC17" s="41"/>
      <c r="AD17" s="41"/>
      <c r="AE17" s="41"/>
      <c r="AF17" s="68"/>
      <c r="AG17" s="41"/>
      <c r="AH17" s="41"/>
      <c r="AI17" s="41"/>
      <c r="AJ17" s="41"/>
      <c r="AK17" s="69"/>
      <c r="AL17" s="46"/>
      <c r="AM17" s="41"/>
      <c r="AN17" s="41"/>
      <c r="AO17" s="68"/>
      <c r="AP17" s="41"/>
      <c r="AQ17" s="41"/>
      <c r="AR17" s="69"/>
      <c r="AS17" s="46"/>
      <c r="AT17" s="41"/>
      <c r="AU17" s="68"/>
      <c r="AV17" s="41"/>
      <c r="AW17" s="41"/>
      <c r="AX17" s="69"/>
      <c r="AY17" s="41"/>
      <c r="AZ17" s="41"/>
      <c r="BA17" s="68"/>
      <c r="BB17" s="41"/>
      <c r="BC17" s="41"/>
      <c r="BD17" s="69"/>
      <c r="BE17" s="46"/>
      <c r="BF17" s="41"/>
      <c r="BG17" s="68"/>
      <c r="BH17" s="41"/>
      <c r="BI17" s="41"/>
      <c r="BJ17" s="69"/>
      <c r="BK17" s="46"/>
      <c r="BL17" s="41"/>
      <c r="BM17" s="68"/>
      <c r="BN17" s="41"/>
      <c r="BO17" s="41"/>
      <c r="BP17" s="69"/>
      <c r="BQ17" s="41"/>
      <c r="BR17" s="41"/>
      <c r="BS17" s="68"/>
      <c r="BT17" s="41"/>
      <c r="BU17" s="41"/>
      <c r="BV17" s="69"/>
      <c r="BW17" s="46"/>
      <c r="BX17" s="41"/>
      <c r="BY17" s="68"/>
      <c r="BZ17" s="41"/>
      <c r="CA17" s="41"/>
      <c r="CB17" s="69"/>
      <c r="CC17" s="46"/>
      <c r="CD17" s="41"/>
      <c r="CE17" s="68"/>
      <c r="CF17" s="41"/>
      <c r="CG17" s="41"/>
      <c r="CH17" s="69"/>
      <c r="CI17" s="41"/>
      <c r="CJ17" s="41"/>
      <c r="CK17" s="68"/>
      <c r="CL17" s="41"/>
      <c r="CM17" s="41"/>
      <c r="CN17" s="69"/>
      <c r="CO17" s="41"/>
      <c r="CP17" s="41"/>
      <c r="CQ17" s="68"/>
      <c r="CR17" s="41" t="s">
        <v>403</v>
      </c>
      <c r="CS17" s="41">
        <v>38</v>
      </c>
      <c r="CT17" s="69">
        <v>57000</v>
      </c>
      <c r="CU17" s="41"/>
      <c r="CV17" s="41"/>
      <c r="CW17" s="68"/>
      <c r="CX17" s="41"/>
      <c r="CY17" s="41"/>
      <c r="CZ17" s="69"/>
      <c r="DA17" s="41"/>
      <c r="DB17" s="41"/>
      <c r="DC17" s="68"/>
      <c r="DD17" s="41"/>
      <c r="DE17" s="41"/>
      <c r="DF17" s="69"/>
      <c r="DG17" s="41" t="s">
        <v>408</v>
      </c>
      <c r="DH17" s="86" t="s">
        <v>304</v>
      </c>
      <c r="DI17" s="69">
        <v>21020</v>
      </c>
      <c r="DJ17" s="46"/>
      <c r="DK17" s="41"/>
      <c r="DL17" s="68">
        <v>0</v>
      </c>
    </row>
    <row r="18" spans="1:116" ht="23.25">
      <c r="A18" s="53" t="s">
        <v>301</v>
      </c>
      <c r="B18" s="40">
        <v>1</v>
      </c>
      <c r="C18" s="55" t="s">
        <v>219</v>
      </c>
      <c r="D18" s="54">
        <v>37</v>
      </c>
      <c r="E18" s="54">
        <v>6</v>
      </c>
      <c r="F18" s="59">
        <v>45.343568000000005</v>
      </c>
      <c r="G18" s="68">
        <f t="shared" si="0"/>
        <v>38.972190000000005</v>
      </c>
      <c r="H18" s="47">
        <v>45.343568000000005</v>
      </c>
      <c r="I18" s="69">
        <v>45.34</v>
      </c>
      <c r="J18" s="41"/>
      <c r="K18" s="41"/>
      <c r="L18" s="41"/>
      <c r="M18" s="69"/>
      <c r="N18" s="41"/>
      <c r="O18" s="41"/>
      <c r="P18" s="41"/>
      <c r="Q18" s="68"/>
      <c r="R18" s="41"/>
      <c r="S18" s="41"/>
      <c r="T18" s="41"/>
      <c r="U18" s="69"/>
      <c r="V18" s="41"/>
      <c r="W18" s="41"/>
      <c r="X18" s="68"/>
      <c r="Y18" s="41"/>
      <c r="Z18" s="41"/>
      <c r="AA18" s="41"/>
      <c r="AB18" s="69"/>
      <c r="AC18" s="41"/>
      <c r="AD18" s="41"/>
      <c r="AE18" s="41"/>
      <c r="AF18" s="68"/>
      <c r="AG18" s="41"/>
      <c r="AH18" s="41"/>
      <c r="AI18" s="41"/>
      <c r="AJ18" s="41"/>
      <c r="AK18" s="69"/>
      <c r="AL18" s="46"/>
      <c r="AM18" s="41"/>
      <c r="AN18" s="41"/>
      <c r="AO18" s="68"/>
      <c r="AP18" s="41"/>
      <c r="AQ18" s="41"/>
      <c r="AR18" s="69"/>
      <c r="AS18" s="46"/>
      <c r="AT18" s="41"/>
      <c r="AU18" s="68"/>
      <c r="AV18" s="41"/>
      <c r="AW18" s="41"/>
      <c r="AX18" s="69"/>
      <c r="AY18" s="41"/>
      <c r="AZ18" s="41"/>
      <c r="BA18" s="68"/>
      <c r="BB18" s="41"/>
      <c r="BC18" s="41"/>
      <c r="BD18" s="69"/>
      <c r="BE18" s="46"/>
      <c r="BF18" s="41"/>
      <c r="BG18" s="68"/>
      <c r="BH18" s="41"/>
      <c r="BI18" s="41"/>
      <c r="BJ18" s="69"/>
      <c r="BK18" s="46"/>
      <c r="BL18" s="41"/>
      <c r="BM18" s="68"/>
      <c r="BN18" s="41"/>
      <c r="BO18" s="41"/>
      <c r="BP18" s="69"/>
      <c r="BQ18" s="41"/>
      <c r="BR18" s="41"/>
      <c r="BS18" s="68"/>
      <c r="BT18" s="41"/>
      <c r="BU18" s="41"/>
      <c r="BV18" s="69"/>
      <c r="BW18" s="46"/>
      <c r="BX18" s="41"/>
      <c r="BY18" s="68"/>
      <c r="BZ18" s="41"/>
      <c r="CA18" s="41"/>
      <c r="CB18" s="69"/>
      <c r="CC18" s="46"/>
      <c r="CD18" s="41"/>
      <c r="CE18" s="68"/>
      <c r="CF18" s="41"/>
      <c r="CG18" s="41"/>
      <c r="CH18" s="69"/>
      <c r="CI18" s="41"/>
      <c r="CJ18" s="41"/>
      <c r="CK18" s="68"/>
      <c r="CL18" s="41"/>
      <c r="CM18" s="41"/>
      <c r="CN18" s="69"/>
      <c r="CO18" s="41"/>
      <c r="CP18" s="41"/>
      <c r="CQ18" s="68"/>
      <c r="CR18" s="41"/>
      <c r="CS18" s="41"/>
      <c r="CT18" s="69"/>
      <c r="CU18" s="41"/>
      <c r="CV18" s="41"/>
      <c r="CW18" s="68"/>
      <c r="CX18" s="41"/>
      <c r="CY18" s="41"/>
      <c r="CZ18" s="69"/>
      <c r="DA18" s="41"/>
      <c r="DB18" s="41"/>
      <c r="DC18" s="68"/>
      <c r="DD18" s="41"/>
      <c r="DE18" s="41"/>
      <c r="DF18" s="69"/>
      <c r="DG18" s="41" t="s">
        <v>408</v>
      </c>
      <c r="DH18" s="85" t="s">
        <v>398</v>
      </c>
      <c r="DI18" s="69">
        <v>45340</v>
      </c>
      <c r="DJ18" s="46" t="s">
        <v>402</v>
      </c>
      <c r="DK18" s="41" t="s">
        <v>474</v>
      </c>
      <c r="DL18" s="68">
        <v>38972.19</v>
      </c>
    </row>
    <row r="19" spans="1:116">
      <c r="A19" s="53" t="s">
        <v>301</v>
      </c>
      <c r="B19" s="40">
        <v>1</v>
      </c>
      <c r="C19" s="55" t="s">
        <v>219</v>
      </c>
      <c r="D19" s="54">
        <v>38</v>
      </c>
      <c r="E19" s="54">
        <v>6</v>
      </c>
      <c r="F19" s="59">
        <v>45.990456000000002</v>
      </c>
      <c r="G19" s="68">
        <f t="shared" si="0"/>
        <v>0</v>
      </c>
      <c r="H19" s="47">
        <v>45.990456000000002</v>
      </c>
      <c r="I19" s="69">
        <v>45.99</v>
      </c>
      <c r="J19" s="41"/>
      <c r="K19" s="41"/>
      <c r="L19" s="41"/>
      <c r="M19" s="69"/>
      <c r="N19" s="41"/>
      <c r="O19" s="41"/>
      <c r="P19" s="41"/>
      <c r="Q19" s="68"/>
      <c r="R19" s="41"/>
      <c r="S19" s="41"/>
      <c r="T19" s="41"/>
      <c r="U19" s="69"/>
      <c r="V19" s="41"/>
      <c r="W19" s="41"/>
      <c r="X19" s="68"/>
      <c r="Y19" s="41"/>
      <c r="Z19" s="41"/>
      <c r="AA19" s="41"/>
      <c r="AB19" s="69"/>
      <c r="AC19" s="41"/>
      <c r="AD19" s="41"/>
      <c r="AE19" s="41"/>
      <c r="AF19" s="68"/>
      <c r="AG19" s="41"/>
      <c r="AH19" s="41"/>
      <c r="AI19" s="41"/>
      <c r="AJ19" s="41"/>
      <c r="AK19" s="69"/>
      <c r="AL19" s="46"/>
      <c r="AM19" s="41"/>
      <c r="AN19" s="41"/>
      <c r="AO19" s="68"/>
      <c r="AP19" s="41"/>
      <c r="AQ19" s="41"/>
      <c r="AR19" s="69"/>
      <c r="AS19" s="46"/>
      <c r="AT19" s="41"/>
      <c r="AU19" s="68"/>
      <c r="AV19" s="41"/>
      <c r="AW19" s="41"/>
      <c r="AX19" s="69"/>
      <c r="AY19" s="41"/>
      <c r="AZ19" s="41"/>
      <c r="BA19" s="68"/>
      <c r="BB19" s="41"/>
      <c r="BC19" s="41"/>
      <c r="BD19" s="69"/>
      <c r="BE19" s="46"/>
      <c r="BF19" s="41"/>
      <c r="BG19" s="68"/>
      <c r="BH19" s="41"/>
      <c r="BI19" s="41"/>
      <c r="BJ19" s="69"/>
      <c r="BK19" s="46"/>
      <c r="BL19" s="41"/>
      <c r="BM19" s="68"/>
      <c r="BN19" s="41"/>
      <c r="BO19" s="41"/>
      <c r="BP19" s="69"/>
      <c r="BQ19" s="41"/>
      <c r="BR19" s="41"/>
      <c r="BS19" s="68"/>
      <c r="BT19" s="41"/>
      <c r="BU19" s="41"/>
      <c r="BV19" s="69"/>
      <c r="BW19" s="46"/>
      <c r="BX19" s="41"/>
      <c r="BY19" s="68"/>
      <c r="BZ19" s="41"/>
      <c r="CA19" s="41"/>
      <c r="CB19" s="69"/>
      <c r="CC19" s="46"/>
      <c r="CD19" s="41"/>
      <c r="CE19" s="68"/>
      <c r="CF19" s="41"/>
      <c r="CG19" s="41"/>
      <c r="CH19" s="69"/>
      <c r="CI19" s="41"/>
      <c r="CJ19" s="41"/>
      <c r="CK19" s="68"/>
      <c r="CL19" s="41"/>
      <c r="CM19" s="41"/>
      <c r="CN19" s="69"/>
      <c r="CO19" s="41"/>
      <c r="CP19" s="41"/>
      <c r="CQ19" s="68"/>
      <c r="CR19" s="41" t="s">
        <v>403</v>
      </c>
      <c r="CS19" s="41">
        <v>20</v>
      </c>
      <c r="CT19" s="69">
        <v>36000</v>
      </c>
      <c r="CU19" s="41"/>
      <c r="CV19" s="41"/>
      <c r="CW19" s="68"/>
      <c r="CX19" s="41"/>
      <c r="CY19" s="41"/>
      <c r="CZ19" s="69"/>
      <c r="DA19" s="41"/>
      <c r="DB19" s="41"/>
      <c r="DC19" s="68"/>
      <c r="DD19" s="41"/>
      <c r="DE19" s="41"/>
      <c r="DF19" s="69"/>
      <c r="DG19" s="41" t="s">
        <v>402</v>
      </c>
      <c r="DH19" s="86" t="s">
        <v>368</v>
      </c>
      <c r="DI19" s="69">
        <v>9990</v>
      </c>
      <c r="DJ19" s="46"/>
      <c r="DK19" s="41"/>
      <c r="DL19" s="68">
        <v>0</v>
      </c>
    </row>
    <row r="20" spans="1:116">
      <c r="A20" s="53" t="s">
        <v>301</v>
      </c>
      <c r="B20" s="40">
        <v>1</v>
      </c>
      <c r="C20" s="55" t="s">
        <v>219</v>
      </c>
      <c r="D20" s="54">
        <v>39</v>
      </c>
      <c r="E20" s="54">
        <v>6</v>
      </c>
      <c r="F20" s="59">
        <v>54.988023999999996</v>
      </c>
      <c r="G20" s="68">
        <f t="shared" si="0"/>
        <v>5.1472899999999999</v>
      </c>
      <c r="H20" s="47">
        <v>49.840733999999998</v>
      </c>
      <c r="I20" s="69">
        <v>54.99</v>
      </c>
      <c r="J20" s="41"/>
      <c r="K20" s="41"/>
      <c r="L20" s="41"/>
      <c r="M20" s="69"/>
      <c r="N20" s="41"/>
      <c r="O20" s="41"/>
      <c r="P20" s="41"/>
      <c r="Q20" s="68"/>
      <c r="R20" s="41"/>
      <c r="S20" s="41"/>
      <c r="T20" s="41"/>
      <c r="U20" s="69"/>
      <c r="V20" s="41"/>
      <c r="W20" s="41"/>
      <c r="X20" s="68"/>
      <c r="Y20" s="41"/>
      <c r="Z20" s="41"/>
      <c r="AA20" s="41"/>
      <c r="AB20" s="69"/>
      <c r="AC20" s="41"/>
      <c r="AD20" s="41"/>
      <c r="AE20" s="41"/>
      <c r="AF20" s="68"/>
      <c r="AG20" s="41"/>
      <c r="AH20" s="41"/>
      <c r="AI20" s="41"/>
      <c r="AJ20" s="41"/>
      <c r="AK20" s="69"/>
      <c r="AL20" s="46"/>
      <c r="AM20" s="41"/>
      <c r="AN20" s="41"/>
      <c r="AO20" s="68"/>
      <c r="AP20" s="41"/>
      <c r="AQ20" s="41"/>
      <c r="AR20" s="69"/>
      <c r="AS20" s="46"/>
      <c r="AT20" s="41"/>
      <c r="AU20" s="68"/>
      <c r="AV20" s="41"/>
      <c r="AW20" s="41"/>
      <c r="AX20" s="69"/>
      <c r="AY20" s="41"/>
      <c r="AZ20" s="41"/>
      <c r="BA20" s="68"/>
      <c r="BB20" s="41"/>
      <c r="BC20" s="41"/>
      <c r="BD20" s="69"/>
      <c r="BE20" s="46" t="s">
        <v>362</v>
      </c>
      <c r="BF20" s="41">
        <v>2.5</v>
      </c>
      <c r="BG20" s="68">
        <v>5147.29</v>
      </c>
      <c r="BH20" s="41"/>
      <c r="BI20" s="41"/>
      <c r="BJ20" s="69"/>
      <c r="BK20" s="46"/>
      <c r="BL20" s="41"/>
      <c r="BM20" s="68"/>
      <c r="BN20" s="41"/>
      <c r="BO20" s="41"/>
      <c r="BP20" s="69"/>
      <c r="BQ20" s="41"/>
      <c r="BR20" s="41"/>
      <c r="BS20" s="68"/>
      <c r="BT20" s="41"/>
      <c r="BU20" s="41"/>
      <c r="BV20" s="69"/>
      <c r="BW20" s="46"/>
      <c r="BX20" s="41"/>
      <c r="BY20" s="68"/>
      <c r="BZ20" s="41"/>
      <c r="CA20" s="41"/>
      <c r="CB20" s="69"/>
      <c r="CC20" s="46"/>
      <c r="CD20" s="41"/>
      <c r="CE20" s="68"/>
      <c r="CF20" s="41"/>
      <c r="CG20" s="41"/>
      <c r="CH20" s="69"/>
      <c r="CI20" s="41"/>
      <c r="CJ20" s="41"/>
      <c r="CK20" s="68"/>
      <c r="CL20" s="41"/>
      <c r="CM20" s="41"/>
      <c r="CN20" s="69"/>
      <c r="CO20" s="41"/>
      <c r="CP20" s="41"/>
      <c r="CQ20" s="68"/>
      <c r="CR20" s="41"/>
      <c r="CS20" s="41"/>
      <c r="CT20" s="69"/>
      <c r="CU20" s="41"/>
      <c r="CV20" s="41"/>
      <c r="CW20" s="68"/>
      <c r="CX20" s="41"/>
      <c r="CY20" s="41"/>
      <c r="CZ20" s="69"/>
      <c r="DA20" s="41"/>
      <c r="DB20" s="41"/>
      <c r="DC20" s="68"/>
      <c r="DD20" s="41"/>
      <c r="DE20" s="41"/>
      <c r="DF20" s="69"/>
      <c r="DG20" s="41" t="s">
        <v>408</v>
      </c>
      <c r="DH20" s="86" t="s">
        <v>412</v>
      </c>
      <c r="DI20" s="69">
        <v>54990</v>
      </c>
      <c r="DJ20" s="46"/>
      <c r="DK20" s="41"/>
      <c r="DL20" s="68">
        <v>0</v>
      </c>
    </row>
    <row r="21" spans="1:116" ht="23.25">
      <c r="A21" s="53" t="s">
        <v>301</v>
      </c>
      <c r="B21" s="40">
        <v>1</v>
      </c>
      <c r="C21" s="55" t="s">
        <v>219</v>
      </c>
      <c r="D21" s="54">
        <v>40</v>
      </c>
      <c r="E21" s="54">
        <v>6</v>
      </c>
      <c r="F21" s="59">
        <v>112.021928</v>
      </c>
      <c r="G21" s="68">
        <f t="shared" si="0"/>
        <v>36.281179999999999</v>
      </c>
      <c r="H21" s="47">
        <v>112.021928</v>
      </c>
      <c r="I21" s="69">
        <v>112.02</v>
      </c>
      <c r="J21" s="41"/>
      <c r="K21" s="41"/>
      <c r="L21" s="41"/>
      <c r="M21" s="69"/>
      <c r="N21" s="41"/>
      <c r="O21" s="41"/>
      <c r="P21" s="41"/>
      <c r="Q21" s="68"/>
      <c r="R21" s="41"/>
      <c r="S21" s="41"/>
      <c r="T21" s="41"/>
      <c r="U21" s="69"/>
      <c r="V21" s="41"/>
      <c r="W21" s="41"/>
      <c r="X21" s="68"/>
      <c r="Y21" s="41"/>
      <c r="Z21" s="41"/>
      <c r="AA21" s="41"/>
      <c r="AB21" s="69"/>
      <c r="AC21" s="41"/>
      <c r="AD21" s="41"/>
      <c r="AE21" s="41"/>
      <c r="AF21" s="68"/>
      <c r="AG21" s="41"/>
      <c r="AH21" s="41"/>
      <c r="AI21" s="41"/>
      <c r="AJ21" s="41"/>
      <c r="AK21" s="69"/>
      <c r="AL21" s="46"/>
      <c r="AM21" s="41"/>
      <c r="AN21" s="41"/>
      <c r="AO21" s="68"/>
      <c r="AP21" s="41"/>
      <c r="AQ21" s="41"/>
      <c r="AR21" s="69"/>
      <c r="AS21" s="46"/>
      <c r="AT21" s="41"/>
      <c r="AU21" s="68"/>
      <c r="AV21" s="41"/>
      <c r="AW21" s="41"/>
      <c r="AX21" s="69"/>
      <c r="AY21" s="41"/>
      <c r="AZ21" s="41"/>
      <c r="BA21" s="68"/>
      <c r="BB21" s="41"/>
      <c r="BC21" s="41"/>
      <c r="BD21" s="69"/>
      <c r="BE21" s="46" t="s">
        <v>408</v>
      </c>
      <c r="BF21" s="41">
        <v>2</v>
      </c>
      <c r="BG21" s="68">
        <v>2278.85</v>
      </c>
      <c r="BH21" s="41"/>
      <c r="BI21" s="41"/>
      <c r="BJ21" s="69"/>
      <c r="BK21" s="46"/>
      <c r="BL21" s="41"/>
      <c r="BM21" s="68"/>
      <c r="BN21" s="41"/>
      <c r="BO21" s="41"/>
      <c r="BP21" s="69"/>
      <c r="BQ21" s="41"/>
      <c r="BR21" s="41"/>
      <c r="BS21" s="68"/>
      <c r="BT21" s="41"/>
      <c r="BU21" s="41"/>
      <c r="BV21" s="69"/>
      <c r="BW21" s="46"/>
      <c r="BX21" s="41"/>
      <c r="BY21" s="68"/>
      <c r="BZ21" s="41"/>
      <c r="CA21" s="41"/>
      <c r="CB21" s="69"/>
      <c r="CC21" s="46"/>
      <c r="CD21" s="41"/>
      <c r="CE21" s="68"/>
      <c r="CF21" s="41"/>
      <c r="CG21" s="41"/>
      <c r="CH21" s="69"/>
      <c r="CI21" s="41"/>
      <c r="CJ21" s="41"/>
      <c r="CK21" s="68"/>
      <c r="CL21" s="41"/>
      <c r="CM21" s="41"/>
      <c r="CN21" s="69"/>
      <c r="CO21" s="41"/>
      <c r="CP21" s="41"/>
      <c r="CQ21" s="68"/>
      <c r="CR21" s="41"/>
      <c r="CS21" s="41"/>
      <c r="CT21" s="69"/>
      <c r="CU21" s="41"/>
      <c r="CV21" s="41"/>
      <c r="CW21" s="68"/>
      <c r="CX21" s="41"/>
      <c r="CY21" s="41"/>
      <c r="CZ21" s="69"/>
      <c r="DA21" s="41"/>
      <c r="DB21" s="41"/>
      <c r="DC21" s="68"/>
      <c r="DD21" s="41"/>
      <c r="DE21" s="41"/>
      <c r="DF21" s="69"/>
      <c r="DG21" s="41" t="s">
        <v>408</v>
      </c>
      <c r="DH21" s="85" t="s">
        <v>400</v>
      </c>
      <c r="DI21" s="69">
        <v>112020</v>
      </c>
      <c r="DJ21" s="46" t="s">
        <v>402</v>
      </c>
      <c r="DK21" s="41" t="s">
        <v>475</v>
      </c>
      <c r="DL21" s="68">
        <v>34002.33</v>
      </c>
    </row>
    <row r="22" spans="1:116">
      <c r="A22" s="53" t="s">
        <v>301</v>
      </c>
      <c r="B22" s="40">
        <v>1</v>
      </c>
      <c r="C22" s="55" t="s">
        <v>219</v>
      </c>
      <c r="D22" s="54">
        <v>41</v>
      </c>
      <c r="E22" s="54">
        <v>6</v>
      </c>
      <c r="F22" s="59">
        <v>72.215998000000013</v>
      </c>
      <c r="G22" s="68">
        <f t="shared" si="0"/>
        <v>33.70138</v>
      </c>
      <c r="H22" s="47">
        <v>72.215998000000013</v>
      </c>
      <c r="I22" s="69">
        <v>72.22</v>
      </c>
      <c r="J22" s="41"/>
      <c r="K22" s="41"/>
      <c r="L22" s="41"/>
      <c r="M22" s="69"/>
      <c r="N22" s="41"/>
      <c r="O22" s="41"/>
      <c r="P22" s="41"/>
      <c r="Q22" s="68"/>
      <c r="R22" s="41"/>
      <c r="S22" s="41"/>
      <c r="T22" s="41"/>
      <c r="U22" s="69"/>
      <c r="V22" s="41"/>
      <c r="W22" s="41"/>
      <c r="X22" s="68"/>
      <c r="Y22" s="41"/>
      <c r="Z22" s="41"/>
      <c r="AA22" s="41"/>
      <c r="AB22" s="69"/>
      <c r="AC22" s="41"/>
      <c r="AD22" s="41"/>
      <c r="AE22" s="41"/>
      <c r="AF22" s="68"/>
      <c r="AG22" s="41"/>
      <c r="AH22" s="41"/>
      <c r="AI22" s="41"/>
      <c r="AJ22" s="41"/>
      <c r="AK22" s="69"/>
      <c r="AL22" s="46"/>
      <c r="AM22" s="41"/>
      <c r="AN22" s="41"/>
      <c r="AO22" s="68"/>
      <c r="AP22" s="41"/>
      <c r="AQ22" s="41"/>
      <c r="AR22" s="69"/>
      <c r="AS22" s="46"/>
      <c r="AT22" s="41"/>
      <c r="AU22" s="68"/>
      <c r="AV22" s="41"/>
      <c r="AW22" s="41"/>
      <c r="AX22" s="69"/>
      <c r="AY22" s="41"/>
      <c r="AZ22" s="41"/>
      <c r="BA22" s="68"/>
      <c r="BB22" s="41"/>
      <c r="BC22" s="41"/>
      <c r="BD22" s="69"/>
      <c r="BE22" s="46"/>
      <c r="BF22" s="41"/>
      <c r="BG22" s="68"/>
      <c r="BH22" s="41"/>
      <c r="BI22" s="41"/>
      <c r="BJ22" s="69"/>
      <c r="BK22" s="46"/>
      <c r="BL22" s="41"/>
      <c r="BM22" s="68"/>
      <c r="BN22" s="41"/>
      <c r="BO22" s="41"/>
      <c r="BP22" s="69"/>
      <c r="BQ22" s="41"/>
      <c r="BR22" s="41"/>
      <c r="BS22" s="68"/>
      <c r="BT22" s="41"/>
      <c r="BU22" s="41"/>
      <c r="BV22" s="69"/>
      <c r="BW22" s="46"/>
      <c r="BX22" s="41"/>
      <c r="BY22" s="68"/>
      <c r="BZ22" s="41" t="s">
        <v>408</v>
      </c>
      <c r="CA22" s="41">
        <v>7</v>
      </c>
      <c r="CB22" s="69">
        <v>35000</v>
      </c>
      <c r="CC22" s="46"/>
      <c r="CD22" s="41"/>
      <c r="CE22" s="68"/>
      <c r="CF22" s="41"/>
      <c r="CG22" s="41"/>
      <c r="CH22" s="69"/>
      <c r="CI22" s="41"/>
      <c r="CJ22" s="41"/>
      <c r="CK22" s="68"/>
      <c r="CL22" s="41"/>
      <c r="CM22" s="41"/>
      <c r="CN22" s="69"/>
      <c r="CO22" s="41"/>
      <c r="CP22" s="41"/>
      <c r="CQ22" s="68"/>
      <c r="CR22" s="41"/>
      <c r="CS22" s="41"/>
      <c r="CT22" s="69"/>
      <c r="CU22" s="41"/>
      <c r="CV22" s="41"/>
      <c r="CW22" s="68"/>
      <c r="CX22" s="41"/>
      <c r="CY22" s="41"/>
      <c r="CZ22" s="69"/>
      <c r="DA22" s="41"/>
      <c r="DB22" s="41"/>
      <c r="DC22" s="68"/>
      <c r="DD22" s="41"/>
      <c r="DE22" s="41"/>
      <c r="DF22" s="69"/>
      <c r="DG22" s="41" t="s">
        <v>408</v>
      </c>
      <c r="DH22" s="86" t="s">
        <v>313</v>
      </c>
      <c r="DI22" s="69">
        <v>37220</v>
      </c>
      <c r="DJ22" s="46" t="s">
        <v>402</v>
      </c>
      <c r="DK22" s="41" t="s">
        <v>476</v>
      </c>
      <c r="DL22" s="68">
        <v>33701.379999999997</v>
      </c>
    </row>
    <row r="23" spans="1:116">
      <c r="A23" s="53" t="s">
        <v>301</v>
      </c>
      <c r="B23" s="40">
        <v>1</v>
      </c>
      <c r="C23" s="55" t="s">
        <v>219</v>
      </c>
      <c r="D23" s="54">
        <v>42</v>
      </c>
      <c r="E23" s="54">
        <v>6</v>
      </c>
      <c r="F23" s="59">
        <v>108.543834</v>
      </c>
      <c r="G23" s="68">
        <f t="shared" si="0"/>
        <v>0</v>
      </c>
      <c r="H23" s="47">
        <v>108.543834</v>
      </c>
      <c r="I23" s="69">
        <v>0</v>
      </c>
      <c r="J23" s="41"/>
      <c r="K23" s="41"/>
      <c r="L23" s="41"/>
      <c r="M23" s="69"/>
      <c r="N23" s="41"/>
      <c r="O23" s="41"/>
      <c r="P23" s="41"/>
      <c r="Q23" s="68"/>
      <c r="R23" s="41"/>
      <c r="S23" s="41"/>
      <c r="T23" s="41"/>
      <c r="U23" s="69"/>
      <c r="V23" s="41"/>
      <c r="W23" s="41"/>
      <c r="X23" s="68"/>
      <c r="Y23" s="41"/>
      <c r="Z23" s="41"/>
      <c r="AA23" s="41"/>
      <c r="AB23" s="69"/>
      <c r="AC23" s="41"/>
      <c r="AD23" s="41"/>
      <c r="AE23" s="41"/>
      <c r="AF23" s="68"/>
      <c r="AG23" s="41"/>
      <c r="AH23" s="41"/>
      <c r="AI23" s="41"/>
      <c r="AJ23" s="41"/>
      <c r="AK23" s="69"/>
      <c r="AL23" s="46"/>
      <c r="AM23" s="41"/>
      <c r="AN23" s="41"/>
      <c r="AO23" s="68"/>
      <c r="AP23" s="41"/>
      <c r="AQ23" s="41"/>
      <c r="AR23" s="69"/>
      <c r="AS23" s="46"/>
      <c r="AT23" s="41"/>
      <c r="AU23" s="68"/>
      <c r="AV23" s="41"/>
      <c r="AW23" s="41"/>
      <c r="AX23" s="69"/>
      <c r="AY23" s="41"/>
      <c r="AZ23" s="41"/>
      <c r="BA23" s="68"/>
      <c r="BB23" s="41"/>
      <c r="BC23" s="41"/>
      <c r="BD23" s="69"/>
      <c r="BE23" s="46"/>
      <c r="BF23" s="41"/>
      <c r="BG23" s="68"/>
      <c r="BH23" s="41"/>
      <c r="BI23" s="41"/>
      <c r="BJ23" s="69"/>
      <c r="BK23" s="46"/>
      <c r="BL23" s="41"/>
      <c r="BM23" s="68"/>
      <c r="BN23" s="41"/>
      <c r="BO23" s="41"/>
      <c r="BP23" s="69"/>
      <c r="BQ23" s="41"/>
      <c r="BR23" s="41"/>
      <c r="BS23" s="68"/>
      <c r="BT23" s="41"/>
      <c r="BU23" s="41"/>
      <c r="BV23" s="69"/>
      <c r="BW23" s="46"/>
      <c r="BX23" s="41"/>
      <c r="BY23" s="68"/>
      <c r="BZ23" s="41"/>
      <c r="CA23" s="41"/>
      <c r="CB23" s="69"/>
      <c r="CC23" s="46"/>
      <c r="CD23" s="41"/>
      <c r="CE23" s="68"/>
      <c r="CF23" s="41"/>
      <c r="CG23" s="41"/>
      <c r="CH23" s="69"/>
      <c r="CI23" s="41"/>
      <c r="CJ23" s="41"/>
      <c r="CK23" s="68"/>
      <c r="CL23" s="41"/>
      <c r="CM23" s="41"/>
      <c r="CN23" s="69"/>
      <c r="CO23" s="41"/>
      <c r="CP23" s="41"/>
      <c r="CQ23" s="68"/>
      <c r="CR23" s="41"/>
      <c r="CS23" s="41"/>
      <c r="CT23" s="69"/>
      <c r="CU23" s="41"/>
      <c r="CV23" s="41"/>
      <c r="CW23" s="68"/>
      <c r="CX23" s="41"/>
      <c r="CY23" s="41"/>
      <c r="CZ23" s="69"/>
      <c r="DA23" s="41"/>
      <c r="DB23" s="41"/>
      <c r="DC23" s="68"/>
      <c r="DD23" s="41"/>
      <c r="DE23" s="41"/>
      <c r="DF23" s="69"/>
      <c r="DG23" s="41"/>
      <c r="DH23" s="86"/>
      <c r="DI23" s="69">
        <v>0</v>
      </c>
      <c r="DJ23" s="46"/>
      <c r="DK23" s="41"/>
      <c r="DL23" s="68">
        <v>0</v>
      </c>
    </row>
    <row r="24" spans="1:116">
      <c r="A24" s="53" t="s">
        <v>301</v>
      </c>
      <c r="B24" s="40">
        <v>1</v>
      </c>
      <c r="C24" s="55" t="s">
        <v>219</v>
      </c>
      <c r="D24" s="54">
        <v>44</v>
      </c>
      <c r="E24" s="54">
        <v>6</v>
      </c>
      <c r="F24" s="59">
        <v>104.644116</v>
      </c>
      <c r="G24" s="68">
        <f t="shared" si="0"/>
        <v>99.677549999999982</v>
      </c>
      <c r="H24" s="47">
        <v>51.140505999999995</v>
      </c>
      <c r="I24" s="69">
        <v>104.64</v>
      </c>
      <c r="J24" s="41" t="s">
        <v>362</v>
      </c>
      <c r="K24" s="41">
        <v>1</v>
      </c>
      <c r="L24" s="41">
        <v>3</v>
      </c>
      <c r="M24" s="69">
        <v>50000</v>
      </c>
      <c r="N24" s="41" t="s">
        <v>409</v>
      </c>
      <c r="O24" s="41">
        <v>1</v>
      </c>
      <c r="P24" s="41">
        <v>3</v>
      </c>
      <c r="Q24" s="68">
        <v>53503.61</v>
      </c>
      <c r="R24" s="41"/>
      <c r="S24" s="41"/>
      <c r="T24" s="41"/>
      <c r="U24" s="69"/>
      <c r="V24" s="41"/>
      <c r="W24" s="41"/>
      <c r="X24" s="68"/>
      <c r="Y24" s="41"/>
      <c r="Z24" s="41"/>
      <c r="AA24" s="41"/>
      <c r="AB24" s="69"/>
      <c r="AC24" s="41"/>
      <c r="AD24" s="41"/>
      <c r="AE24" s="41"/>
      <c r="AF24" s="68"/>
      <c r="AG24" s="41"/>
      <c r="AH24" s="41"/>
      <c r="AI24" s="41"/>
      <c r="AJ24" s="41"/>
      <c r="AK24" s="69"/>
      <c r="AL24" s="46"/>
      <c r="AM24" s="41"/>
      <c r="AN24" s="41"/>
      <c r="AO24" s="68"/>
      <c r="AP24" s="41"/>
      <c r="AQ24" s="41"/>
      <c r="AR24" s="69"/>
      <c r="AS24" s="46"/>
      <c r="AT24" s="41"/>
      <c r="AU24" s="68"/>
      <c r="AV24" s="41"/>
      <c r="AW24" s="41"/>
      <c r="AX24" s="69"/>
      <c r="AY24" s="41"/>
      <c r="AZ24" s="41"/>
      <c r="BA24" s="68"/>
      <c r="BB24" s="41"/>
      <c r="BC24" s="41"/>
      <c r="BD24" s="69"/>
      <c r="BE24" s="46"/>
      <c r="BF24" s="41"/>
      <c r="BG24" s="68"/>
      <c r="BH24" s="41"/>
      <c r="BI24" s="41"/>
      <c r="BJ24" s="69"/>
      <c r="BK24" s="46" t="s">
        <v>408</v>
      </c>
      <c r="BL24" s="41">
        <v>2</v>
      </c>
      <c r="BM24" s="68">
        <v>1699.85</v>
      </c>
      <c r="BN24" s="41"/>
      <c r="BO24" s="41"/>
      <c r="BP24" s="69"/>
      <c r="BQ24" s="41"/>
      <c r="BR24" s="41"/>
      <c r="BS24" s="68"/>
      <c r="BT24" s="41"/>
      <c r="BU24" s="41"/>
      <c r="BV24" s="69"/>
      <c r="BW24" s="46"/>
      <c r="BX24" s="41"/>
      <c r="BY24" s="68"/>
      <c r="BZ24" s="41"/>
      <c r="CA24" s="41"/>
      <c r="CB24" s="69"/>
      <c r="CC24" s="46"/>
      <c r="CD24" s="41"/>
      <c r="CE24" s="68"/>
      <c r="CF24" s="41"/>
      <c r="CG24" s="41"/>
      <c r="CH24" s="69"/>
      <c r="CI24" s="41"/>
      <c r="CJ24" s="41"/>
      <c r="CK24" s="68"/>
      <c r="CL24" s="41"/>
      <c r="CM24" s="41"/>
      <c r="CN24" s="69"/>
      <c r="CO24" s="41"/>
      <c r="CP24" s="41"/>
      <c r="CQ24" s="68"/>
      <c r="CR24" s="41"/>
      <c r="CS24" s="41"/>
      <c r="CT24" s="69"/>
      <c r="CU24" s="41"/>
      <c r="CV24" s="41"/>
      <c r="CW24" s="68"/>
      <c r="CX24" s="41"/>
      <c r="CY24" s="41"/>
      <c r="CZ24" s="69"/>
      <c r="DA24" s="41"/>
      <c r="DB24" s="41"/>
      <c r="DC24" s="68"/>
      <c r="DD24" s="41"/>
      <c r="DE24" s="41"/>
      <c r="DF24" s="69"/>
      <c r="DG24" s="41" t="s">
        <v>408</v>
      </c>
      <c r="DH24" s="86" t="s">
        <v>313</v>
      </c>
      <c r="DI24" s="69">
        <v>54640</v>
      </c>
      <c r="DJ24" s="46" t="s">
        <v>402</v>
      </c>
      <c r="DK24" s="41" t="s">
        <v>477</v>
      </c>
      <c r="DL24" s="68">
        <v>44474.09</v>
      </c>
    </row>
    <row r="25" spans="1:116">
      <c r="A25" s="53" t="s">
        <v>301</v>
      </c>
      <c r="B25" s="40">
        <v>1</v>
      </c>
      <c r="C25" s="55" t="s">
        <v>219</v>
      </c>
      <c r="D25" s="54">
        <v>45</v>
      </c>
      <c r="E25" s="54">
        <v>6</v>
      </c>
      <c r="F25" s="59">
        <v>70.524822</v>
      </c>
      <c r="G25" s="68">
        <f t="shared" si="0"/>
        <v>0</v>
      </c>
      <c r="H25" s="47">
        <v>70.524822</v>
      </c>
      <c r="I25" s="69">
        <v>276.57</v>
      </c>
      <c r="J25" s="41"/>
      <c r="K25" s="41"/>
      <c r="L25" s="41"/>
      <c r="M25" s="69"/>
      <c r="N25" s="41"/>
      <c r="O25" s="41"/>
      <c r="P25" s="41"/>
      <c r="Q25" s="68"/>
      <c r="R25" s="41"/>
      <c r="S25" s="41"/>
      <c r="T25" s="41"/>
      <c r="U25" s="69"/>
      <c r="V25" s="41"/>
      <c r="W25" s="41"/>
      <c r="X25" s="68"/>
      <c r="Y25" s="41"/>
      <c r="Z25" s="41"/>
      <c r="AA25" s="41"/>
      <c r="AB25" s="69"/>
      <c r="AC25" s="41"/>
      <c r="AD25" s="41"/>
      <c r="AE25" s="41"/>
      <c r="AF25" s="68"/>
      <c r="AG25" s="46" t="s">
        <v>402</v>
      </c>
      <c r="AH25" s="41" t="s">
        <v>308</v>
      </c>
      <c r="AI25" s="98">
        <v>297</v>
      </c>
      <c r="AJ25" s="41">
        <v>7</v>
      </c>
      <c r="AK25" s="69">
        <v>252450</v>
      </c>
      <c r="AL25" s="46"/>
      <c r="AM25" s="41"/>
      <c r="AN25" s="41"/>
      <c r="AO25" s="68"/>
      <c r="AP25" s="41"/>
      <c r="AQ25" s="41"/>
      <c r="AR25" s="69"/>
      <c r="AS25" s="46"/>
      <c r="AT25" s="41"/>
      <c r="AU25" s="68"/>
      <c r="AV25" s="41"/>
      <c r="AW25" s="41"/>
      <c r="AX25" s="69"/>
      <c r="AY25" s="41"/>
      <c r="AZ25" s="41"/>
      <c r="BA25" s="68"/>
      <c r="BB25" s="41"/>
      <c r="BC25" s="41"/>
      <c r="BD25" s="69"/>
      <c r="BE25" s="46"/>
      <c r="BF25" s="41"/>
      <c r="BG25" s="68"/>
      <c r="BH25" s="41"/>
      <c r="BI25" s="41"/>
      <c r="BJ25" s="69"/>
      <c r="BK25" s="46"/>
      <c r="BL25" s="41"/>
      <c r="BM25" s="68"/>
      <c r="BN25" s="41"/>
      <c r="BO25" s="41"/>
      <c r="BP25" s="69"/>
      <c r="BQ25" s="41"/>
      <c r="BR25" s="41"/>
      <c r="BS25" s="68"/>
      <c r="BT25" s="41"/>
      <c r="BU25" s="41"/>
      <c r="BV25" s="69"/>
      <c r="BW25" s="46"/>
      <c r="BX25" s="41"/>
      <c r="BY25" s="68"/>
      <c r="BZ25" s="41"/>
      <c r="CA25" s="41"/>
      <c r="CB25" s="69"/>
      <c r="CC25" s="46"/>
      <c r="CD25" s="41"/>
      <c r="CE25" s="68"/>
      <c r="CF25" s="41"/>
      <c r="CG25" s="41"/>
      <c r="CH25" s="69"/>
      <c r="CI25" s="41"/>
      <c r="CJ25" s="41"/>
      <c r="CK25" s="68"/>
      <c r="CL25" s="41"/>
      <c r="CM25" s="41"/>
      <c r="CN25" s="69"/>
      <c r="CO25" s="41"/>
      <c r="CP25" s="41"/>
      <c r="CQ25" s="68"/>
      <c r="CR25" s="41"/>
      <c r="CS25" s="41"/>
      <c r="CT25" s="69"/>
      <c r="CU25" s="41"/>
      <c r="CV25" s="41"/>
      <c r="CW25" s="68"/>
      <c r="CX25" s="41"/>
      <c r="CY25" s="41"/>
      <c r="CZ25" s="69"/>
      <c r="DA25" s="41"/>
      <c r="DB25" s="41"/>
      <c r="DC25" s="68"/>
      <c r="DD25" s="41"/>
      <c r="DE25" s="41"/>
      <c r="DF25" s="69"/>
      <c r="DG25" s="41" t="s">
        <v>402</v>
      </c>
      <c r="DH25" s="86" t="s">
        <v>305</v>
      </c>
      <c r="DI25" s="69">
        <v>24120</v>
      </c>
      <c r="DJ25" s="46"/>
      <c r="DK25" s="41"/>
      <c r="DL25" s="68">
        <v>0</v>
      </c>
    </row>
    <row r="26" spans="1:116">
      <c r="A26" s="53" t="s">
        <v>301</v>
      </c>
      <c r="B26" s="40">
        <v>1</v>
      </c>
      <c r="C26" s="53" t="s">
        <v>220</v>
      </c>
      <c r="D26" s="54">
        <v>1</v>
      </c>
      <c r="E26" s="54">
        <v>7</v>
      </c>
      <c r="F26" s="59">
        <v>23.632225999999996</v>
      </c>
      <c r="G26" s="68">
        <f t="shared" si="0"/>
        <v>190.58135000000001</v>
      </c>
      <c r="H26" s="47">
        <v>23.632225999999996</v>
      </c>
      <c r="I26" s="69">
        <v>23.63</v>
      </c>
      <c r="J26" s="41"/>
      <c r="K26" s="41"/>
      <c r="L26" s="41"/>
      <c r="M26" s="69"/>
      <c r="N26" s="41"/>
      <c r="O26" s="41"/>
      <c r="P26" s="41"/>
      <c r="Q26" s="68"/>
      <c r="R26" s="41"/>
      <c r="S26" s="41"/>
      <c r="T26" s="41"/>
      <c r="U26" s="69"/>
      <c r="V26" s="41"/>
      <c r="W26" s="41"/>
      <c r="X26" s="68"/>
      <c r="Y26" s="41"/>
      <c r="Z26" s="41"/>
      <c r="AA26" s="41"/>
      <c r="AB26" s="69"/>
      <c r="AC26" s="41"/>
      <c r="AD26" s="41"/>
      <c r="AE26" s="41"/>
      <c r="AF26" s="68"/>
      <c r="AG26" s="41"/>
      <c r="AH26" s="41"/>
      <c r="AI26" s="41"/>
      <c r="AJ26" s="41"/>
      <c r="AK26" s="69"/>
      <c r="AL26" s="46" t="s">
        <v>403</v>
      </c>
      <c r="AM26" s="41">
        <v>185.3</v>
      </c>
      <c r="AN26" s="41"/>
      <c r="AO26" s="68">
        <v>190581.35</v>
      </c>
      <c r="AP26" s="41"/>
      <c r="AQ26" s="41"/>
      <c r="AR26" s="69"/>
      <c r="AS26" s="46"/>
      <c r="AT26" s="41"/>
      <c r="AU26" s="68"/>
      <c r="AV26" s="41"/>
      <c r="AW26" s="41"/>
      <c r="AX26" s="69"/>
      <c r="AY26" s="41"/>
      <c r="AZ26" s="41"/>
      <c r="BA26" s="68"/>
      <c r="BB26" s="41"/>
      <c r="BC26" s="41"/>
      <c r="BD26" s="69"/>
      <c r="BE26" s="46"/>
      <c r="BF26" s="41"/>
      <c r="BG26" s="68"/>
      <c r="BH26" s="41"/>
      <c r="BI26" s="41"/>
      <c r="BJ26" s="69"/>
      <c r="BK26" s="46"/>
      <c r="BL26" s="41"/>
      <c r="BM26" s="68"/>
      <c r="BN26" s="41"/>
      <c r="BO26" s="41"/>
      <c r="BP26" s="69"/>
      <c r="BQ26" s="41"/>
      <c r="BR26" s="41"/>
      <c r="BS26" s="68"/>
      <c r="BT26" s="41"/>
      <c r="BU26" s="41"/>
      <c r="BV26" s="69"/>
      <c r="BW26" s="46"/>
      <c r="BX26" s="41"/>
      <c r="BY26" s="68"/>
      <c r="BZ26" s="41"/>
      <c r="CA26" s="41"/>
      <c r="CB26" s="69"/>
      <c r="CC26" s="46"/>
      <c r="CD26" s="41"/>
      <c r="CE26" s="68"/>
      <c r="CF26" s="41"/>
      <c r="CG26" s="41"/>
      <c r="CH26" s="69"/>
      <c r="CI26" s="41"/>
      <c r="CJ26" s="41"/>
      <c r="CK26" s="68"/>
      <c r="CL26" s="41"/>
      <c r="CM26" s="41"/>
      <c r="CN26" s="69"/>
      <c r="CO26" s="41"/>
      <c r="CP26" s="41"/>
      <c r="CQ26" s="68"/>
      <c r="CR26" s="41"/>
      <c r="CS26" s="41"/>
      <c r="CT26" s="69"/>
      <c r="CU26" s="41"/>
      <c r="CV26" s="41"/>
      <c r="CW26" s="68"/>
      <c r="CX26" s="41"/>
      <c r="CY26" s="41"/>
      <c r="CZ26" s="69"/>
      <c r="DA26" s="41"/>
      <c r="DB26" s="41"/>
      <c r="DC26" s="68"/>
      <c r="DD26" s="41"/>
      <c r="DE26" s="41"/>
      <c r="DF26" s="69"/>
      <c r="DG26" s="41" t="s">
        <v>402</v>
      </c>
      <c r="DH26" s="86" t="s">
        <v>313</v>
      </c>
      <c r="DI26" s="69">
        <v>23630</v>
      </c>
      <c r="DJ26" s="46"/>
      <c r="DK26" s="41"/>
      <c r="DL26" s="68">
        <v>0</v>
      </c>
    </row>
    <row r="27" spans="1:116">
      <c r="A27" s="53" t="s">
        <v>301</v>
      </c>
      <c r="B27" s="40">
        <v>1</v>
      </c>
      <c r="C27" s="53" t="s">
        <v>220</v>
      </c>
      <c r="D27" s="54">
        <v>2</v>
      </c>
      <c r="E27" s="54">
        <v>7</v>
      </c>
      <c r="F27" s="59">
        <v>26.947686000000001</v>
      </c>
      <c r="G27" s="68">
        <f t="shared" si="0"/>
        <v>0</v>
      </c>
      <c r="H27" s="47">
        <v>16.818875999999999</v>
      </c>
      <c r="I27" s="69">
        <v>151.68</v>
      </c>
      <c r="J27" s="41"/>
      <c r="K27" s="41"/>
      <c r="L27" s="41"/>
      <c r="M27" s="69"/>
      <c r="N27" s="41"/>
      <c r="O27" s="41"/>
      <c r="P27" s="41"/>
      <c r="Q27" s="68"/>
      <c r="R27" s="41"/>
      <c r="S27" s="41"/>
      <c r="T27" s="41"/>
      <c r="U27" s="69"/>
      <c r="V27" s="41"/>
      <c r="W27" s="41"/>
      <c r="X27" s="68"/>
      <c r="Y27" s="41"/>
      <c r="Z27" s="41"/>
      <c r="AA27" s="41"/>
      <c r="AB27" s="69"/>
      <c r="AC27" s="41"/>
      <c r="AD27" s="41"/>
      <c r="AE27" s="41"/>
      <c r="AF27" s="68"/>
      <c r="AG27" s="46" t="s">
        <v>402</v>
      </c>
      <c r="AH27" s="41" t="s">
        <v>308</v>
      </c>
      <c r="AI27" s="98">
        <v>189.6</v>
      </c>
      <c r="AJ27" s="41" t="s">
        <v>369</v>
      </c>
      <c r="AK27" s="69">
        <v>151680</v>
      </c>
      <c r="AL27" s="46"/>
      <c r="AM27" s="41"/>
      <c r="AN27" s="41"/>
      <c r="AO27" s="68"/>
      <c r="AP27" s="41"/>
      <c r="AQ27" s="41"/>
      <c r="AR27" s="69"/>
      <c r="AS27" s="46"/>
      <c r="AT27" s="41"/>
      <c r="AU27" s="68"/>
      <c r="AV27" s="41"/>
      <c r="AW27" s="41"/>
      <c r="AX27" s="69"/>
      <c r="AY27" s="41"/>
      <c r="AZ27" s="41"/>
      <c r="BA27" s="68"/>
      <c r="BB27" s="41"/>
      <c r="BC27" s="41"/>
      <c r="BD27" s="69"/>
      <c r="BE27" s="161"/>
      <c r="BF27" s="38"/>
      <c r="BG27" s="38"/>
      <c r="BH27" s="41"/>
      <c r="BI27" s="41"/>
      <c r="BJ27" s="69"/>
      <c r="BK27" s="46"/>
      <c r="BL27" s="41"/>
      <c r="BM27" s="68"/>
      <c r="BN27" s="41"/>
      <c r="BO27" s="41"/>
      <c r="BP27" s="69"/>
      <c r="BQ27" s="41"/>
      <c r="BR27" s="41"/>
      <c r="BS27" s="68"/>
      <c r="BT27" s="41"/>
      <c r="BU27" s="41"/>
      <c r="BV27" s="69"/>
      <c r="BW27" s="46"/>
      <c r="BX27" s="41"/>
      <c r="BY27" s="68"/>
      <c r="BZ27" s="41"/>
      <c r="CA27" s="41"/>
      <c r="CB27" s="69"/>
      <c r="CC27" s="46"/>
      <c r="CD27" s="41"/>
      <c r="CE27" s="68"/>
      <c r="CF27" s="41"/>
      <c r="CG27" s="41"/>
      <c r="CH27" s="69"/>
      <c r="CI27" s="41"/>
      <c r="CJ27" s="41"/>
      <c r="CK27" s="68"/>
      <c r="CL27" s="41"/>
      <c r="CM27" s="41"/>
      <c r="CN27" s="69"/>
      <c r="CO27" s="41"/>
      <c r="CP27" s="41"/>
      <c r="CQ27" s="68"/>
      <c r="CR27" s="41"/>
      <c r="CS27" s="41"/>
      <c r="CT27" s="69"/>
      <c r="CU27" s="41"/>
      <c r="CV27" s="41"/>
      <c r="CW27" s="68"/>
      <c r="CX27" s="41"/>
      <c r="CY27" s="41"/>
      <c r="CZ27" s="69"/>
      <c r="DA27" s="41"/>
      <c r="DB27" s="41"/>
      <c r="DC27" s="68"/>
      <c r="DD27" s="41"/>
      <c r="DE27" s="41"/>
      <c r="DF27" s="69"/>
      <c r="DG27" s="41"/>
      <c r="DH27" s="86"/>
      <c r="DI27" s="69">
        <v>0</v>
      </c>
      <c r="DJ27" s="46"/>
      <c r="DK27" s="41"/>
      <c r="DL27" s="68">
        <v>0</v>
      </c>
    </row>
    <row r="28" spans="1:116">
      <c r="A28" s="53" t="s">
        <v>301</v>
      </c>
      <c r="B28" s="40">
        <v>1</v>
      </c>
      <c r="C28" s="53" t="s">
        <v>220</v>
      </c>
      <c r="D28" s="54">
        <v>4</v>
      </c>
      <c r="E28" s="54">
        <v>7</v>
      </c>
      <c r="F28" s="59">
        <v>18.585414000000004</v>
      </c>
      <c r="G28" s="68">
        <f t="shared" si="0"/>
        <v>136.24055999999999</v>
      </c>
      <c r="H28" s="47">
        <v>18.585414000000004</v>
      </c>
      <c r="I28" s="69">
        <v>18.59</v>
      </c>
      <c r="J28" s="41"/>
      <c r="K28" s="41"/>
      <c r="L28" s="41"/>
      <c r="M28" s="69"/>
      <c r="N28" s="41"/>
      <c r="O28" s="41"/>
      <c r="P28" s="41"/>
      <c r="Q28" s="68"/>
      <c r="R28" s="41"/>
      <c r="S28" s="41"/>
      <c r="T28" s="41"/>
      <c r="U28" s="69"/>
      <c r="V28" s="41"/>
      <c r="W28" s="41"/>
      <c r="X28" s="68"/>
      <c r="Y28" s="41"/>
      <c r="Z28" s="41"/>
      <c r="AA28" s="41"/>
      <c r="AB28" s="69"/>
      <c r="AC28" s="41"/>
      <c r="AD28" s="41"/>
      <c r="AE28" s="41"/>
      <c r="AF28" s="68"/>
      <c r="AG28" s="41"/>
      <c r="AH28" s="41"/>
      <c r="AI28" s="41"/>
      <c r="AJ28" s="41"/>
      <c r="AK28" s="69"/>
      <c r="AL28" s="46" t="s">
        <v>403</v>
      </c>
      <c r="AM28" s="41">
        <v>148</v>
      </c>
      <c r="AN28" s="41"/>
      <c r="AO28" s="68">
        <v>136240.56</v>
      </c>
      <c r="AP28" s="41"/>
      <c r="AQ28" s="41"/>
      <c r="AR28" s="69"/>
      <c r="AS28" s="46"/>
      <c r="AT28" s="41"/>
      <c r="AU28" s="68"/>
      <c r="AV28" s="41"/>
      <c r="AW28" s="41"/>
      <c r="AX28" s="69"/>
      <c r="AY28" s="41"/>
      <c r="AZ28" s="41"/>
      <c r="BA28" s="68"/>
      <c r="BB28" s="41"/>
      <c r="BC28" s="41"/>
      <c r="BD28" s="69"/>
      <c r="BE28" s="46"/>
      <c r="BF28" s="41"/>
      <c r="BG28" s="68"/>
      <c r="BH28" s="41"/>
      <c r="BI28" s="41"/>
      <c r="BJ28" s="69"/>
      <c r="BK28" s="46"/>
      <c r="BL28" s="41"/>
      <c r="BM28" s="68"/>
      <c r="BN28" s="41"/>
      <c r="BO28" s="41"/>
      <c r="BP28" s="69"/>
      <c r="BQ28" s="41"/>
      <c r="BR28" s="41"/>
      <c r="BS28" s="68"/>
      <c r="BT28" s="41"/>
      <c r="BU28" s="41"/>
      <c r="BV28" s="69"/>
      <c r="BW28" s="46"/>
      <c r="BX28" s="41"/>
      <c r="BY28" s="68"/>
      <c r="BZ28" s="41"/>
      <c r="CA28" s="41"/>
      <c r="CB28" s="69"/>
      <c r="CC28" s="46"/>
      <c r="CD28" s="41"/>
      <c r="CE28" s="68"/>
      <c r="CF28" s="41"/>
      <c r="CG28" s="41"/>
      <c r="CH28" s="69"/>
      <c r="CI28" s="41"/>
      <c r="CJ28" s="41"/>
      <c r="CK28" s="68"/>
      <c r="CL28" s="41"/>
      <c r="CM28" s="41"/>
      <c r="CN28" s="69"/>
      <c r="CO28" s="41"/>
      <c r="CP28" s="41"/>
      <c r="CQ28" s="68"/>
      <c r="CR28" s="41"/>
      <c r="CS28" s="41"/>
      <c r="CT28" s="69"/>
      <c r="CU28" s="41"/>
      <c r="CV28" s="41"/>
      <c r="CW28" s="68"/>
      <c r="CX28" s="41"/>
      <c r="CY28" s="41"/>
      <c r="CZ28" s="69"/>
      <c r="DA28" s="41"/>
      <c r="DB28" s="41"/>
      <c r="DC28" s="68"/>
      <c r="DD28" s="41"/>
      <c r="DE28" s="41"/>
      <c r="DF28" s="69"/>
      <c r="DG28" s="41" t="s">
        <v>402</v>
      </c>
      <c r="DH28" s="86" t="s">
        <v>313</v>
      </c>
      <c r="DI28" s="69">
        <v>18590</v>
      </c>
      <c r="DJ28" s="46"/>
      <c r="DK28" s="41"/>
      <c r="DL28" s="68">
        <v>0</v>
      </c>
    </row>
    <row r="29" spans="1:116">
      <c r="A29" s="53" t="s">
        <v>301</v>
      </c>
      <c r="B29" s="40">
        <v>1</v>
      </c>
      <c r="C29" s="53" t="s">
        <v>220</v>
      </c>
      <c r="D29" s="54">
        <v>5</v>
      </c>
      <c r="E29" s="54">
        <v>7</v>
      </c>
      <c r="F29" s="59">
        <v>15.020959999999999</v>
      </c>
      <c r="G29" s="68">
        <f t="shared" si="0"/>
        <v>162.36581000000001</v>
      </c>
      <c r="H29" s="47">
        <v>15.020959999999999</v>
      </c>
      <c r="I29" s="69">
        <v>15.02</v>
      </c>
      <c r="J29" s="41"/>
      <c r="K29" s="41"/>
      <c r="L29" s="41"/>
      <c r="M29" s="69"/>
      <c r="N29" s="41"/>
      <c r="O29" s="41"/>
      <c r="P29" s="41"/>
      <c r="Q29" s="68"/>
      <c r="R29" s="41"/>
      <c r="S29" s="41"/>
      <c r="T29" s="41"/>
      <c r="U29" s="69"/>
      <c r="V29" s="41"/>
      <c r="W29" s="41"/>
      <c r="X29" s="68"/>
      <c r="Y29" s="41"/>
      <c r="Z29" s="41"/>
      <c r="AA29" s="41"/>
      <c r="AB29" s="69"/>
      <c r="AC29" s="41"/>
      <c r="AD29" s="41"/>
      <c r="AE29" s="41"/>
      <c r="AF29" s="68"/>
      <c r="AG29" s="41"/>
      <c r="AH29" s="41"/>
      <c r="AI29" s="41"/>
      <c r="AJ29" s="41"/>
      <c r="AK29" s="69"/>
      <c r="AL29" s="46" t="s">
        <v>403</v>
      </c>
      <c r="AM29" s="41">
        <v>160.03</v>
      </c>
      <c r="AN29" s="41"/>
      <c r="AO29" s="68">
        <v>162365.81</v>
      </c>
      <c r="AP29" s="41"/>
      <c r="AQ29" s="41"/>
      <c r="AR29" s="69"/>
      <c r="AS29" s="46"/>
      <c r="AT29" s="41"/>
      <c r="AU29" s="68"/>
      <c r="AV29" s="41"/>
      <c r="AW29" s="41"/>
      <c r="AX29" s="69"/>
      <c r="AY29" s="41"/>
      <c r="AZ29" s="41"/>
      <c r="BA29" s="68"/>
      <c r="BB29" s="41"/>
      <c r="BC29" s="41"/>
      <c r="BD29" s="69"/>
      <c r="BE29" s="46"/>
      <c r="BF29" s="41"/>
      <c r="BG29" s="68"/>
      <c r="BH29" s="41"/>
      <c r="BI29" s="41"/>
      <c r="BJ29" s="69"/>
      <c r="BK29" s="46"/>
      <c r="BL29" s="41"/>
      <c r="BM29" s="68"/>
      <c r="BN29" s="41"/>
      <c r="BO29" s="41"/>
      <c r="BP29" s="69"/>
      <c r="BQ29" s="41"/>
      <c r="BR29" s="41"/>
      <c r="BS29" s="68"/>
      <c r="BT29" s="41"/>
      <c r="BU29" s="41"/>
      <c r="BV29" s="69"/>
      <c r="BW29" s="46"/>
      <c r="BX29" s="41"/>
      <c r="BY29" s="68"/>
      <c r="BZ29" s="41"/>
      <c r="CA29" s="41"/>
      <c r="CB29" s="69"/>
      <c r="CC29" s="46"/>
      <c r="CD29" s="41"/>
      <c r="CE29" s="68"/>
      <c r="CF29" s="41"/>
      <c r="CG29" s="41"/>
      <c r="CH29" s="69"/>
      <c r="CI29" s="41"/>
      <c r="CJ29" s="41"/>
      <c r="CK29" s="68"/>
      <c r="CL29" s="41"/>
      <c r="CM29" s="41"/>
      <c r="CN29" s="69"/>
      <c r="CO29" s="41"/>
      <c r="CP29" s="41"/>
      <c r="CQ29" s="68"/>
      <c r="CR29" s="41"/>
      <c r="CS29" s="41"/>
      <c r="CT29" s="69"/>
      <c r="CU29" s="41"/>
      <c r="CV29" s="41"/>
      <c r="CW29" s="68"/>
      <c r="CX29" s="41"/>
      <c r="CY29" s="41"/>
      <c r="CZ29" s="69"/>
      <c r="DA29" s="41"/>
      <c r="DB29" s="41"/>
      <c r="DC29" s="68"/>
      <c r="DD29" s="41"/>
      <c r="DE29" s="41"/>
      <c r="DF29" s="69"/>
      <c r="DG29" s="41" t="s">
        <v>402</v>
      </c>
      <c r="DH29" s="86" t="s">
        <v>305</v>
      </c>
      <c r="DI29" s="69">
        <v>15020</v>
      </c>
      <c r="DJ29" s="46"/>
      <c r="DK29" s="41"/>
      <c r="DL29" s="68">
        <v>0</v>
      </c>
    </row>
    <row r="30" spans="1:116">
      <c r="A30" s="53" t="s">
        <v>301</v>
      </c>
      <c r="B30" s="40">
        <v>1</v>
      </c>
      <c r="C30" s="55" t="s">
        <v>235</v>
      </c>
      <c r="D30" s="54">
        <v>5</v>
      </c>
      <c r="E30" s="54">
        <v>6</v>
      </c>
      <c r="F30" s="59">
        <v>5.8662239999999999</v>
      </c>
      <c r="G30" s="68">
        <f t="shared" si="0"/>
        <v>0</v>
      </c>
      <c r="H30" s="47">
        <v>5.8662239999999999</v>
      </c>
      <c r="I30" s="69">
        <v>0</v>
      </c>
      <c r="J30" s="41"/>
      <c r="K30" s="41"/>
      <c r="L30" s="41"/>
      <c r="M30" s="69"/>
      <c r="N30" s="41"/>
      <c r="O30" s="41"/>
      <c r="P30" s="41"/>
      <c r="Q30" s="68"/>
      <c r="R30" s="41"/>
      <c r="S30" s="41"/>
      <c r="T30" s="41"/>
      <c r="U30" s="69"/>
      <c r="V30" s="41"/>
      <c r="W30" s="41"/>
      <c r="X30" s="68"/>
      <c r="Y30" s="41"/>
      <c r="Z30" s="41"/>
      <c r="AA30" s="41"/>
      <c r="AB30" s="69"/>
      <c r="AC30" s="41"/>
      <c r="AD30" s="41"/>
      <c r="AE30" s="41"/>
      <c r="AF30" s="68"/>
      <c r="AG30" s="41"/>
      <c r="AH30" s="41"/>
      <c r="AI30" s="41"/>
      <c r="AJ30" s="41"/>
      <c r="AK30" s="69"/>
      <c r="AL30" s="46"/>
      <c r="AM30" s="41"/>
      <c r="AN30" s="41"/>
      <c r="AO30" s="68"/>
      <c r="AP30" s="41"/>
      <c r="AQ30" s="41"/>
      <c r="AR30" s="69"/>
      <c r="AS30" s="46"/>
      <c r="AT30" s="41"/>
      <c r="AU30" s="68"/>
      <c r="AV30" s="41"/>
      <c r="AW30" s="41"/>
      <c r="AX30" s="69"/>
      <c r="AY30" s="41"/>
      <c r="AZ30" s="41"/>
      <c r="BA30" s="68"/>
      <c r="BB30" s="41"/>
      <c r="BC30" s="41"/>
      <c r="BD30" s="69"/>
      <c r="BE30" s="46"/>
      <c r="BF30" s="41"/>
      <c r="BG30" s="68"/>
      <c r="BH30" s="41"/>
      <c r="BI30" s="41"/>
      <c r="BJ30" s="69"/>
      <c r="BK30" s="46"/>
      <c r="BL30" s="41"/>
      <c r="BM30" s="68"/>
      <c r="BN30" s="41"/>
      <c r="BO30" s="41"/>
      <c r="BP30" s="69"/>
      <c r="BQ30" s="41"/>
      <c r="BR30" s="41"/>
      <c r="BS30" s="68"/>
      <c r="BT30" s="41"/>
      <c r="BU30" s="41"/>
      <c r="BV30" s="69"/>
      <c r="BW30" s="46"/>
      <c r="BX30" s="41"/>
      <c r="BY30" s="68"/>
      <c r="BZ30" s="41"/>
      <c r="CA30" s="41"/>
      <c r="CB30" s="69"/>
      <c r="CC30" s="46"/>
      <c r="CD30" s="41"/>
      <c r="CE30" s="68"/>
      <c r="CF30" s="41"/>
      <c r="CG30" s="41"/>
      <c r="CH30" s="69"/>
      <c r="CI30" s="41"/>
      <c r="CJ30" s="41"/>
      <c r="CK30" s="68"/>
      <c r="CL30" s="41"/>
      <c r="CM30" s="41"/>
      <c r="CN30" s="69"/>
      <c r="CO30" s="41"/>
      <c r="CP30" s="41"/>
      <c r="CQ30" s="68"/>
      <c r="CR30" s="41"/>
      <c r="CS30" s="41"/>
      <c r="CT30" s="69"/>
      <c r="CU30" s="41"/>
      <c r="CV30" s="41"/>
      <c r="CW30" s="68"/>
      <c r="CX30" s="41"/>
      <c r="CY30" s="41"/>
      <c r="CZ30" s="69"/>
      <c r="DA30" s="41"/>
      <c r="DB30" s="41"/>
      <c r="DC30" s="68"/>
      <c r="DD30" s="41"/>
      <c r="DE30" s="41"/>
      <c r="DF30" s="69"/>
      <c r="DG30" s="41"/>
      <c r="DH30" s="85"/>
      <c r="DI30" s="69">
        <v>0</v>
      </c>
      <c r="DJ30" s="46"/>
      <c r="DK30" s="41"/>
      <c r="DL30" s="68">
        <v>0</v>
      </c>
    </row>
    <row r="31" spans="1:116">
      <c r="A31" s="53" t="s">
        <v>301</v>
      </c>
      <c r="B31" s="40">
        <v>1</v>
      </c>
      <c r="C31" s="55" t="s">
        <v>235</v>
      </c>
      <c r="D31" s="54">
        <v>6</v>
      </c>
      <c r="E31" s="54">
        <v>6</v>
      </c>
      <c r="F31" s="59">
        <v>6.2746320000000004</v>
      </c>
      <c r="G31" s="68">
        <f t="shared" si="0"/>
        <v>0</v>
      </c>
      <c r="H31" s="47">
        <v>6.2746320000000004</v>
      </c>
      <c r="I31" s="69">
        <v>0</v>
      </c>
      <c r="J31" s="41"/>
      <c r="K31" s="41"/>
      <c r="L31" s="41"/>
      <c r="M31" s="69"/>
      <c r="N31" s="41"/>
      <c r="O31" s="41"/>
      <c r="P31" s="41"/>
      <c r="Q31" s="68"/>
      <c r="R31" s="41"/>
      <c r="S31" s="41"/>
      <c r="T31" s="41"/>
      <c r="U31" s="69"/>
      <c r="V31" s="41"/>
      <c r="W31" s="41"/>
      <c r="X31" s="68"/>
      <c r="Y31" s="41"/>
      <c r="Z31" s="41"/>
      <c r="AA31" s="41"/>
      <c r="AB31" s="69"/>
      <c r="AC31" s="41"/>
      <c r="AD31" s="41"/>
      <c r="AE31" s="41"/>
      <c r="AF31" s="68"/>
      <c r="AG31" s="41"/>
      <c r="AH31" s="41"/>
      <c r="AI31" s="41"/>
      <c r="AJ31" s="41"/>
      <c r="AK31" s="69"/>
      <c r="AL31" s="46"/>
      <c r="AM31" s="41"/>
      <c r="AN31" s="41"/>
      <c r="AO31" s="68"/>
      <c r="AP31" s="41"/>
      <c r="AQ31" s="41"/>
      <c r="AR31" s="69"/>
      <c r="AS31" s="46"/>
      <c r="AT31" s="41"/>
      <c r="AU31" s="68"/>
      <c r="AV31" s="41"/>
      <c r="AW31" s="41"/>
      <c r="AX31" s="69"/>
      <c r="AY31" s="41"/>
      <c r="AZ31" s="41"/>
      <c r="BA31" s="68"/>
      <c r="BB31" s="41"/>
      <c r="BC31" s="41"/>
      <c r="BD31" s="69"/>
      <c r="BE31" s="46"/>
      <c r="BF31" s="41"/>
      <c r="BG31" s="68"/>
      <c r="BH31" s="41"/>
      <c r="BI31" s="41"/>
      <c r="BJ31" s="69"/>
      <c r="BK31" s="46"/>
      <c r="BL31" s="41"/>
      <c r="BM31" s="68"/>
      <c r="BN31" s="41"/>
      <c r="BO31" s="41"/>
      <c r="BP31" s="69"/>
      <c r="BQ31" s="41"/>
      <c r="BR31" s="41"/>
      <c r="BS31" s="68"/>
      <c r="BT31" s="41"/>
      <c r="BU31" s="41"/>
      <c r="BV31" s="69"/>
      <c r="BW31" s="46"/>
      <c r="BX31" s="41"/>
      <c r="BY31" s="68"/>
      <c r="BZ31" s="41"/>
      <c r="CA31" s="41"/>
      <c r="CB31" s="69"/>
      <c r="CC31" s="46"/>
      <c r="CD31" s="41"/>
      <c r="CE31" s="68"/>
      <c r="CF31" s="41"/>
      <c r="CG31" s="41"/>
      <c r="CH31" s="69"/>
      <c r="CI31" s="41"/>
      <c r="CJ31" s="41"/>
      <c r="CK31" s="68"/>
      <c r="CL31" s="41"/>
      <c r="CM31" s="41"/>
      <c r="CN31" s="69"/>
      <c r="CO31" s="41"/>
      <c r="CP31" s="41"/>
      <c r="CQ31" s="68"/>
      <c r="CR31" s="41"/>
      <c r="CS31" s="41"/>
      <c r="CT31" s="69"/>
      <c r="CU31" s="41"/>
      <c r="CV31" s="41"/>
      <c r="CW31" s="68"/>
      <c r="CX31" s="41"/>
      <c r="CY31" s="41"/>
      <c r="CZ31" s="69"/>
      <c r="DA31" s="41"/>
      <c r="DB31" s="41"/>
      <c r="DC31" s="68"/>
      <c r="DD31" s="41"/>
      <c r="DE31" s="41"/>
      <c r="DF31" s="69"/>
      <c r="DG31" s="41"/>
      <c r="DH31" s="85"/>
      <c r="DI31" s="69">
        <v>0</v>
      </c>
      <c r="DJ31" s="46"/>
      <c r="DK31" s="41"/>
      <c r="DL31" s="68">
        <v>0</v>
      </c>
    </row>
    <row r="32" spans="1:116">
      <c r="A32" s="53" t="s">
        <v>301</v>
      </c>
      <c r="B32" s="40">
        <v>1</v>
      </c>
      <c r="C32" s="55" t="s">
        <v>235</v>
      </c>
      <c r="D32" s="54">
        <v>11</v>
      </c>
      <c r="E32" s="54">
        <v>6</v>
      </c>
      <c r="F32" s="59">
        <v>15.296735999999999</v>
      </c>
      <c r="G32" s="68">
        <f t="shared" si="0"/>
        <v>0</v>
      </c>
      <c r="H32" s="47">
        <v>15.296735999999999</v>
      </c>
      <c r="I32" s="69">
        <v>0</v>
      </c>
      <c r="J32" s="41"/>
      <c r="K32" s="41"/>
      <c r="L32" s="41"/>
      <c r="M32" s="69"/>
      <c r="N32" s="41"/>
      <c r="O32" s="41"/>
      <c r="P32" s="41"/>
      <c r="Q32" s="68"/>
      <c r="R32" s="41"/>
      <c r="S32" s="41"/>
      <c r="T32" s="41"/>
      <c r="U32" s="69"/>
      <c r="V32" s="41"/>
      <c r="W32" s="41"/>
      <c r="X32" s="68"/>
      <c r="Y32" s="41"/>
      <c r="Z32" s="41"/>
      <c r="AA32" s="41"/>
      <c r="AB32" s="69"/>
      <c r="AC32" s="41"/>
      <c r="AD32" s="41"/>
      <c r="AE32" s="41"/>
      <c r="AF32" s="68"/>
      <c r="AG32" s="41"/>
      <c r="AH32" s="41"/>
      <c r="AI32" s="41"/>
      <c r="AJ32" s="41"/>
      <c r="AK32" s="69"/>
      <c r="AL32" s="46"/>
      <c r="AM32" s="41"/>
      <c r="AN32" s="41"/>
      <c r="AO32" s="68"/>
      <c r="AP32" s="41"/>
      <c r="AQ32" s="41"/>
      <c r="AR32" s="69"/>
      <c r="AS32" s="46"/>
      <c r="AT32" s="41"/>
      <c r="AU32" s="68"/>
      <c r="AV32" s="41"/>
      <c r="AW32" s="41"/>
      <c r="AX32" s="69"/>
      <c r="AY32" s="41"/>
      <c r="AZ32" s="41"/>
      <c r="BA32" s="68"/>
      <c r="BB32" s="41"/>
      <c r="BC32" s="41"/>
      <c r="BD32" s="69"/>
      <c r="BE32" s="46"/>
      <c r="BF32" s="41"/>
      <c r="BG32" s="68"/>
      <c r="BH32" s="41"/>
      <c r="BI32" s="41"/>
      <c r="BJ32" s="69"/>
      <c r="BK32" s="46"/>
      <c r="BL32" s="41"/>
      <c r="BM32" s="68"/>
      <c r="BN32" s="41"/>
      <c r="BO32" s="41"/>
      <c r="BP32" s="69"/>
      <c r="BQ32" s="41"/>
      <c r="BR32" s="41"/>
      <c r="BS32" s="68"/>
      <c r="BT32" s="41"/>
      <c r="BU32" s="41"/>
      <c r="BV32" s="69"/>
      <c r="BW32" s="46"/>
      <c r="BX32" s="41"/>
      <c r="BY32" s="68"/>
      <c r="BZ32" s="41"/>
      <c r="CA32" s="41"/>
      <c r="CB32" s="69"/>
      <c r="CC32" s="46"/>
      <c r="CD32" s="41"/>
      <c r="CE32" s="68"/>
      <c r="CF32" s="41"/>
      <c r="CG32" s="41"/>
      <c r="CH32" s="69"/>
      <c r="CI32" s="41"/>
      <c r="CJ32" s="41"/>
      <c r="CK32" s="68"/>
      <c r="CL32" s="41"/>
      <c r="CM32" s="41"/>
      <c r="CN32" s="69"/>
      <c r="CO32" s="41"/>
      <c r="CP32" s="41"/>
      <c r="CQ32" s="68"/>
      <c r="CR32" s="41"/>
      <c r="CS32" s="41"/>
      <c r="CT32" s="69"/>
      <c r="CU32" s="41"/>
      <c r="CV32" s="41"/>
      <c r="CW32" s="68"/>
      <c r="CX32" s="41"/>
      <c r="CY32" s="41"/>
      <c r="CZ32" s="69"/>
      <c r="DA32" s="41"/>
      <c r="DB32" s="41"/>
      <c r="DC32" s="68"/>
      <c r="DD32" s="41"/>
      <c r="DE32" s="41"/>
      <c r="DF32" s="69"/>
      <c r="DG32" s="41"/>
      <c r="DH32" s="85"/>
      <c r="DI32" s="69">
        <v>0</v>
      </c>
      <c r="DJ32" s="46"/>
      <c r="DK32" s="41"/>
      <c r="DL32" s="68">
        <v>0</v>
      </c>
    </row>
    <row r="33" spans="1:116">
      <c r="A33" s="53" t="s">
        <v>301</v>
      </c>
      <c r="B33" s="40">
        <v>1</v>
      </c>
      <c r="C33" s="55" t="s">
        <v>235</v>
      </c>
      <c r="D33" s="54">
        <v>16</v>
      </c>
      <c r="E33" s="54">
        <v>6</v>
      </c>
      <c r="F33" s="59">
        <v>26.138111999999996</v>
      </c>
      <c r="G33" s="68">
        <f t="shared" si="0"/>
        <v>0</v>
      </c>
      <c r="H33" s="47">
        <v>26.138111999999996</v>
      </c>
      <c r="I33" s="69">
        <v>0</v>
      </c>
      <c r="J33" s="41"/>
      <c r="K33" s="41"/>
      <c r="L33" s="41"/>
      <c r="M33" s="69"/>
      <c r="N33" s="41"/>
      <c r="O33" s="41"/>
      <c r="P33" s="41"/>
      <c r="Q33" s="68"/>
      <c r="R33" s="41"/>
      <c r="S33" s="41"/>
      <c r="T33" s="41"/>
      <c r="U33" s="69"/>
      <c r="V33" s="41"/>
      <c r="W33" s="41"/>
      <c r="X33" s="68"/>
      <c r="Y33" s="41"/>
      <c r="Z33" s="41"/>
      <c r="AA33" s="41"/>
      <c r="AB33" s="69"/>
      <c r="AC33" s="41"/>
      <c r="AD33" s="41"/>
      <c r="AE33" s="41"/>
      <c r="AF33" s="68"/>
      <c r="AG33" s="41"/>
      <c r="AH33" s="41"/>
      <c r="AI33" s="41"/>
      <c r="AJ33" s="41"/>
      <c r="AK33" s="69"/>
      <c r="AL33" s="46"/>
      <c r="AM33" s="41"/>
      <c r="AN33" s="41"/>
      <c r="AO33" s="68"/>
      <c r="AP33" s="41"/>
      <c r="AQ33" s="41"/>
      <c r="AR33" s="69"/>
      <c r="AS33" s="46"/>
      <c r="AT33" s="41"/>
      <c r="AU33" s="68"/>
      <c r="AV33" s="41"/>
      <c r="AW33" s="41"/>
      <c r="AX33" s="69"/>
      <c r="AY33" s="41"/>
      <c r="AZ33" s="41"/>
      <c r="BA33" s="68"/>
      <c r="BB33" s="41"/>
      <c r="BC33" s="41"/>
      <c r="BD33" s="69"/>
      <c r="BE33" s="46"/>
      <c r="BF33" s="41"/>
      <c r="BG33" s="68"/>
      <c r="BH33" s="41"/>
      <c r="BI33" s="41"/>
      <c r="BJ33" s="69"/>
      <c r="BK33" s="46"/>
      <c r="BL33" s="41"/>
      <c r="BM33" s="68"/>
      <c r="BN33" s="41"/>
      <c r="BO33" s="41"/>
      <c r="BP33" s="69"/>
      <c r="BQ33" s="41"/>
      <c r="BR33" s="41"/>
      <c r="BS33" s="68"/>
      <c r="BT33" s="41"/>
      <c r="BU33" s="41"/>
      <c r="BV33" s="69"/>
      <c r="BW33" s="46"/>
      <c r="BX33" s="41"/>
      <c r="BY33" s="68"/>
      <c r="BZ33" s="41"/>
      <c r="CA33" s="41"/>
      <c r="CB33" s="69"/>
      <c r="CC33" s="46"/>
      <c r="CD33" s="41"/>
      <c r="CE33" s="68"/>
      <c r="CF33" s="41"/>
      <c r="CG33" s="41"/>
      <c r="CH33" s="69"/>
      <c r="CI33" s="41"/>
      <c r="CJ33" s="41"/>
      <c r="CK33" s="68"/>
      <c r="CL33" s="41"/>
      <c r="CM33" s="41"/>
      <c r="CN33" s="69"/>
      <c r="CO33" s="41"/>
      <c r="CP33" s="41"/>
      <c r="CQ33" s="68"/>
      <c r="CR33" s="41"/>
      <c r="CS33" s="41"/>
      <c r="CT33" s="69"/>
      <c r="CU33" s="41"/>
      <c r="CV33" s="41"/>
      <c r="CW33" s="68"/>
      <c r="CX33" s="41"/>
      <c r="CY33" s="41"/>
      <c r="CZ33" s="69"/>
      <c r="DA33" s="41"/>
      <c r="DB33" s="41"/>
      <c r="DC33" s="68"/>
      <c r="DD33" s="41"/>
      <c r="DE33" s="41"/>
      <c r="DF33" s="69"/>
      <c r="DG33" s="41"/>
      <c r="DH33" s="85"/>
      <c r="DI33" s="69">
        <v>0</v>
      </c>
      <c r="DJ33" s="46"/>
      <c r="DK33" s="41"/>
      <c r="DL33" s="68">
        <v>0</v>
      </c>
    </row>
    <row r="34" spans="1:116">
      <c r="A34" s="53" t="s">
        <v>301</v>
      </c>
      <c r="B34" s="40">
        <v>1</v>
      </c>
      <c r="C34" s="55" t="s">
        <v>235</v>
      </c>
      <c r="D34" s="54">
        <v>18</v>
      </c>
      <c r="E34" s="54">
        <v>6</v>
      </c>
      <c r="F34" s="59">
        <v>13.719888000000001</v>
      </c>
      <c r="G34" s="68">
        <f t="shared" si="0"/>
        <v>0</v>
      </c>
      <c r="H34" s="47">
        <v>13.719888000000001</v>
      </c>
      <c r="I34" s="69">
        <v>0</v>
      </c>
      <c r="J34" s="41"/>
      <c r="K34" s="41"/>
      <c r="L34" s="41"/>
      <c r="M34" s="69"/>
      <c r="N34" s="41"/>
      <c r="O34" s="41"/>
      <c r="P34" s="41"/>
      <c r="Q34" s="68"/>
      <c r="R34" s="41"/>
      <c r="S34" s="41"/>
      <c r="T34" s="41"/>
      <c r="U34" s="69"/>
      <c r="V34" s="41"/>
      <c r="W34" s="41"/>
      <c r="X34" s="68"/>
      <c r="Y34" s="41"/>
      <c r="Z34" s="41"/>
      <c r="AA34" s="41"/>
      <c r="AB34" s="69"/>
      <c r="AC34" s="41"/>
      <c r="AD34" s="41"/>
      <c r="AE34" s="41"/>
      <c r="AF34" s="68"/>
      <c r="AG34" s="41"/>
      <c r="AH34" s="41"/>
      <c r="AI34" s="41"/>
      <c r="AJ34" s="41"/>
      <c r="AK34" s="69"/>
      <c r="AL34" s="46"/>
      <c r="AM34" s="41"/>
      <c r="AN34" s="41"/>
      <c r="AO34" s="68"/>
      <c r="AP34" s="41"/>
      <c r="AQ34" s="41"/>
      <c r="AR34" s="69"/>
      <c r="AS34" s="46"/>
      <c r="AT34" s="41"/>
      <c r="AU34" s="68"/>
      <c r="AV34" s="41"/>
      <c r="AW34" s="41"/>
      <c r="AX34" s="69"/>
      <c r="AY34" s="41"/>
      <c r="AZ34" s="41"/>
      <c r="BA34" s="68"/>
      <c r="BB34" s="41"/>
      <c r="BC34" s="41"/>
      <c r="BD34" s="69"/>
      <c r="BE34" s="46"/>
      <c r="BF34" s="41"/>
      <c r="BG34" s="68"/>
      <c r="BH34" s="41"/>
      <c r="BI34" s="41"/>
      <c r="BJ34" s="69"/>
      <c r="BK34" s="46"/>
      <c r="BL34" s="41"/>
      <c r="BM34" s="68"/>
      <c r="BN34" s="41"/>
      <c r="BO34" s="41"/>
      <c r="BP34" s="69"/>
      <c r="BQ34" s="41"/>
      <c r="BR34" s="41"/>
      <c r="BS34" s="68"/>
      <c r="BT34" s="41"/>
      <c r="BU34" s="41"/>
      <c r="BV34" s="69"/>
      <c r="BW34" s="46"/>
      <c r="BX34" s="41"/>
      <c r="BY34" s="68"/>
      <c r="BZ34" s="41"/>
      <c r="CA34" s="41"/>
      <c r="CB34" s="69"/>
      <c r="CC34" s="46"/>
      <c r="CD34" s="41"/>
      <c r="CE34" s="68"/>
      <c r="CF34" s="41"/>
      <c r="CG34" s="41"/>
      <c r="CH34" s="69"/>
      <c r="CI34" s="41"/>
      <c r="CJ34" s="41"/>
      <c r="CK34" s="68"/>
      <c r="CL34" s="41"/>
      <c r="CM34" s="41"/>
      <c r="CN34" s="69"/>
      <c r="CO34" s="41"/>
      <c r="CP34" s="41"/>
      <c r="CQ34" s="68"/>
      <c r="CR34" s="41"/>
      <c r="CS34" s="41"/>
      <c r="CT34" s="69"/>
      <c r="CU34" s="41"/>
      <c r="CV34" s="41"/>
      <c r="CW34" s="68"/>
      <c r="CX34" s="41"/>
      <c r="CY34" s="41"/>
      <c r="CZ34" s="69"/>
      <c r="DA34" s="41"/>
      <c r="DB34" s="41"/>
      <c r="DC34" s="68"/>
      <c r="DD34" s="41"/>
      <c r="DE34" s="41"/>
      <c r="DF34" s="69"/>
      <c r="DG34" s="41"/>
      <c r="DH34" s="85"/>
      <c r="DI34" s="69">
        <v>0</v>
      </c>
      <c r="DJ34" s="46"/>
      <c r="DK34" s="41"/>
      <c r="DL34" s="68">
        <v>0</v>
      </c>
    </row>
    <row r="35" spans="1:116">
      <c r="A35" s="53" t="s">
        <v>301</v>
      </c>
      <c r="B35" s="40">
        <v>1</v>
      </c>
      <c r="C35" s="55" t="s">
        <v>235</v>
      </c>
      <c r="D35" s="54">
        <v>19</v>
      </c>
      <c r="E35" s="54">
        <v>6</v>
      </c>
      <c r="F35" s="59">
        <v>12.549264000000001</v>
      </c>
      <c r="G35" s="68">
        <f t="shared" si="0"/>
        <v>0</v>
      </c>
      <c r="H35" s="47">
        <v>12.549264000000001</v>
      </c>
      <c r="I35" s="69">
        <v>0</v>
      </c>
      <c r="J35" s="41"/>
      <c r="K35" s="41"/>
      <c r="L35" s="41"/>
      <c r="M35" s="69"/>
      <c r="N35" s="41"/>
      <c r="O35" s="41"/>
      <c r="P35" s="41"/>
      <c r="Q35" s="68"/>
      <c r="R35" s="41"/>
      <c r="S35" s="41"/>
      <c r="T35" s="41"/>
      <c r="U35" s="69"/>
      <c r="V35" s="41"/>
      <c r="W35" s="41"/>
      <c r="X35" s="68"/>
      <c r="Y35" s="41"/>
      <c r="Z35" s="41"/>
      <c r="AA35" s="41"/>
      <c r="AB35" s="69"/>
      <c r="AC35" s="41"/>
      <c r="AD35" s="41"/>
      <c r="AE35" s="41"/>
      <c r="AF35" s="68"/>
      <c r="AG35" s="41"/>
      <c r="AH35" s="41"/>
      <c r="AI35" s="41"/>
      <c r="AJ35" s="41"/>
      <c r="AK35" s="69"/>
      <c r="AL35" s="46"/>
      <c r="AM35" s="41"/>
      <c r="AN35" s="41"/>
      <c r="AO35" s="68"/>
      <c r="AP35" s="41"/>
      <c r="AQ35" s="41"/>
      <c r="AR35" s="69"/>
      <c r="AS35" s="46"/>
      <c r="AT35" s="41"/>
      <c r="AU35" s="68"/>
      <c r="AV35" s="41"/>
      <c r="AW35" s="41"/>
      <c r="AX35" s="69"/>
      <c r="AY35" s="41"/>
      <c r="AZ35" s="41"/>
      <c r="BA35" s="68"/>
      <c r="BB35" s="41"/>
      <c r="BC35" s="41"/>
      <c r="BD35" s="69"/>
      <c r="BE35" s="46"/>
      <c r="BF35" s="41"/>
      <c r="BG35" s="68"/>
      <c r="BH35" s="41"/>
      <c r="BI35" s="41"/>
      <c r="BJ35" s="69"/>
      <c r="BK35" s="46"/>
      <c r="BL35" s="41"/>
      <c r="BM35" s="68"/>
      <c r="BN35" s="41"/>
      <c r="BO35" s="41"/>
      <c r="BP35" s="69"/>
      <c r="BQ35" s="41"/>
      <c r="BR35" s="41"/>
      <c r="BS35" s="68"/>
      <c r="BT35" s="41"/>
      <c r="BU35" s="41"/>
      <c r="BV35" s="69"/>
      <c r="BW35" s="46"/>
      <c r="BX35" s="41"/>
      <c r="BY35" s="68"/>
      <c r="BZ35" s="41"/>
      <c r="CA35" s="41"/>
      <c r="CB35" s="69"/>
      <c r="CC35" s="46"/>
      <c r="CD35" s="41"/>
      <c r="CE35" s="68"/>
      <c r="CF35" s="41"/>
      <c r="CG35" s="41"/>
      <c r="CH35" s="69"/>
      <c r="CI35" s="41"/>
      <c r="CJ35" s="41"/>
      <c r="CK35" s="68"/>
      <c r="CL35" s="41"/>
      <c r="CM35" s="41"/>
      <c r="CN35" s="69"/>
      <c r="CO35" s="41"/>
      <c r="CP35" s="41"/>
      <c r="CQ35" s="68"/>
      <c r="CR35" s="41"/>
      <c r="CS35" s="41"/>
      <c r="CT35" s="69"/>
      <c r="CU35" s="41"/>
      <c r="CV35" s="41"/>
      <c r="CW35" s="68"/>
      <c r="CX35" s="41"/>
      <c r="CY35" s="41"/>
      <c r="CZ35" s="69"/>
      <c r="DA35" s="41"/>
      <c r="DB35" s="41"/>
      <c r="DC35" s="68"/>
      <c r="DD35" s="41"/>
      <c r="DE35" s="41"/>
      <c r="DF35" s="69"/>
      <c r="DG35" s="41"/>
      <c r="DH35" s="85"/>
      <c r="DI35" s="69">
        <v>0</v>
      </c>
      <c r="DJ35" s="46"/>
      <c r="DK35" s="41"/>
      <c r="DL35" s="68">
        <v>0</v>
      </c>
    </row>
    <row r="36" spans="1:116">
      <c r="A36" s="53" t="s">
        <v>301</v>
      </c>
      <c r="B36" s="40">
        <v>1</v>
      </c>
      <c r="C36" s="55" t="s">
        <v>235</v>
      </c>
      <c r="D36" s="54">
        <v>21</v>
      </c>
      <c r="E36" s="54">
        <v>6</v>
      </c>
      <c r="F36" s="59">
        <v>10.606232</v>
      </c>
      <c r="G36" s="68">
        <f t="shared" si="0"/>
        <v>0</v>
      </c>
      <c r="H36" s="47">
        <v>10.606232</v>
      </c>
      <c r="I36" s="69">
        <v>0</v>
      </c>
      <c r="J36" s="41"/>
      <c r="K36" s="41"/>
      <c r="L36" s="41"/>
      <c r="M36" s="69"/>
      <c r="N36" s="41"/>
      <c r="O36" s="41"/>
      <c r="P36" s="41"/>
      <c r="Q36" s="68"/>
      <c r="R36" s="41"/>
      <c r="S36" s="41"/>
      <c r="T36" s="41"/>
      <c r="U36" s="69"/>
      <c r="V36" s="41"/>
      <c r="W36" s="41"/>
      <c r="X36" s="68"/>
      <c r="Y36" s="41"/>
      <c r="Z36" s="41"/>
      <c r="AA36" s="41"/>
      <c r="AB36" s="69"/>
      <c r="AC36" s="41"/>
      <c r="AD36" s="41"/>
      <c r="AE36" s="41"/>
      <c r="AF36" s="68"/>
      <c r="AG36" s="41"/>
      <c r="AH36" s="41"/>
      <c r="AI36" s="41"/>
      <c r="AJ36" s="41"/>
      <c r="AK36" s="69"/>
      <c r="AL36" s="46"/>
      <c r="AM36" s="41"/>
      <c r="AN36" s="41"/>
      <c r="AO36" s="68"/>
      <c r="AP36" s="41"/>
      <c r="AQ36" s="41"/>
      <c r="AR36" s="69"/>
      <c r="AS36" s="46"/>
      <c r="AT36" s="41"/>
      <c r="AU36" s="68"/>
      <c r="AV36" s="41"/>
      <c r="AW36" s="41"/>
      <c r="AX36" s="69"/>
      <c r="AY36" s="41"/>
      <c r="AZ36" s="41"/>
      <c r="BA36" s="68"/>
      <c r="BB36" s="41"/>
      <c r="BC36" s="41"/>
      <c r="BD36" s="69"/>
      <c r="BE36" s="46"/>
      <c r="BF36" s="41"/>
      <c r="BG36" s="68"/>
      <c r="BH36" s="41"/>
      <c r="BI36" s="41"/>
      <c r="BJ36" s="69"/>
      <c r="BK36" s="46"/>
      <c r="BL36" s="41"/>
      <c r="BM36" s="68"/>
      <c r="BN36" s="41"/>
      <c r="BO36" s="41"/>
      <c r="BP36" s="69"/>
      <c r="BQ36" s="41"/>
      <c r="BR36" s="41"/>
      <c r="BS36" s="68"/>
      <c r="BT36" s="41"/>
      <c r="BU36" s="41"/>
      <c r="BV36" s="69"/>
      <c r="BW36" s="46"/>
      <c r="BX36" s="41"/>
      <c r="BY36" s="68"/>
      <c r="BZ36" s="41"/>
      <c r="CA36" s="41"/>
      <c r="CB36" s="69"/>
      <c r="CC36" s="46"/>
      <c r="CD36" s="41"/>
      <c r="CE36" s="68"/>
      <c r="CF36" s="41"/>
      <c r="CG36" s="41"/>
      <c r="CH36" s="69"/>
      <c r="CI36" s="41"/>
      <c r="CJ36" s="41"/>
      <c r="CK36" s="68"/>
      <c r="CL36" s="41"/>
      <c r="CM36" s="41"/>
      <c r="CN36" s="69"/>
      <c r="CO36" s="41"/>
      <c r="CP36" s="41"/>
      <c r="CQ36" s="68"/>
      <c r="CR36" s="41"/>
      <c r="CS36" s="41"/>
      <c r="CT36" s="69"/>
      <c r="CU36" s="41"/>
      <c r="CV36" s="41"/>
      <c r="CW36" s="68"/>
      <c r="CX36" s="41"/>
      <c r="CY36" s="41"/>
      <c r="CZ36" s="69"/>
      <c r="DA36" s="41"/>
      <c r="DB36" s="41"/>
      <c r="DC36" s="68"/>
      <c r="DD36" s="41"/>
      <c r="DE36" s="41"/>
      <c r="DF36" s="69"/>
      <c r="DG36" s="41"/>
      <c r="DH36" s="85"/>
      <c r="DI36" s="69">
        <v>0</v>
      </c>
      <c r="DJ36" s="46"/>
      <c r="DK36" s="41"/>
      <c r="DL36" s="68">
        <v>0</v>
      </c>
    </row>
    <row r="37" spans="1:116">
      <c r="A37" s="53" t="s">
        <v>301</v>
      </c>
      <c r="B37" s="40">
        <v>1</v>
      </c>
      <c r="C37" s="55" t="s">
        <v>235</v>
      </c>
      <c r="D37" s="54">
        <v>22</v>
      </c>
      <c r="E37" s="54">
        <v>6</v>
      </c>
      <c r="F37" s="59">
        <v>10.668112000000001</v>
      </c>
      <c r="G37" s="68">
        <f t="shared" si="0"/>
        <v>0</v>
      </c>
      <c r="H37" s="47">
        <v>10.668112000000001</v>
      </c>
      <c r="I37" s="69">
        <v>0</v>
      </c>
      <c r="J37" s="41"/>
      <c r="K37" s="41"/>
      <c r="L37" s="41"/>
      <c r="M37" s="69"/>
      <c r="N37" s="41"/>
      <c r="O37" s="41"/>
      <c r="P37" s="41"/>
      <c r="Q37" s="68"/>
      <c r="R37" s="41"/>
      <c r="S37" s="41"/>
      <c r="T37" s="41"/>
      <c r="U37" s="69"/>
      <c r="V37" s="41"/>
      <c r="W37" s="41"/>
      <c r="X37" s="68"/>
      <c r="Y37" s="41"/>
      <c r="Z37" s="41"/>
      <c r="AA37" s="41"/>
      <c r="AB37" s="69"/>
      <c r="AC37" s="41"/>
      <c r="AD37" s="41"/>
      <c r="AE37" s="41"/>
      <c r="AF37" s="68"/>
      <c r="AG37" s="41"/>
      <c r="AH37" s="41"/>
      <c r="AI37" s="41"/>
      <c r="AJ37" s="41"/>
      <c r="AK37" s="69"/>
      <c r="AL37" s="46"/>
      <c r="AM37" s="41"/>
      <c r="AN37" s="41"/>
      <c r="AO37" s="68"/>
      <c r="AP37" s="41"/>
      <c r="AQ37" s="41"/>
      <c r="AR37" s="69"/>
      <c r="AS37" s="46"/>
      <c r="AT37" s="41"/>
      <c r="AU37" s="68"/>
      <c r="AV37" s="41"/>
      <c r="AW37" s="41"/>
      <c r="AX37" s="69"/>
      <c r="AY37" s="41"/>
      <c r="AZ37" s="41"/>
      <c r="BA37" s="68"/>
      <c r="BB37" s="41"/>
      <c r="BC37" s="41"/>
      <c r="BD37" s="69"/>
      <c r="BE37" s="46"/>
      <c r="BF37" s="41"/>
      <c r="BG37" s="68"/>
      <c r="BH37" s="41"/>
      <c r="BI37" s="41"/>
      <c r="BJ37" s="69"/>
      <c r="BK37" s="46"/>
      <c r="BL37" s="41"/>
      <c r="BM37" s="68"/>
      <c r="BN37" s="41"/>
      <c r="BO37" s="41"/>
      <c r="BP37" s="69"/>
      <c r="BQ37" s="41"/>
      <c r="BR37" s="41"/>
      <c r="BS37" s="68"/>
      <c r="BT37" s="41"/>
      <c r="BU37" s="41"/>
      <c r="BV37" s="69"/>
      <c r="BW37" s="46"/>
      <c r="BX37" s="41"/>
      <c r="BY37" s="68"/>
      <c r="BZ37" s="41"/>
      <c r="CA37" s="41"/>
      <c r="CB37" s="69"/>
      <c r="CC37" s="46"/>
      <c r="CD37" s="41"/>
      <c r="CE37" s="68"/>
      <c r="CF37" s="41"/>
      <c r="CG37" s="41"/>
      <c r="CH37" s="69"/>
      <c r="CI37" s="41"/>
      <c r="CJ37" s="41"/>
      <c r="CK37" s="68"/>
      <c r="CL37" s="41"/>
      <c r="CM37" s="41"/>
      <c r="CN37" s="69"/>
      <c r="CO37" s="41"/>
      <c r="CP37" s="41"/>
      <c r="CQ37" s="68"/>
      <c r="CR37" s="41"/>
      <c r="CS37" s="41"/>
      <c r="CT37" s="69"/>
      <c r="CU37" s="41"/>
      <c r="CV37" s="41"/>
      <c r="CW37" s="68"/>
      <c r="CX37" s="41"/>
      <c r="CY37" s="41"/>
      <c r="CZ37" s="69"/>
      <c r="DA37" s="41"/>
      <c r="DB37" s="41"/>
      <c r="DC37" s="68"/>
      <c r="DD37" s="41"/>
      <c r="DE37" s="41"/>
      <c r="DF37" s="69"/>
      <c r="DG37" s="41"/>
      <c r="DH37" s="85"/>
      <c r="DI37" s="69">
        <v>0</v>
      </c>
      <c r="DJ37" s="46"/>
      <c r="DK37" s="41"/>
      <c r="DL37" s="68">
        <v>0</v>
      </c>
    </row>
    <row r="38" spans="1:116">
      <c r="A38" s="53" t="s">
        <v>301</v>
      </c>
      <c r="B38" s="40">
        <v>1</v>
      </c>
      <c r="C38" s="55" t="s">
        <v>235</v>
      </c>
      <c r="D38" s="54">
        <v>23</v>
      </c>
      <c r="E38" s="54">
        <v>6</v>
      </c>
      <c r="F38" s="59">
        <v>11.150776</v>
      </c>
      <c r="G38" s="68">
        <f t="shared" si="0"/>
        <v>0</v>
      </c>
      <c r="H38" s="47">
        <v>11.150776</v>
      </c>
      <c r="I38" s="69">
        <v>0</v>
      </c>
      <c r="J38" s="41"/>
      <c r="K38" s="41"/>
      <c r="L38" s="41"/>
      <c r="M38" s="69"/>
      <c r="N38" s="41"/>
      <c r="O38" s="41"/>
      <c r="P38" s="41"/>
      <c r="Q38" s="68"/>
      <c r="R38" s="41"/>
      <c r="S38" s="41"/>
      <c r="T38" s="41"/>
      <c r="U38" s="69"/>
      <c r="V38" s="41"/>
      <c r="W38" s="41"/>
      <c r="X38" s="68"/>
      <c r="Y38" s="41"/>
      <c r="Z38" s="41"/>
      <c r="AA38" s="41"/>
      <c r="AB38" s="69"/>
      <c r="AC38" s="41"/>
      <c r="AD38" s="41"/>
      <c r="AE38" s="41"/>
      <c r="AF38" s="68"/>
      <c r="AG38" s="41"/>
      <c r="AH38" s="41"/>
      <c r="AI38" s="41"/>
      <c r="AJ38" s="41"/>
      <c r="AK38" s="69"/>
      <c r="AL38" s="46"/>
      <c r="AM38" s="41"/>
      <c r="AN38" s="41"/>
      <c r="AO38" s="68"/>
      <c r="AP38" s="41"/>
      <c r="AQ38" s="41"/>
      <c r="AR38" s="69"/>
      <c r="AS38" s="46"/>
      <c r="AT38" s="41"/>
      <c r="AU38" s="68"/>
      <c r="AV38" s="41"/>
      <c r="AW38" s="41"/>
      <c r="AX38" s="69"/>
      <c r="AY38" s="41"/>
      <c r="AZ38" s="41"/>
      <c r="BA38" s="68"/>
      <c r="BB38" s="41"/>
      <c r="BC38" s="41"/>
      <c r="BD38" s="69"/>
      <c r="BE38" s="46"/>
      <c r="BF38" s="41"/>
      <c r="BG38" s="68"/>
      <c r="BH38" s="41"/>
      <c r="BI38" s="41"/>
      <c r="BJ38" s="69"/>
      <c r="BK38" s="46"/>
      <c r="BL38" s="41"/>
      <c r="BM38" s="68"/>
      <c r="BN38" s="41"/>
      <c r="BO38" s="41"/>
      <c r="BP38" s="69"/>
      <c r="BQ38" s="41"/>
      <c r="BR38" s="41"/>
      <c r="BS38" s="68"/>
      <c r="BT38" s="41"/>
      <c r="BU38" s="41"/>
      <c r="BV38" s="69"/>
      <c r="BW38" s="46"/>
      <c r="BX38" s="41"/>
      <c r="BY38" s="68"/>
      <c r="BZ38" s="41"/>
      <c r="CA38" s="41"/>
      <c r="CB38" s="69"/>
      <c r="CC38" s="46"/>
      <c r="CD38" s="41"/>
      <c r="CE38" s="68"/>
      <c r="CF38" s="41"/>
      <c r="CG38" s="41"/>
      <c r="CH38" s="69"/>
      <c r="CI38" s="41"/>
      <c r="CJ38" s="41"/>
      <c r="CK38" s="68"/>
      <c r="CL38" s="41"/>
      <c r="CM38" s="41"/>
      <c r="CN38" s="69"/>
      <c r="CO38" s="41"/>
      <c r="CP38" s="41"/>
      <c r="CQ38" s="68"/>
      <c r="CR38" s="41"/>
      <c r="CS38" s="41"/>
      <c r="CT38" s="69"/>
      <c r="CU38" s="41"/>
      <c r="CV38" s="41"/>
      <c r="CW38" s="68"/>
      <c r="CX38" s="41"/>
      <c r="CY38" s="41"/>
      <c r="CZ38" s="69"/>
      <c r="DA38" s="41"/>
      <c r="DB38" s="41"/>
      <c r="DC38" s="68"/>
      <c r="DD38" s="41"/>
      <c r="DE38" s="41"/>
      <c r="DF38" s="69"/>
      <c r="DG38" s="41"/>
      <c r="DH38" s="85"/>
      <c r="DI38" s="69">
        <v>0</v>
      </c>
      <c r="DJ38" s="46"/>
      <c r="DK38" s="41"/>
      <c r="DL38" s="68">
        <v>0</v>
      </c>
    </row>
    <row r="39" spans="1:116">
      <c r="A39" s="53" t="s">
        <v>301</v>
      </c>
      <c r="B39" s="40">
        <v>1</v>
      </c>
      <c r="C39" s="55" t="s">
        <v>235</v>
      </c>
      <c r="D39" s="54">
        <v>24</v>
      </c>
      <c r="E39" s="54">
        <v>6</v>
      </c>
      <c r="F39" s="59">
        <v>10.358712000000001</v>
      </c>
      <c r="G39" s="68">
        <f t="shared" si="0"/>
        <v>0</v>
      </c>
      <c r="H39" s="47">
        <v>10.358712000000001</v>
      </c>
      <c r="I39" s="69">
        <v>0</v>
      </c>
      <c r="J39" s="41"/>
      <c r="K39" s="41"/>
      <c r="L39" s="41"/>
      <c r="M39" s="69"/>
      <c r="N39" s="41"/>
      <c r="O39" s="41"/>
      <c r="P39" s="41"/>
      <c r="Q39" s="68"/>
      <c r="R39" s="41"/>
      <c r="S39" s="41"/>
      <c r="T39" s="41"/>
      <c r="U39" s="69"/>
      <c r="V39" s="41"/>
      <c r="W39" s="41"/>
      <c r="X39" s="68"/>
      <c r="Y39" s="41"/>
      <c r="Z39" s="41"/>
      <c r="AA39" s="41"/>
      <c r="AB39" s="69"/>
      <c r="AC39" s="41"/>
      <c r="AD39" s="41"/>
      <c r="AE39" s="41"/>
      <c r="AF39" s="68"/>
      <c r="AG39" s="41"/>
      <c r="AH39" s="41"/>
      <c r="AI39" s="41"/>
      <c r="AJ39" s="41"/>
      <c r="AK39" s="69"/>
      <c r="AL39" s="46"/>
      <c r="AM39" s="41"/>
      <c r="AN39" s="41"/>
      <c r="AO39" s="68"/>
      <c r="AP39" s="41"/>
      <c r="AQ39" s="41"/>
      <c r="AR39" s="69"/>
      <c r="AS39" s="46"/>
      <c r="AT39" s="41"/>
      <c r="AU39" s="68"/>
      <c r="AV39" s="41"/>
      <c r="AW39" s="41"/>
      <c r="AX39" s="69"/>
      <c r="AY39" s="41"/>
      <c r="AZ39" s="41"/>
      <c r="BA39" s="68"/>
      <c r="BB39" s="41"/>
      <c r="BC39" s="41"/>
      <c r="BD39" s="69"/>
      <c r="BE39" s="46"/>
      <c r="BF39" s="41"/>
      <c r="BG39" s="68"/>
      <c r="BH39" s="41"/>
      <c r="BI39" s="41"/>
      <c r="BJ39" s="69"/>
      <c r="BK39" s="46"/>
      <c r="BL39" s="41"/>
      <c r="BM39" s="68"/>
      <c r="BN39" s="41"/>
      <c r="BO39" s="41"/>
      <c r="BP39" s="69"/>
      <c r="BQ39" s="41"/>
      <c r="BR39" s="41"/>
      <c r="BS39" s="68"/>
      <c r="BT39" s="41"/>
      <c r="BU39" s="41"/>
      <c r="BV39" s="69"/>
      <c r="BW39" s="46"/>
      <c r="BX39" s="41"/>
      <c r="BY39" s="68"/>
      <c r="BZ39" s="41"/>
      <c r="CA39" s="41"/>
      <c r="CB39" s="69"/>
      <c r="CC39" s="46"/>
      <c r="CD39" s="41"/>
      <c r="CE39" s="68"/>
      <c r="CF39" s="41"/>
      <c r="CG39" s="41"/>
      <c r="CH39" s="69"/>
      <c r="CI39" s="41"/>
      <c r="CJ39" s="41"/>
      <c r="CK39" s="68"/>
      <c r="CL39" s="41"/>
      <c r="CM39" s="41"/>
      <c r="CN39" s="69"/>
      <c r="CO39" s="41"/>
      <c r="CP39" s="41"/>
      <c r="CQ39" s="68"/>
      <c r="CR39" s="41"/>
      <c r="CS39" s="41"/>
      <c r="CT39" s="69"/>
      <c r="CU39" s="41"/>
      <c r="CV39" s="41"/>
      <c r="CW39" s="68"/>
      <c r="CX39" s="41"/>
      <c r="CY39" s="41"/>
      <c r="CZ39" s="69"/>
      <c r="DA39" s="41"/>
      <c r="DB39" s="41"/>
      <c r="DC39" s="68"/>
      <c r="DD39" s="41"/>
      <c r="DE39" s="41"/>
      <c r="DF39" s="69"/>
      <c r="DG39" s="41"/>
      <c r="DH39" s="85"/>
      <c r="DI39" s="69">
        <v>0</v>
      </c>
      <c r="DJ39" s="46"/>
      <c r="DK39" s="41"/>
      <c r="DL39" s="68">
        <v>0</v>
      </c>
    </row>
    <row r="40" spans="1:116">
      <c r="A40" s="53" t="s">
        <v>301</v>
      </c>
      <c r="B40" s="40">
        <v>1</v>
      </c>
      <c r="C40" s="55" t="s">
        <v>235</v>
      </c>
      <c r="D40" s="54">
        <v>25</v>
      </c>
      <c r="E40" s="54">
        <v>6</v>
      </c>
      <c r="F40" s="59">
        <v>10.569103999999999</v>
      </c>
      <c r="G40" s="68">
        <f t="shared" si="0"/>
        <v>0</v>
      </c>
      <c r="H40" s="47">
        <v>10.569103999999999</v>
      </c>
      <c r="I40" s="69">
        <v>10.57</v>
      </c>
      <c r="J40" s="41"/>
      <c r="K40" s="41"/>
      <c r="L40" s="41"/>
      <c r="M40" s="69"/>
      <c r="N40" s="41"/>
      <c r="O40" s="41"/>
      <c r="P40" s="41"/>
      <c r="Q40" s="68"/>
      <c r="R40" s="41"/>
      <c r="S40" s="41"/>
      <c r="T40" s="41"/>
      <c r="U40" s="69"/>
      <c r="V40" s="41"/>
      <c r="W40" s="41"/>
      <c r="X40" s="68"/>
      <c r="Y40" s="41"/>
      <c r="Z40" s="41"/>
      <c r="AA40" s="41"/>
      <c r="AB40" s="69"/>
      <c r="AC40" s="41"/>
      <c r="AD40" s="41"/>
      <c r="AE40" s="41"/>
      <c r="AF40" s="68"/>
      <c r="AG40" s="41"/>
      <c r="AH40" s="41"/>
      <c r="AI40" s="41"/>
      <c r="AJ40" s="41"/>
      <c r="AK40" s="69"/>
      <c r="AL40" s="46"/>
      <c r="AM40" s="41"/>
      <c r="AN40" s="41"/>
      <c r="AO40" s="68"/>
      <c r="AP40" s="41"/>
      <c r="AQ40" s="41"/>
      <c r="AR40" s="69"/>
      <c r="AS40" s="46"/>
      <c r="AT40" s="41"/>
      <c r="AU40" s="68"/>
      <c r="AV40" s="41"/>
      <c r="AW40" s="41"/>
      <c r="AX40" s="69"/>
      <c r="AY40" s="41"/>
      <c r="AZ40" s="41"/>
      <c r="BA40" s="68"/>
      <c r="BB40" s="41"/>
      <c r="BC40" s="41"/>
      <c r="BD40" s="69"/>
      <c r="BE40" s="46"/>
      <c r="BF40" s="41"/>
      <c r="BG40" s="68"/>
      <c r="BH40" s="41"/>
      <c r="BI40" s="41"/>
      <c r="BJ40" s="69"/>
      <c r="BK40" s="46"/>
      <c r="BL40" s="41"/>
      <c r="BM40" s="68"/>
      <c r="BN40" s="41"/>
      <c r="BO40" s="41"/>
      <c r="BP40" s="69"/>
      <c r="BQ40" s="41"/>
      <c r="BR40" s="41"/>
      <c r="BS40" s="68"/>
      <c r="BT40" s="41"/>
      <c r="BU40" s="41"/>
      <c r="BV40" s="69"/>
      <c r="BW40" s="46"/>
      <c r="BX40" s="41"/>
      <c r="BY40" s="68"/>
      <c r="BZ40" s="41"/>
      <c r="CA40" s="41"/>
      <c r="CB40" s="69"/>
      <c r="CC40" s="46"/>
      <c r="CD40" s="41"/>
      <c r="CE40" s="68"/>
      <c r="CF40" s="41"/>
      <c r="CG40" s="41"/>
      <c r="CH40" s="69"/>
      <c r="CI40" s="41"/>
      <c r="CJ40" s="41"/>
      <c r="CK40" s="68"/>
      <c r="CL40" s="41"/>
      <c r="CM40" s="41"/>
      <c r="CN40" s="69"/>
      <c r="CO40" s="41"/>
      <c r="CP40" s="41"/>
      <c r="CQ40" s="68"/>
      <c r="CR40" s="41"/>
      <c r="CS40" s="41"/>
      <c r="CT40" s="69"/>
      <c r="CU40" s="41"/>
      <c r="CV40" s="41"/>
      <c r="CW40" s="68"/>
      <c r="CX40" s="41"/>
      <c r="CY40" s="41"/>
      <c r="CZ40" s="69"/>
      <c r="DA40" s="41"/>
      <c r="DB40" s="41"/>
      <c r="DC40" s="68"/>
      <c r="DD40" s="41"/>
      <c r="DE40" s="41"/>
      <c r="DF40" s="69"/>
      <c r="DG40" s="41"/>
      <c r="DH40" s="85" t="s">
        <v>401</v>
      </c>
      <c r="DI40" s="69">
        <v>10570</v>
      </c>
      <c r="DJ40" s="46"/>
      <c r="DK40" s="41"/>
      <c r="DL40" s="68">
        <v>0</v>
      </c>
    </row>
    <row r="41" spans="1:116">
      <c r="A41" s="53" t="s">
        <v>301</v>
      </c>
      <c r="B41" s="40">
        <v>1</v>
      </c>
      <c r="C41" s="55" t="s">
        <v>235</v>
      </c>
      <c r="D41" s="54">
        <v>26</v>
      </c>
      <c r="E41" s="54">
        <v>6</v>
      </c>
      <c r="F41" s="59">
        <v>12.784407999999999</v>
      </c>
      <c r="G41" s="68">
        <f t="shared" si="0"/>
        <v>0</v>
      </c>
      <c r="H41" s="47">
        <v>12.784407999999999</v>
      </c>
      <c r="I41" s="69">
        <v>0</v>
      </c>
      <c r="J41" s="41"/>
      <c r="K41" s="41"/>
      <c r="L41" s="41"/>
      <c r="M41" s="69"/>
      <c r="N41" s="41"/>
      <c r="O41" s="41"/>
      <c r="P41" s="41"/>
      <c r="Q41" s="68"/>
      <c r="R41" s="41"/>
      <c r="S41" s="41"/>
      <c r="T41" s="41"/>
      <c r="U41" s="69"/>
      <c r="V41" s="41"/>
      <c r="W41" s="41"/>
      <c r="X41" s="68"/>
      <c r="Y41" s="41"/>
      <c r="Z41" s="41"/>
      <c r="AA41" s="41"/>
      <c r="AB41" s="69"/>
      <c r="AC41" s="41"/>
      <c r="AD41" s="41"/>
      <c r="AE41" s="41"/>
      <c r="AF41" s="68"/>
      <c r="AG41" s="41"/>
      <c r="AH41" s="41"/>
      <c r="AI41" s="41"/>
      <c r="AJ41" s="41"/>
      <c r="AK41" s="69"/>
      <c r="AL41" s="46"/>
      <c r="AM41" s="41"/>
      <c r="AN41" s="41"/>
      <c r="AO41" s="68"/>
      <c r="AP41" s="41"/>
      <c r="AQ41" s="41"/>
      <c r="AR41" s="69"/>
      <c r="AS41" s="46"/>
      <c r="AT41" s="41"/>
      <c r="AU41" s="68"/>
      <c r="AV41" s="41"/>
      <c r="AW41" s="41"/>
      <c r="AX41" s="69"/>
      <c r="AY41" s="41"/>
      <c r="AZ41" s="41"/>
      <c r="BA41" s="68"/>
      <c r="BB41" s="41"/>
      <c r="BC41" s="41"/>
      <c r="BD41" s="69"/>
      <c r="BE41" s="46"/>
      <c r="BF41" s="41"/>
      <c r="BG41" s="68"/>
      <c r="BH41" s="41"/>
      <c r="BI41" s="41"/>
      <c r="BJ41" s="69"/>
      <c r="BK41" s="46"/>
      <c r="BL41" s="41"/>
      <c r="BM41" s="68"/>
      <c r="BN41" s="41"/>
      <c r="BO41" s="41"/>
      <c r="BP41" s="69"/>
      <c r="BQ41" s="41"/>
      <c r="BR41" s="41"/>
      <c r="BS41" s="68"/>
      <c r="BT41" s="41"/>
      <c r="BU41" s="41"/>
      <c r="BV41" s="69"/>
      <c r="BW41" s="46"/>
      <c r="BX41" s="41"/>
      <c r="BY41" s="68"/>
      <c r="BZ41" s="41"/>
      <c r="CA41" s="41"/>
      <c r="CB41" s="69"/>
      <c r="CC41" s="46"/>
      <c r="CD41" s="41"/>
      <c r="CE41" s="68"/>
      <c r="CF41" s="41"/>
      <c r="CG41" s="41"/>
      <c r="CH41" s="69"/>
      <c r="CI41" s="41"/>
      <c r="CJ41" s="41"/>
      <c r="CK41" s="68"/>
      <c r="CL41" s="41"/>
      <c r="CM41" s="41"/>
      <c r="CN41" s="69"/>
      <c r="CO41" s="41"/>
      <c r="CP41" s="41"/>
      <c r="CQ41" s="68"/>
      <c r="CR41" s="41"/>
      <c r="CS41" s="41"/>
      <c r="CT41" s="69"/>
      <c r="CU41" s="41"/>
      <c r="CV41" s="41"/>
      <c r="CW41" s="68"/>
      <c r="CX41" s="41"/>
      <c r="CY41" s="41"/>
      <c r="CZ41" s="69"/>
      <c r="DA41" s="41"/>
      <c r="DB41" s="41"/>
      <c r="DC41" s="68"/>
      <c r="DD41" s="41"/>
      <c r="DE41" s="41"/>
      <c r="DF41" s="69"/>
      <c r="DG41" s="41"/>
      <c r="DH41" s="85"/>
      <c r="DI41" s="69">
        <v>0</v>
      </c>
      <c r="DJ41" s="46"/>
      <c r="DK41" s="41"/>
      <c r="DL41" s="68">
        <v>0</v>
      </c>
    </row>
    <row r="42" spans="1:116">
      <c r="A42" s="53" t="s">
        <v>301</v>
      </c>
      <c r="B42" s="40">
        <v>1</v>
      </c>
      <c r="C42" s="55" t="s">
        <v>235</v>
      </c>
      <c r="D42" s="54">
        <v>27</v>
      </c>
      <c r="E42" s="54">
        <v>6</v>
      </c>
      <c r="F42" s="59">
        <v>10.841376</v>
      </c>
      <c r="G42" s="68">
        <f t="shared" si="0"/>
        <v>0</v>
      </c>
      <c r="H42" s="47">
        <v>10.841376</v>
      </c>
      <c r="I42" s="69">
        <v>0</v>
      </c>
      <c r="J42" s="41"/>
      <c r="K42" s="41"/>
      <c r="L42" s="41"/>
      <c r="M42" s="69"/>
      <c r="N42" s="41"/>
      <c r="O42" s="41"/>
      <c r="P42" s="41"/>
      <c r="Q42" s="68"/>
      <c r="R42" s="41"/>
      <c r="S42" s="41"/>
      <c r="T42" s="41"/>
      <c r="U42" s="69"/>
      <c r="V42" s="41"/>
      <c r="W42" s="41"/>
      <c r="X42" s="68"/>
      <c r="Y42" s="41"/>
      <c r="Z42" s="41"/>
      <c r="AA42" s="41"/>
      <c r="AB42" s="69"/>
      <c r="AC42" s="41"/>
      <c r="AD42" s="41"/>
      <c r="AE42" s="41"/>
      <c r="AF42" s="68"/>
      <c r="AG42" s="41"/>
      <c r="AH42" s="41"/>
      <c r="AI42" s="41"/>
      <c r="AJ42" s="41"/>
      <c r="AK42" s="69"/>
      <c r="AL42" s="46"/>
      <c r="AM42" s="41"/>
      <c r="AN42" s="41"/>
      <c r="AO42" s="68"/>
      <c r="AP42" s="41"/>
      <c r="AQ42" s="41"/>
      <c r="AR42" s="69"/>
      <c r="AS42" s="46"/>
      <c r="AT42" s="41"/>
      <c r="AU42" s="68"/>
      <c r="AV42" s="41"/>
      <c r="AW42" s="41"/>
      <c r="AX42" s="69"/>
      <c r="AY42" s="41"/>
      <c r="AZ42" s="41"/>
      <c r="BA42" s="68"/>
      <c r="BB42" s="41"/>
      <c r="BC42" s="41"/>
      <c r="BD42" s="69"/>
      <c r="BE42" s="46"/>
      <c r="BF42" s="41"/>
      <c r="BG42" s="68"/>
      <c r="BH42" s="41"/>
      <c r="BI42" s="41"/>
      <c r="BJ42" s="69"/>
      <c r="BK42" s="46"/>
      <c r="BL42" s="41"/>
      <c r="BM42" s="68"/>
      <c r="BN42" s="41"/>
      <c r="BO42" s="41"/>
      <c r="BP42" s="69"/>
      <c r="BQ42" s="41"/>
      <c r="BR42" s="41"/>
      <c r="BS42" s="68"/>
      <c r="BT42" s="41"/>
      <c r="BU42" s="41"/>
      <c r="BV42" s="69"/>
      <c r="BW42" s="46"/>
      <c r="BX42" s="41"/>
      <c r="BY42" s="68"/>
      <c r="BZ42" s="41"/>
      <c r="CA42" s="41"/>
      <c r="CB42" s="69"/>
      <c r="CC42" s="46"/>
      <c r="CD42" s="41"/>
      <c r="CE42" s="68"/>
      <c r="CF42" s="41"/>
      <c r="CG42" s="41"/>
      <c r="CH42" s="69"/>
      <c r="CI42" s="41"/>
      <c r="CJ42" s="41"/>
      <c r="CK42" s="68"/>
      <c r="CL42" s="41"/>
      <c r="CM42" s="41"/>
      <c r="CN42" s="69"/>
      <c r="CO42" s="41"/>
      <c r="CP42" s="41"/>
      <c r="CQ42" s="68"/>
      <c r="CR42" s="41"/>
      <c r="CS42" s="41"/>
      <c r="CT42" s="69"/>
      <c r="CU42" s="41"/>
      <c r="CV42" s="41"/>
      <c r="CW42" s="68"/>
      <c r="CX42" s="41"/>
      <c r="CY42" s="41"/>
      <c r="CZ42" s="69"/>
      <c r="DA42" s="41"/>
      <c r="DB42" s="41"/>
      <c r="DC42" s="68"/>
      <c r="DD42" s="41"/>
      <c r="DE42" s="41"/>
      <c r="DF42" s="69"/>
      <c r="DG42" s="41"/>
      <c r="DH42" s="85"/>
      <c r="DI42" s="69">
        <v>0</v>
      </c>
      <c r="DJ42" s="46"/>
      <c r="DK42" s="41"/>
      <c r="DL42" s="68">
        <v>0</v>
      </c>
    </row>
    <row r="43" spans="1:116">
      <c r="A43" s="53" t="s">
        <v>301</v>
      </c>
      <c r="B43" s="40">
        <v>1</v>
      </c>
      <c r="C43" s="55" t="s">
        <v>235</v>
      </c>
      <c r="D43" s="54">
        <v>28</v>
      </c>
      <c r="E43" s="54">
        <v>6</v>
      </c>
      <c r="F43" s="59">
        <v>77.981176000000005</v>
      </c>
      <c r="G43" s="68">
        <f t="shared" si="0"/>
        <v>0</v>
      </c>
      <c r="H43" s="47">
        <v>77.981176000000005</v>
      </c>
      <c r="I43" s="69">
        <v>322.18</v>
      </c>
      <c r="J43" s="41"/>
      <c r="K43" s="41"/>
      <c r="L43" s="41"/>
      <c r="M43" s="69"/>
      <c r="N43" s="41"/>
      <c r="O43" s="41"/>
      <c r="P43" s="41"/>
      <c r="Q43" s="68"/>
      <c r="R43" s="41"/>
      <c r="S43" s="41"/>
      <c r="T43" s="41"/>
      <c r="U43" s="69"/>
      <c r="V43" s="41"/>
      <c r="W43" s="41"/>
      <c r="X43" s="68"/>
      <c r="Y43" s="41"/>
      <c r="Z43" s="41"/>
      <c r="AA43" s="41"/>
      <c r="AB43" s="69"/>
      <c r="AC43" s="41"/>
      <c r="AD43" s="41"/>
      <c r="AE43" s="41"/>
      <c r="AF43" s="68"/>
      <c r="AG43" s="46" t="s">
        <v>402</v>
      </c>
      <c r="AH43" s="41" t="s">
        <v>308</v>
      </c>
      <c r="AI43" s="98">
        <v>300</v>
      </c>
      <c r="AJ43" s="41">
        <v>5</v>
      </c>
      <c r="AK43" s="69">
        <v>255000</v>
      </c>
      <c r="AL43" s="46"/>
      <c r="AM43" s="41"/>
      <c r="AN43" s="41"/>
      <c r="AO43" s="68"/>
      <c r="AP43" s="41"/>
      <c r="AQ43" s="41"/>
      <c r="AR43" s="69"/>
      <c r="AS43" s="46"/>
      <c r="AT43" s="41"/>
      <c r="AU43" s="68"/>
      <c r="AV43" s="41"/>
      <c r="AW43" s="41"/>
      <c r="AX43" s="69"/>
      <c r="AY43" s="41"/>
      <c r="AZ43" s="41"/>
      <c r="BA43" s="68"/>
      <c r="BB43" s="41" t="s">
        <v>403</v>
      </c>
      <c r="BC43" s="41">
        <v>27</v>
      </c>
      <c r="BD43" s="69">
        <v>67180</v>
      </c>
      <c r="BE43" s="46"/>
      <c r="BF43" s="41"/>
      <c r="BG43" s="68"/>
      <c r="BH43" s="41"/>
      <c r="BI43" s="41"/>
      <c r="BJ43" s="69"/>
      <c r="BK43" s="46"/>
      <c r="BL43" s="41"/>
      <c r="BM43" s="68"/>
      <c r="BN43" s="41"/>
      <c r="BO43" s="41"/>
      <c r="BP43" s="69"/>
      <c r="BQ43" s="41"/>
      <c r="BR43" s="41"/>
      <c r="BS43" s="68"/>
      <c r="BT43" s="41"/>
      <c r="BU43" s="41"/>
      <c r="BV43" s="69"/>
      <c r="BW43" s="46"/>
      <c r="BX43" s="41"/>
      <c r="BY43" s="68"/>
      <c r="BZ43" s="41"/>
      <c r="CA43" s="41"/>
      <c r="CB43" s="69"/>
      <c r="CC43" s="46"/>
      <c r="CD43" s="41"/>
      <c r="CE43" s="68"/>
      <c r="CF43" s="41"/>
      <c r="CG43" s="41"/>
      <c r="CH43" s="69"/>
      <c r="CI43" s="41"/>
      <c r="CJ43" s="41"/>
      <c r="CK43" s="68"/>
      <c r="CL43" s="41"/>
      <c r="CM43" s="41"/>
      <c r="CN43" s="69"/>
      <c r="CO43" s="41"/>
      <c r="CP43" s="41"/>
      <c r="CQ43" s="68"/>
      <c r="CR43" s="41"/>
      <c r="CS43" s="41"/>
      <c r="CT43" s="69"/>
      <c r="CU43" s="41"/>
      <c r="CV43" s="41"/>
      <c r="CW43" s="68"/>
      <c r="CX43" s="41"/>
      <c r="CY43" s="41"/>
      <c r="CZ43" s="69"/>
      <c r="DA43" s="41"/>
      <c r="DB43" s="41"/>
      <c r="DC43" s="68"/>
      <c r="DD43" s="41"/>
      <c r="DE43" s="41"/>
      <c r="DF43" s="69"/>
      <c r="DG43" s="41"/>
      <c r="DH43" s="85"/>
      <c r="DI43" s="69">
        <v>0</v>
      </c>
      <c r="DJ43" s="46"/>
      <c r="DK43" s="41"/>
      <c r="DL43" s="68">
        <v>0</v>
      </c>
    </row>
    <row r="44" spans="1:116">
      <c r="A44" s="53" t="s">
        <v>301</v>
      </c>
      <c r="B44" s="40">
        <v>1</v>
      </c>
      <c r="C44" s="55" t="s">
        <v>235</v>
      </c>
      <c r="D44" s="54">
        <v>29</v>
      </c>
      <c r="E44" s="54">
        <v>6</v>
      </c>
      <c r="F44" s="59">
        <v>38.598609999999994</v>
      </c>
      <c r="G44" s="68">
        <f t="shared" si="0"/>
        <v>2.96129</v>
      </c>
      <c r="H44" s="47">
        <v>35.637319999999995</v>
      </c>
      <c r="I44" s="69">
        <v>38</v>
      </c>
      <c r="J44" s="41"/>
      <c r="K44" s="41"/>
      <c r="L44" s="41"/>
      <c r="M44" s="69"/>
      <c r="N44" s="41"/>
      <c r="O44" s="41"/>
      <c r="P44" s="41"/>
      <c r="Q44" s="68"/>
      <c r="R44" s="41"/>
      <c r="S44" s="41"/>
      <c r="T44" s="41"/>
      <c r="U44" s="69"/>
      <c r="V44" s="41"/>
      <c r="W44" s="41"/>
      <c r="X44" s="68"/>
      <c r="Y44" s="41"/>
      <c r="Z44" s="41"/>
      <c r="AA44" s="41"/>
      <c r="AB44" s="69"/>
      <c r="AC44" s="41"/>
      <c r="AD44" s="41"/>
      <c r="AE44" s="41"/>
      <c r="AF44" s="68"/>
      <c r="AG44" s="41"/>
      <c r="AH44" s="41"/>
      <c r="AI44" s="41"/>
      <c r="AJ44" s="41"/>
      <c r="AK44" s="69"/>
      <c r="AL44" s="46" t="s">
        <v>409</v>
      </c>
      <c r="AM44" s="41">
        <v>2.64</v>
      </c>
      <c r="AN44" s="41"/>
      <c r="AO44" s="68">
        <v>2961.29</v>
      </c>
      <c r="AP44" s="41"/>
      <c r="AQ44" s="41"/>
      <c r="AR44" s="69"/>
      <c r="AS44" s="46"/>
      <c r="AT44" s="41"/>
      <c r="AU44" s="68"/>
      <c r="AV44" s="41"/>
      <c r="AW44" s="41"/>
      <c r="AX44" s="69"/>
      <c r="AY44" s="41"/>
      <c r="AZ44" s="41"/>
      <c r="BA44" s="68"/>
      <c r="BB44" s="41"/>
      <c r="BC44" s="41"/>
      <c r="BD44" s="69"/>
      <c r="BE44" s="46"/>
      <c r="BF44" s="41"/>
      <c r="BG44" s="68"/>
      <c r="BH44" s="41"/>
      <c r="BI44" s="41"/>
      <c r="BJ44" s="69"/>
      <c r="BK44" s="46"/>
      <c r="BL44" s="41"/>
      <c r="BM44" s="68"/>
      <c r="BN44" s="41"/>
      <c r="BO44" s="41"/>
      <c r="BP44" s="69"/>
      <c r="BQ44" s="41"/>
      <c r="BR44" s="41"/>
      <c r="BS44" s="68"/>
      <c r="BT44" s="41"/>
      <c r="BU44" s="41"/>
      <c r="BV44" s="69"/>
      <c r="BW44" s="46"/>
      <c r="BX44" s="41"/>
      <c r="BY44" s="68"/>
      <c r="BZ44" s="41"/>
      <c r="CA44" s="41"/>
      <c r="CB44" s="69"/>
      <c r="CC44" s="46"/>
      <c r="CD44" s="41"/>
      <c r="CE44" s="68"/>
      <c r="CF44" s="41"/>
      <c r="CG44" s="41"/>
      <c r="CH44" s="69"/>
      <c r="CI44" s="41"/>
      <c r="CJ44" s="41"/>
      <c r="CK44" s="68"/>
      <c r="CL44" s="41" t="s">
        <v>410</v>
      </c>
      <c r="CM44" s="41">
        <v>2</v>
      </c>
      <c r="CN44" s="69">
        <v>10000</v>
      </c>
      <c r="CO44" s="41"/>
      <c r="CP44" s="41"/>
      <c r="CQ44" s="68"/>
      <c r="CR44" s="41"/>
      <c r="CS44" s="41"/>
      <c r="CT44" s="69"/>
      <c r="CU44" s="41"/>
      <c r="CV44" s="41"/>
      <c r="CW44" s="68"/>
      <c r="CX44" s="41"/>
      <c r="CY44" s="41"/>
      <c r="CZ44" s="69"/>
      <c r="DA44" s="41"/>
      <c r="DB44" s="41"/>
      <c r="DC44" s="68"/>
      <c r="DD44" s="41"/>
      <c r="DE44" s="41"/>
      <c r="DF44" s="69"/>
      <c r="DG44" s="41" t="s">
        <v>408</v>
      </c>
      <c r="DH44" s="85" t="s">
        <v>307</v>
      </c>
      <c r="DI44" s="69">
        <v>28000</v>
      </c>
      <c r="DJ44" s="46"/>
      <c r="DK44" s="41"/>
      <c r="DL44" s="68">
        <v>0</v>
      </c>
    </row>
    <row r="45" spans="1:116">
      <c r="A45" s="53" t="s">
        <v>301</v>
      </c>
      <c r="B45" s="40">
        <v>1</v>
      </c>
      <c r="C45" s="55" t="s">
        <v>235</v>
      </c>
      <c r="D45" s="54">
        <v>30</v>
      </c>
      <c r="E45" s="54">
        <v>6</v>
      </c>
      <c r="F45" s="59">
        <v>76.990406000000007</v>
      </c>
      <c r="G45" s="68">
        <f t="shared" si="0"/>
        <v>0</v>
      </c>
      <c r="H45" s="47">
        <v>76.990406000000007</v>
      </c>
      <c r="I45" s="69">
        <v>215.15</v>
      </c>
      <c r="J45" s="41"/>
      <c r="K45" s="41"/>
      <c r="L45" s="41"/>
      <c r="M45" s="69"/>
      <c r="N45" s="41"/>
      <c r="O45" s="41"/>
      <c r="P45" s="41"/>
      <c r="Q45" s="68"/>
      <c r="R45" s="41"/>
      <c r="S45" s="41"/>
      <c r="T45" s="41"/>
      <c r="U45" s="69"/>
      <c r="V45" s="41"/>
      <c r="W45" s="41"/>
      <c r="X45" s="68"/>
      <c r="Y45" s="41"/>
      <c r="Z45" s="41"/>
      <c r="AA45" s="41"/>
      <c r="AB45" s="69"/>
      <c r="AC45" s="41"/>
      <c r="AD45" s="41"/>
      <c r="AE45" s="41"/>
      <c r="AF45" s="68"/>
      <c r="AG45" s="41" t="s">
        <v>403</v>
      </c>
      <c r="AH45" s="41" t="s">
        <v>308</v>
      </c>
      <c r="AI45" s="98">
        <v>239</v>
      </c>
      <c r="AJ45" s="41" t="s">
        <v>374</v>
      </c>
      <c r="AK45" s="69">
        <v>203150</v>
      </c>
      <c r="AL45" s="46"/>
      <c r="AM45" s="41"/>
      <c r="AN45" s="41"/>
      <c r="AO45" s="68"/>
      <c r="AP45" s="41"/>
      <c r="AQ45" s="41"/>
      <c r="AR45" s="69"/>
      <c r="AS45" s="46"/>
      <c r="AT45" s="41"/>
      <c r="AU45" s="68"/>
      <c r="AV45" s="41"/>
      <c r="AW45" s="41"/>
      <c r="AX45" s="69"/>
      <c r="AY45" s="41"/>
      <c r="AZ45" s="41"/>
      <c r="BA45" s="68"/>
      <c r="BB45" s="41"/>
      <c r="BC45" s="41"/>
      <c r="BD45" s="69"/>
      <c r="BE45" s="46"/>
      <c r="BF45" s="41"/>
      <c r="BG45" s="68"/>
      <c r="BH45" s="41"/>
      <c r="BI45" s="41"/>
      <c r="BJ45" s="69"/>
      <c r="BK45" s="46"/>
      <c r="BL45" s="41"/>
      <c r="BM45" s="68"/>
      <c r="BN45" s="41"/>
      <c r="BO45" s="41"/>
      <c r="BP45" s="69"/>
      <c r="BQ45" s="41"/>
      <c r="BR45" s="41"/>
      <c r="BS45" s="68"/>
      <c r="BT45" s="41"/>
      <c r="BU45" s="41"/>
      <c r="BV45" s="69"/>
      <c r="BW45" s="46"/>
      <c r="BX45" s="41"/>
      <c r="BY45" s="68"/>
      <c r="BZ45" s="41"/>
      <c r="CA45" s="41"/>
      <c r="CB45" s="69"/>
      <c r="CC45" s="46"/>
      <c r="CD45" s="41"/>
      <c r="CE45" s="68"/>
      <c r="CF45" s="41"/>
      <c r="CG45" s="41"/>
      <c r="CH45" s="69"/>
      <c r="CI45" s="41"/>
      <c r="CJ45" s="41"/>
      <c r="CK45" s="68"/>
      <c r="CL45" s="41"/>
      <c r="CM45" s="41"/>
      <c r="CN45" s="69"/>
      <c r="CO45" s="41"/>
      <c r="CP45" s="41"/>
      <c r="CQ45" s="68"/>
      <c r="CR45" s="41"/>
      <c r="CS45" s="41"/>
      <c r="CT45" s="69"/>
      <c r="CU45" s="41"/>
      <c r="CV45" s="41"/>
      <c r="CW45" s="68"/>
      <c r="CX45" s="41"/>
      <c r="CY45" s="41"/>
      <c r="CZ45" s="69"/>
      <c r="DA45" s="41"/>
      <c r="DB45" s="41"/>
      <c r="DC45" s="68"/>
      <c r="DD45" s="41"/>
      <c r="DE45" s="41"/>
      <c r="DF45" s="69"/>
      <c r="DG45" s="41" t="s">
        <v>402</v>
      </c>
      <c r="DH45" s="85" t="s">
        <v>305</v>
      </c>
      <c r="DI45" s="69">
        <v>12000</v>
      </c>
      <c r="DJ45" s="46"/>
      <c r="DK45" s="41"/>
      <c r="DL45" s="68">
        <v>0</v>
      </c>
    </row>
    <row r="46" spans="1:116">
      <c r="A46" s="53" t="s">
        <v>301</v>
      </c>
      <c r="B46" s="40">
        <v>1</v>
      </c>
      <c r="C46" s="55" t="s">
        <v>235</v>
      </c>
      <c r="D46" s="54">
        <v>31</v>
      </c>
      <c r="E46" s="54">
        <v>6</v>
      </c>
      <c r="F46" s="59">
        <v>79.382139199999983</v>
      </c>
      <c r="G46" s="68">
        <f t="shared" si="0"/>
        <v>0</v>
      </c>
      <c r="H46" s="47">
        <v>79.382139199999983</v>
      </c>
      <c r="I46" s="69">
        <v>217.15</v>
      </c>
      <c r="J46" s="41"/>
      <c r="K46" s="41"/>
      <c r="L46" s="41"/>
      <c r="M46" s="69"/>
      <c r="N46" s="41"/>
      <c r="O46" s="41"/>
      <c r="P46" s="41"/>
      <c r="Q46" s="68"/>
      <c r="R46" s="41"/>
      <c r="S46" s="41"/>
      <c r="T46" s="41"/>
      <c r="U46" s="69"/>
      <c r="V46" s="41"/>
      <c r="W46" s="41"/>
      <c r="X46" s="68"/>
      <c r="Y46" s="41"/>
      <c r="Z46" s="41"/>
      <c r="AA46" s="41"/>
      <c r="AB46" s="69"/>
      <c r="AC46" s="41"/>
      <c r="AD46" s="41"/>
      <c r="AE46" s="41"/>
      <c r="AF46" s="68"/>
      <c r="AG46" s="41" t="s">
        <v>403</v>
      </c>
      <c r="AH46" s="41" t="s">
        <v>308</v>
      </c>
      <c r="AI46" s="98">
        <v>239</v>
      </c>
      <c r="AJ46" s="41">
        <v>15.16</v>
      </c>
      <c r="AK46" s="69">
        <v>203150</v>
      </c>
      <c r="AL46" s="46"/>
      <c r="AM46" s="41"/>
      <c r="AN46" s="41"/>
      <c r="AO46" s="68"/>
      <c r="AP46" s="41"/>
      <c r="AQ46" s="41"/>
      <c r="AR46" s="69"/>
      <c r="AS46" s="46"/>
      <c r="AT46" s="41"/>
      <c r="AU46" s="68"/>
      <c r="AV46" s="41"/>
      <c r="AW46" s="41"/>
      <c r="AX46" s="69"/>
      <c r="AY46" s="41"/>
      <c r="AZ46" s="41"/>
      <c r="BA46" s="68"/>
      <c r="BB46" s="41"/>
      <c r="BC46" s="41"/>
      <c r="BD46" s="69"/>
      <c r="BE46" s="46"/>
      <c r="BF46" s="41"/>
      <c r="BG46" s="68"/>
      <c r="BH46" s="41"/>
      <c r="BI46" s="41"/>
      <c r="BJ46" s="69"/>
      <c r="BK46" s="46"/>
      <c r="BL46" s="41"/>
      <c r="BM46" s="68"/>
      <c r="BN46" s="41"/>
      <c r="BO46" s="41"/>
      <c r="BP46" s="69"/>
      <c r="BQ46" s="41"/>
      <c r="BR46" s="41"/>
      <c r="BS46" s="68"/>
      <c r="BT46" s="41"/>
      <c r="BU46" s="41"/>
      <c r="BV46" s="69"/>
      <c r="BW46" s="46"/>
      <c r="BX46" s="41"/>
      <c r="BY46" s="68"/>
      <c r="BZ46" s="41"/>
      <c r="CA46" s="41"/>
      <c r="CB46" s="69"/>
      <c r="CC46" s="46"/>
      <c r="CD46" s="41"/>
      <c r="CE46" s="68"/>
      <c r="CF46" s="41"/>
      <c r="CG46" s="41"/>
      <c r="CH46" s="69"/>
      <c r="CI46" s="41"/>
      <c r="CJ46" s="41"/>
      <c r="CK46" s="68"/>
      <c r="CL46" s="41"/>
      <c r="CM46" s="41"/>
      <c r="CN46" s="69"/>
      <c r="CO46" s="41"/>
      <c r="CP46" s="41"/>
      <c r="CQ46" s="68"/>
      <c r="CR46" s="41"/>
      <c r="CS46" s="41"/>
      <c r="CT46" s="69"/>
      <c r="CU46" s="41"/>
      <c r="CV46" s="41"/>
      <c r="CW46" s="68"/>
      <c r="CX46" s="41"/>
      <c r="CY46" s="41"/>
      <c r="CZ46" s="69"/>
      <c r="DA46" s="41"/>
      <c r="DB46" s="41"/>
      <c r="DC46" s="68"/>
      <c r="DD46" s="41"/>
      <c r="DE46" s="41"/>
      <c r="DF46" s="69"/>
      <c r="DG46" s="41" t="s">
        <v>402</v>
      </c>
      <c r="DH46" s="85" t="s">
        <v>372</v>
      </c>
      <c r="DI46" s="69">
        <v>14000</v>
      </c>
      <c r="DJ46" s="46"/>
      <c r="DK46" s="41"/>
      <c r="DL46" s="68">
        <v>0</v>
      </c>
    </row>
    <row r="47" spans="1:116" ht="23.25">
      <c r="A47" s="53" t="s">
        <v>301</v>
      </c>
      <c r="B47" s="40">
        <v>1</v>
      </c>
      <c r="C47" s="55" t="s">
        <v>235</v>
      </c>
      <c r="D47" s="54">
        <v>32</v>
      </c>
      <c r="E47" s="54">
        <v>6</v>
      </c>
      <c r="F47" s="59">
        <v>79.02076000000001</v>
      </c>
      <c r="G47" s="68">
        <f t="shared" si="0"/>
        <v>0</v>
      </c>
      <c r="H47" s="47">
        <v>79.02076000000001</v>
      </c>
      <c r="I47" s="69">
        <v>79.02</v>
      </c>
      <c r="J47" s="41"/>
      <c r="K47" s="41"/>
      <c r="L47" s="41"/>
      <c r="M47" s="69"/>
      <c r="N47" s="41"/>
      <c r="O47" s="41"/>
      <c r="P47" s="41"/>
      <c r="Q47" s="68"/>
      <c r="R47" s="41"/>
      <c r="S47" s="41"/>
      <c r="T47" s="41"/>
      <c r="U47" s="69"/>
      <c r="V47" s="41"/>
      <c r="W47" s="41"/>
      <c r="X47" s="68"/>
      <c r="Y47" s="41"/>
      <c r="Z47" s="41"/>
      <c r="AA47" s="41"/>
      <c r="AB47" s="69"/>
      <c r="AC47" s="41"/>
      <c r="AD47" s="41"/>
      <c r="AE47" s="41"/>
      <c r="AF47" s="68"/>
      <c r="AG47" s="41"/>
      <c r="AH47" s="41"/>
      <c r="AI47" s="41"/>
      <c r="AJ47" s="41"/>
      <c r="AK47" s="69"/>
      <c r="AL47" s="46"/>
      <c r="AM47" s="41"/>
      <c r="AN47" s="41"/>
      <c r="AO47" s="68"/>
      <c r="AP47" s="41"/>
      <c r="AQ47" s="41"/>
      <c r="AR47" s="69"/>
      <c r="AS47" s="46"/>
      <c r="AT47" s="41"/>
      <c r="AU47" s="68"/>
      <c r="AV47" s="41"/>
      <c r="AW47" s="41"/>
      <c r="AX47" s="69"/>
      <c r="AY47" s="41"/>
      <c r="AZ47" s="41"/>
      <c r="BA47" s="68"/>
      <c r="BB47" s="41"/>
      <c r="BC47" s="41"/>
      <c r="BD47" s="69"/>
      <c r="BE47" s="46"/>
      <c r="BF47" s="41"/>
      <c r="BG47" s="68"/>
      <c r="BH47" s="41"/>
      <c r="BI47" s="41"/>
      <c r="BJ47" s="69"/>
      <c r="BK47" s="46"/>
      <c r="BL47" s="41"/>
      <c r="BM47" s="68"/>
      <c r="BN47" s="41"/>
      <c r="BO47" s="41"/>
      <c r="BP47" s="69"/>
      <c r="BQ47" s="41"/>
      <c r="BR47" s="41"/>
      <c r="BS47" s="68"/>
      <c r="BT47" s="41"/>
      <c r="BU47" s="41"/>
      <c r="BV47" s="69"/>
      <c r="BW47" s="46"/>
      <c r="BX47" s="41"/>
      <c r="BY47" s="68"/>
      <c r="BZ47" s="41"/>
      <c r="CA47" s="41"/>
      <c r="CB47" s="69"/>
      <c r="CC47" s="46"/>
      <c r="CD47" s="41"/>
      <c r="CE47" s="68"/>
      <c r="CF47" s="41"/>
      <c r="CG47" s="41"/>
      <c r="CH47" s="69"/>
      <c r="CI47" s="41"/>
      <c r="CJ47" s="41"/>
      <c r="CK47" s="68"/>
      <c r="CL47" s="41"/>
      <c r="CM47" s="41"/>
      <c r="CN47" s="69"/>
      <c r="CO47" s="41"/>
      <c r="CP47" s="41"/>
      <c r="CQ47" s="68"/>
      <c r="CR47" s="41" t="s">
        <v>403</v>
      </c>
      <c r="CS47" s="41">
        <v>35</v>
      </c>
      <c r="CT47" s="69">
        <v>52020</v>
      </c>
      <c r="CU47" s="41"/>
      <c r="CV47" s="41"/>
      <c r="CW47" s="68"/>
      <c r="CX47" s="41"/>
      <c r="CY47" s="41"/>
      <c r="CZ47" s="69"/>
      <c r="DA47" s="41"/>
      <c r="DB47" s="41"/>
      <c r="DC47" s="68"/>
      <c r="DD47" s="41"/>
      <c r="DE47" s="41"/>
      <c r="DF47" s="69"/>
      <c r="DG47" s="41" t="s">
        <v>413</v>
      </c>
      <c r="DH47" s="85" t="s">
        <v>375</v>
      </c>
      <c r="DI47" s="69">
        <v>27000</v>
      </c>
      <c r="DJ47" s="46"/>
      <c r="DK47" s="41"/>
      <c r="DL47" s="68">
        <v>0</v>
      </c>
    </row>
    <row r="48" spans="1:116">
      <c r="A48" s="53" t="s">
        <v>301</v>
      </c>
      <c r="B48" s="40">
        <v>1</v>
      </c>
      <c r="C48" s="55" t="s">
        <v>235</v>
      </c>
      <c r="D48" s="54">
        <v>33</v>
      </c>
      <c r="E48" s="54">
        <v>6</v>
      </c>
      <c r="F48" s="59">
        <v>79.478672000000003</v>
      </c>
      <c r="G48" s="68">
        <f t="shared" si="0"/>
        <v>0</v>
      </c>
      <c r="H48" s="47">
        <v>79.478672000000003</v>
      </c>
      <c r="I48" s="69">
        <v>254.45</v>
      </c>
      <c r="J48" s="41"/>
      <c r="K48" s="41"/>
      <c r="L48" s="41"/>
      <c r="M48" s="69"/>
      <c r="N48" s="41"/>
      <c r="O48" s="41"/>
      <c r="P48" s="41"/>
      <c r="Q48" s="68"/>
      <c r="R48" s="41"/>
      <c r="S48" s="41"/>
      <c r="T48" s="41"/>
      <c r="U48" s="69"/>
      <c r="V48" s="41"/>
      <c r="W48" s="41"/>
      <c r="X48" s="68"/>
      <c r="Y48" s="41"/>
      <c r="Z48" s="41"/>
      <c r="AA48" s="41"/>
      <c r="AB48" s="69"/>
      <c r="AC48" s="41"/>
      <c r="AD48" s="41"/>
      <c r="AE48" s="41"/>
      <c r="AF48" s="68"/>
      <c r="AG48" s="41" t="s">
        <v>403</v>
      </c>
      <c r="AH48" s="41" t="s">
        <v>308</v>
      </c>
      <c r="AI48" s="98">
        <v>239</v>
      </c>
      <c r="AJ48" s="41" t="s">
        <v>376</v>
      </c>
      <c r="AK48" s="69">
        <v>203150</v>
      </c>
      <c r="AL48" s="46"/>
      <c r="AM48" s="41"/>
      <c r="AN48" s="41"/>
      <c r="AO48" s="68"/>
      <c r="AP48" s="41" t="s">
        <v>411</v>
      </c>
      <c r="AQ48" s="41">
        <v>21</v>
      </c>
      <c r="AR48" s="69">
        <v>27300</v>
      </c>
      <c r="AS48" s="46"/>
      <c r="AT48" s="41"/>
      <c r="AU48" s="68"/>
      <c r="AV48" s="41"/>
      <c r="AW48" s="41"/>
      <c r="AX48" s="69"/>
      <c r="AY48" s="41"/>
      <c r="AZ48" s="41"/>
      <c r="BA48" s="68"/>
      <c r="BB48" s="41"/>
      <c r="BC48" s="41"/>
      <c r="BD48" s="69"/>
      <c r="BE48" s="46"/>
      <c r="BF48" s="41"/>
      <c r="BG48" s="68"/>
      <c r="BH48" s="41"/>
      <c r="BI48" s="41"/>
      <c r="BJ48" s="69"/>
      <c r="BK48" s="46"/>
      <c r="BL48" s="41"/>
      <c r="BM48" s="68"/>
      <c r="BN48" s="41"/>
      <c r="BO48" s="41"/>
      <c r="BP48" s="69"/>
      <c r="BQ48" s="41"/>
      <c r="BR48" s="41"/>
      <c r="BS48" s="68"/>
      <c r="BT48" s="41"/>
      <c r="BU48" s="41"/>
      <c r="BV48" s="69"/>
      <c r="BW48" s="46"/>
      <c r="BX48" s="41"/>
      <c r="BY48" s="68"/>
      <c r="BZ48" s="41"/>
      <c r="CA48" s="41"/>
      <c r="CB48" s="69"/>
      <c r="CC48" s="46"/>
      <c r="CD48" s="41"/>
      <c r="CE48" s="68"/>
      <c r="CF48" s="41"/>
      <c r="CG48" s="41"/>
      <c r="CH48" s="69"/>
      <c r="CI48" s="41"/>
      <c r="CJ48" s="41"/>
      <c r="CK48" s="68"/>
      <c r="CL48" s="41"/>
      <c r="CM48" s="41"/>
      <c r="CN48" s="69"/>
      <c r="CO48" s="41"/>
      <c r="CP48" s="41"/>
      <c r="CQ48" s="68"/>
      <c r="CR48" s="41"/>
      <c r="CS48" s="41"/>
      <c r="CT48" s="69"/>
      <c r="CU48" s="41"/>
      <c r="CV48" s="41"/>
      <c r="CW48" s="68"/>
      <c r="CX48" s="41"/>
      <c r="CY48" s="41"/>
      <c r="CZ48" s="69"/>
      <c r="DA48" s="41"/>
      <c r="DB48" s="41"/>
      <c r="DC48" s="68"/>
      <c r="DD48" s="41"/>
      <c r="DE48" s="41"/>
      <c r="DF48" s="69"/>
      <c r="DG48" s="41" t="s">
        <v>408</v>
      </c>
      <c r="DH48" s="85" t="s">
        <v>305</v>
      </c>
      <c r="DI48" s="69">
        <v>24000</v>
      </c>
      <c r="DJ48" s="46"/>
      <c r="DK48" s="41"/>
      <c r="DL48" s="68">
        <v>0</v>
      </c>
    </row>
    <row r="49" spans="1:116">
      <c r="A49" s="53" t="s">
        <v>301</v>
      </c>
      <c r="B49" s="40">
        <v>1</v>
      </c>
      <c r="C49" s="55" t="s">
        <v>235</v>
      </c>
      <c r="D49" s="54">
        <v>34</v>
      </c>
      <c r="E49" s="54">
        <v>6</v>
      </c>
      <c r="F49" s="59">
        <v>44.074192000000011</v>
      </c>
      <c r="G49" s="68">
        <f t="shared" si="0"/>
        <v>0</v>
      </c>
      <c r="H49" s="47">
        <v>44.074192000000011</v>
      </c>
      <c r="I49" s="69">
        <v>44.07</v>
      </c>
      <c r="J49" s="41"/>
      <c r="K49" s="41"/>
      <c r="L49" s="41"/>
      <c r="M49" s="69"/>
      <c r="N49" s="41"/>
      <c r="O49" s="41"/>
      <c r="P49" s="41"/>
      <c r="Q49" s="68"/>
      <c r="R49" s="41"/>
      <c r="S49" s="41"/>
      <c r="T49" s="41"/>
      <c r="U49" s="69"/>
      <c r="V49" s="41"/>
      <c r="W49" s="41"/>
      <c r="X49" s="68"/>
      <c r="Y49" s="41"/>
      <c r="Z49" s="41"/>
      <c r="AA49" s="41"/>
      <c r="AB49" s="69"/>
      <c r="AC49" s="41"/>
      <c r="AD49" s="41"/>
      <c r="AE49" s="41"/>
      <c r="AF49" s="68"/>
      <c r="AG49" s="41" t="s">
        <v>403</v>
      </c>
      <c r="AH49" s="41" t="s">
        <v>308</v>
      </c>
      <c r="AI49" s="41">
        <v>55</v>
      </c>
      <c r="AJ49" s="41" t="s">
        <v>377</v>
      </c>
      <c r="AK49" s="69">
        <v>44070</v>
      </c>
      <c r="AL49" s="46"/>
      <c r="AM49" s="41"/>
      <c r="AN49" s="41"/>
      <c r="AO49" s="68"/>
      <c r="AP49" s="41"/>
      <c r="AQ49" s="41"/>
      <c r="AR49" s="69"/>
      <c r="AS49" s="46"/>
      <c r="AT49" s="41"/>
      <c r="AU49" s="68"/>
      <c r="AV49" s="41"/>
      <c r="AW49" s="41"/>
      <c r="AX49" s="69"/>
      <c r="AY49" s="41"/>
      <c r="AZ49" s="41"/>
      <c r="BA49" s="68"/>
      <c r="BB49" s="41"/>
      <c r="BC49" s="41"/>
      <c r="BD49" s="69"/>
      <c r="BE49" s="46"/>
      <c r="BF49" s="41"/>
      <c r="BG49" s="68"/>
      <c r="BH49" s="41"/>
      <c r="BI49" s="41"/>
      <c r="BJ49" s="69"/>
      <c r="BK49" s="46"/>
      <c r="BL49" s="41"/>
      <c r="BM49" s="68"/>
      <c r="BN49" s="41"/>
      <c r="BO49" s="41"/>
      <c r="BP49" s="69"/>
      <c r="BQ49" s="41"/>
      <c r="BR49" s="41"/>
      <c r="BS49" s="68"/>
      <c r="BT49" s="41"/>
      <c r="BU49" s="41"/>
      <c r="BV49" s="69"/>
      <c r="BW49" s="46"/>
      <c r="BX49" s="41"/>
      <c r="BY49" s="68"/>
      <c r="BZ49" s="41"/>
      <c r="CA49" s="41"/>
      <c r="CB49" s="69"/>
      <c r="CC49" s="46"/>
      <c r="CD49" s="41"/>
      <c r="CE49" s="68"/>
      <c r="CF49" s="41"/>
      <c r="CG49" s="41"/>
      <c r="CH49" s="69"/>
      <c r="CI49" s="41"/>
      <c r="CJ49" s="41"/>
      <c r="CK49" s="68"/>
      <c r="CL49" s="41"/>
      <c r="CM49" s="41"/>
      <c r="CN49" s="69"/>
      <c r="CO49" s="41"/>
      <c r="CP49" s="41"/>
      <c r="CQ49" s="68"/>
      <c r="CR49" s="41"/>
      <c r="CS49" s="41"/>
      <c r="CT49" s="69"/>
      <c r="CU49" s="41"/>
      <c r="CV49" s="41"/>
      <c r="CW49" s="68"/>
      <c r="CX49" s="41"/>
      <c r="CY49" s="41"/>
      <c r="CZ49" s="69"/>
      <c r="DA49" s="41"/>
      <c r="DB49" s="41"/>
      <c r="DC49" s="68"/>
      <c r="DD49" s="41"/>
      <c r="DE49" s="41"/>
      <c r="DF49" s="69"/>
      <c r="DG49" s="41" t="s">
        <v>408</v>
      </c>
      <c r="DH49" s="85"/>
      <c r="DI49" s="69">
        <v>0</v>
      </c>
      <c r="DJ49" s="46"/>
      <c r="DK49" s="41"/>
      <c r="DL49" s="68">
        <v>0</v>
      </c>
    </row>
    <row r="50" spans="1:116">
      <c r="A50" s="53" t="s">
        <v>301</v>
      </c>
      <c r="B50" s="40">
        <v>1</v>
      </c>
      <c r="C50" s="55" t="s">
        <v>235</v>
      </c>
      <c r="D50" s="54">
        <v>35</v>
      </c>
      <c r="E50" s="54">
        <v>6</v>
      </c>
      <c r="F50" s="59">
        <v>94.200904000000008</v>
      </c>
      <c r="G50" s="68">
        <f t="shared" si="0"/>
        <v>1.02654</v>
      </c>
      <c r="H50" s="47">
        <v>93.174364000000011</v>
      </c>
      <c r="I50" s="69">
        <v>94.2</v>
      </c>
      <c r="J50" s="41"/>
      <c r="K50" s="41"/>
      <c r="L50" s="41"/>
      <c r="M50" s="69"/>
      <c r="N50" s="41"/>
      <c r="O50" s="41"/>
      <c r="P50" s="41"/>
      <c r="Q50" s="68"/>
      <c r="R50" s="41"/>
      <c r="S50" s="41"/>
      <c r="T50" s="41"/>
      <c r="U50" s="69"/>
      <c r="V50" s="41"/>
      <c r="W50" s="41"/>
      <c r="X50" s="68"/>
      <c r="Y50" s="41"/>
      <c r="Z50" s="41"/>
      <c r="AA50" s="41"/>
      <c r="AB50" s="69"/>
      <c r="AC50" s="41"/>
      <c r="AD50" s="41"/>
      <c r="AE50" s="41"/>
      <c r="AF50" s="68"/>
      <c r="AG50" s="41"/>
      <c r="AH50" s="41"/>
      <c r="AI50" s="41"/>
      <c r="AJ50" s="41"/>
      <c r="AK50" s="69"/>
      <c r="AL50" s="46"/>
      <c r="AM50" s="41"/>
      <c r="AN50" s="41"/>
      <c r="AO50" s="68"/>
      <c r="AP50" s="41"/>
      <c r="AQ50" s="41"/>
      <c r="AR50" s="69"/>
      <c r="AS50" s="46"/>
      <c r="AT50" s="41"/>
      <c r="AU50" s="68"/>
      <c r="AV50" s="41"/>
      <c r="AW50" s="41"/>
      <c r="AX50" s="69"/>
      <c r="AY50" s="41"/>
      <c r="AZ50" s="41"/>
      <c r="BA50" s="68"/>
      <c r="BB50" s="41" t="s">
        <v>404</v>
      </c>
      <c r="BC50" s="41">
        <v>38</v>
      </c>
      <c r="BD50" s="69">
        <v>94200</v>
      </c>
      <c r="BE50" s="46" t="s">
        <v>362</v>
      </c>
      <c r="BF50" s="41">
        <v>2</v>
      </c>
      <c r="BG50" s="68">
        <v>1026.54</v>
      </c>
      <c r="BH50" s="41"/>
      <c r="BI50" s="41"/>
      <c r="BJ50" s="69"/>
      <c r="BK50" s="46"/>
      <c r="BL50" s="41"/>
      <c r="BM50" s="68"/>
      <c r="BN50" s="41"/>
      <c r="BO50" s="41"/>
      <c r="BP50" s="69"/>
      <c r="BQ50" s="41"/>
      <c r="BR50" s="41"/>
      <c r="BS50" s="68"/>
      <c r="BT50" s="41"/>
      <c r="BU50" s="41"/>
      <c r="BV50" s="69"/>
      <c r="BW50" s="46"/>
      <c r="BX50" s="41"/>
      <c r="BY50" s="68"/>
      <c r="BZ50" s="41"/>
      <c r="CA50" s="41"/>
      <c r="CB50" s="69"/>
      <c r="CC50" s="46"/>
      <c r="CD50" s="41"/>
      <c r="CE50" s="68"/>
      <c r="CF50" s="41"/>
      <c r="CG50" s="41"/>
      <c r="CH50" s="69"/>
      <c r="CI50" s="41"/>
      <c r="CJ50" s="41"/>
      <c r="CK50" s="68"/>
      <c r="CL50" s="41"/>
      <c r="CM50" s="41"/>
      <c r="CN50" s="69"/>
      <c r="CO50" s="41"/>
      <c r="CP50" s="41"/>
      <c r="CQ50" s="68"/>
      <c r="CR50" s="41"/>
      <c r="CS50" s="41"/>
      <c r="CT50" s="69"/>
      <c r="CU50" s="41"/>
      <c r="CV50" s="41"/>
      <c r="CW50" s="68"/>
      <c r="CX50" s="41"/>
      <c r="CY50" s="41"/>
      <c r="CZ50" s="69"/>
      <c r="DA50" s="41"/>
      <c r="DB50" s="41"/>
      <c r="DC50" s="68"/>
      <c r="DD50" s="41"/>
      <c r="DE50" s="41"/>
      <c r="DF50" s="69"/>
      <c r="DG50" s="41" t="s">
        <v>405</v>
      </c>
      <c r="DH50" s="85"/>
      <c r="DI50" s="69">
        <v>0</v>
      </c>
      <c r="DJ50" s="46"/>
      <c r="DK50" s="41"/>
      <c r="DL50" s="68">
        <v>0</v>
      </c>
    </row>
    <row r="51" spans="1:116">
      <c r="A51" s="53" t="s">
        <v>301</v>
      </c>
      <c r="B51" s="40">
        <v>1</v>
      </c>
      <c r="C51" s="55" t="s">
        <v>235</v>
      </c>
      <c r="D51" s="54">
        <v>36</v>
      </c>
      <c r="E51" s="54">
        <v>6</v>
      </c>
      <c r="F51" s="59">
        <v>93.243794000000008</v>
      </c>
      <c r="G51" s="68">
        <f t="shared" si="0"/>
        <v>0</v>
      </c>
      <c r="H51" s="47">
        <v>93.243794000000008</v>
      </c>
      <c r="I51" s="69">
        <v>93.24</v>
      </c>
      <c r="J51" s="41"/>
      <c r="K51" s="41"/>
      <c r="L51" s="41"/>
      <c r="M51" s="69"/>
      <c r="N51" s="41"/>
      <c r="O51" s="41"/>
      <c r="P51" s="41"/>
      <c r="Q51" s="68"/>
      <c r="R51" s="41"/>
      <c r="S51" s="41"/>
      <c r="T51" s="41"/>
      <c r="U51" s="69"/>
      <c r="V51" s="41"/>
      <c r="W51" s="41"/>
      <c r="X51" s="68"/>
      <c r="Y51" s="41"/>
      <c r="Z51" s="41"/>
      <c r="AA51" s="41"/>
      <c r="AB51" s="69"/>
      <c r="AC51" s="41"/>
      <c r="AD51" s="41"/>
      <c r="AE51" s="41"/>
      <c r="AF51" s="68"/>
      <c r="AG51" s="41"/>
      <c r="AH51" s="41"/>
      <c r="AI51" s="41"/>
      <c r="AJ51" s="41"/>
      <c r="AK51" s="69"/>
      <c r="AL51" s="46"/>
      <c r="AM51" s="41"/>
      <c r="AN51" s="41"/>
      <c r="AO51" s="68"/>
      <c r="AP51" s="41"/>
      <c r="AQ51" s="41"/>
      <c r="AR51" s="69"/>
      <c r="AS51" s="46"/>
      <c r="AT51" s="41"/>
      <c r="AU51" s="68"/>
      <c r="AV51" s="41"/>
      <c r="AW51" s="41"/>
      <c r="AX51" s="69"/>
      <c r="AY51" s="41"/>
      <c r="AZ51" s="41"/>
      <c r="BA51" s="68"/>
      <c r="BB51" s="41" t="s">
        <v>405</v>
      </c>
      <c r="BC51" s="41">
        <v>38</v>
      </c>
      <c r="BD51" s="69">
        <v>93240</v>
      </c>
      <c r="BE51" s="46"/>
      <c r="BF51" s="41"/>
      <c r="BG51" s="68"/>
      <c r="BH51" s="41"/>
      <c r="BI51" s="41"/>
      <c r="BJ51" s="69"/>
      <c r="BK51" s="46"/>
      <c r="BL51" s="41"/>
      <c r="BM51" s="68"/>
      <c r="BN51" s="41"/>
      <c r="BO51" s="41"/>
      <c r="BP51" s="69"/>
      <c r="BQ51" s="41"/>
      <c r="BR51" s="41"/>
      <c r="BS51" s="68"/>
      <c r="BT51" s="41"/>
      <c r="BU51" s="41"/>
      <c r="BV51" s="69"/>
      <c r="BW51" s="46"/>
      <c r="BX51" s="41"/>
      <c r="BY51" s="68"/>
      <c r="BZ51" s="41"/>
      <c r="CA51" s="41"/>
      <c r="CB51" s="69"/>
      <c r="CC51" s="46"/>
      <c r="CD51" s="41"/>
      <c r="CE51" s="68"/>
      <c r="CF51" s="41"/>
      <c r="CG51" s="41"/>
      <c r="CH51" s="69"/>
      <c r="CI51" s="41"/>
      <c r="CJ51" s="41"/>
      <c r="CK51" s="68"/>
      <c r="CL51" s="41"/>
      <c r="CM51" s="41"/>
      <c r="CN51" s="69"/>
      <c r="CO51" s="41"/>
      <c r="CP51" s="41"/>
      <c r="CQ51" s="68"/>
      <c r="CR51" s="41"/>
      <c r="CS51" s="41"/>
      <c r="CT51" s="69"/>
      <c r="CU51" s="41"/>
      <c r="CV51" s="41"/>
      <c r="CW51" s="68"/>
      <c r="CX51" s="41"/>
      <c r="CY51" s="41"/>
      <c r="CZ51" s="69"/>
      <c r="DA51" s="41"/>
      <c r="DB51" s="41"/>
      <c r="DC51" s="68"/>
      <c r="DD51" s="41"/>
      <c r="DE51" s="41"/>
      <c r="DF51" s="69"/>
      <c r="DG51" s="41" t="s">
        <v>405</v>
      </c>
      <c r="DH51" s="85"/>
      <c r="DI51" s="69">
        <v>0</v>
      </c>
      <c r="DJ51" s="46"/>
      <c r="DK51" s="41"/>
      <c r="DL51" s="68">
        <v>0</v>
      </c>
    </row>
    <row r="52" spans="1:116">
      <c r="A52" s="53" t="s">
        <v>301</v>
      </c>
      <c r="B52" s="40">
        <v>1</v>
      </c>
      <c r="C52" s="55" t="s">
        <v>235</v>
      </c>
      <c r="D52" s="54">
        <v>37</v>
      </c>
      <c r="E52" s="54">
        <v>6</v>
      </c>
      <c r="F52" s="59">
        <v>22.425312000000002</v>
      </c>
      <c r="G52" s="68">
        <f t="shared" si="0"/>
        <v>0</v>
      </c>
      <c r="H52" s="47">
        <v>22.425312000000002</v>
      </c>
      <c r="I52" s="69">
        <v>0</v>
      </c>
      <c r="J52" s="41"/>
      <c r="K52" s="41"/>
      <c r="L52" s="41"/>
      <c r="M52" s="69"/>
      <c r="N52" s="41"/>
      <c r="O52" s="41"/>
      <c r="P52" s="41"/>
      <c r="Q52" s="68"/>
      <c r="R52" s="41"/>
      <c r="S52" s="41"/>
      <c r="T52" s="41"/>
      <c r="U52" s="69"/>
      <c r="V52" s="41"/>
      <c r="W52" s="41"/>
      <c r="X52" s="68"/>
      <c r="Y52" s="41"/>
      <c r="Z52" s="41"/>
      <c r="AA52" s="41"/>
      <c r="AB52" s="69"/>
      <c r="AC52" s="41"/>
      <c r="AD52" s="41"/>
      <c r="AE52" s="41"/>
      <c r="AF52" s="68"/>
      <c r="AG52" s="41"/>
      <c r="AH52" s="41"/>
      <c r="AI52" s="41"/>
      <c r="AJ52" s="41"/>
      <c r="AK52" s="69"/>
      <c r="AL52" s="46"/>
      <c r="AM52" s="41"/>
      <c r="AN52" s="41"/>
      <c r="AO52" s="68"/>
      <c r="AP52" s="41"/>
      <c r="AQ52" s="41"/>
      <c r="AR52" s="69"/>
      <c r="AS52" s="46"/>
      <c r="AT52" s="41"/>
      <c r="AU52" s="68"/>
      <c r="AV52" s="41"/>
      <c r="AW52" s="41"/>
      <c r="AX52" s="69"/>
      <c r="AY52" s="41"/>
      <c r="AZ52" s="41"/>
      <c r="BA52" s="68"/>
      <c r="BB52" s="41"/>
      <c r="BC52" s="41"/>
      <c r="BD52" s="69"/>
      <c r="BE52" s="46"/>
      <c r="BF52" s="41"/>
      <c r="BG52" s="68"/>
      <c r="BH52" s="41"/>
      <c r="BI52" s="41"/>
      <c r="BJ52" s="69"/>
      <c r="BK52" s="46"/>
      <c r="BL52" s="41"/>
      <c r="BM52" s="68"/>
      <c r="BN52" s="41"/>
      <c r="BO52" s="41"/>
      <c r="BP52" s="69"/>
      <c r="BQ52" s="41"/>
      <c r="BR52" s="41"/>
      <c r="BS52" s="68"/>
      <c r="BT52" s="41"/>
      <c r="BU52" s="41"/>
      <c r="BV52" s="69"/>
      <c r="BW52" s="46"/>
      <c r="BX52" s="41"/>
      <c r="BY52" s="68"/>
      <c r="BZ52" s="41"/>
      <c r="CA52" s="41"/>
      <c r="CB52" s="69"/>
      <c r="CC52" s="46"/>
      <c r="CD52" s="41"/>
      <c r="CE52" s="68"/>
      <c r="CF52" s="41"/>
      <c r="CG52" s="41"/>
      <c r="CH52" s="69"/>
      <c r="CI52" s="41"/>
      <c r="CJ52" s="41"/>
      <c r="CK52" s="68"/>
      <c r="CL52" s="41"/>
      <c r="CM52" s="41"/>
      <c r="CN52" s="69"/>
      <c r="CO52" s="41"/>
      <c r="CP52" s="41"/>
      <c r="CQ52" s="68"/>
      <c r="CR52" s="41"/>
      <c r="CS52" s="41"/>
      <c r="CT52" s="69"/>
      <c r="CU52" s="41"/>
      <c r="CV52" s="41"/>
      <c r="CW52" s="68"/>
      <c r="CX52" s="41"/>
      <c r="CY52" s="41"/>
      <c r="CZ52" s="69"/>
      <c r="DA52" s="41"/>
      <c r="DB52" s="41"/>
      <c r="DC52" s="68"/>
      <c r="DD52" s="41"/>
      <c r="DE52" s="41"/>
      <c r="DF52" s="69"/>
      <c r="DG52" s="41" t="s">
        <v>405</v>
      </c>
      <c r="DH52" s="86"/>
      <c r="DI52" s="69">
        <v>0</v>
      </c>
      <c r="DJ52" s="46"/>
      <c r="DK52" s="41"/>
      <c r="DL52" s="68">
        <v>0</v>
      </c>
    </row>
    <row r="53" spans="1:116">
      <c r="A53" s="53" t="s">
        <v>301</v>
      </c>
      <c r="B53" s="40">
        <v>1</v>
      </c>
      <c r="C53" s="55" t="s">
        <v>235</v>
      </c>
      <c r="D53" s="54">
        <v>38</v>
      </c>
      <c r="E53" s="54">
        <v>6</v>
      </c>
      <c r="F53" s="59">
        <v>108.574648</v>
      </c>
      <c r="G53" s="68">
        <f t="shared" si="0"/>
        <v>2.2588000000000004</v>
      </c>
      <c r="H53" s="47">
        <v>108.574648</v>
      </c>
      <c r="I53" s="69">
        <v>108</v>
      </c>
      <c r="J53" s="41"/>
      <c r="K53" s="41"/>
      <c r="L53" s="41"/>
      <c r="M53" s="69"/>
      <c r="N53" s="41"/>
      <c r="O53" s="41"/>
      <c r="P53" s="41"/>
      <c r="Q53" s="68"/>
      <c r="R53" s="41"/>
      <c r="S53" s="41"/>
      <c r="T53" s="41"/>
      <c r="U53" s="69"/>
      <c r="V53" s="41"/>
      <c r="W53" s="41"/>
      <c r="X53" s="68"/>
      <c r="Y53" s="41"/>
      <c r="Z53" s="41"/>
      <c r="AA53" s="41"/>
      <c r="AB53" s="69"/>
      <c r="AC53" s="41"/>
      <c r="AD53" s="41"/>
      <c r="AE53" s="41"/>
      <c r="AF53" s="68"/>
      <c r="AG53" s="41"/>
      <c r="AH53" s="41"/>
      <c r="AI53" s="41"/>
      <c r="AJ53" s="41"/>
      <c r="AK53" s="69"/>
      <c r="AL53" s="46"/>
      <c r="AM53" s="41"/>
      <c r="AN53" s="41"/>
      <c r="AO53" s="68"/>
      <c r="AP53" s="41"/>
      <c r="AQ53" s="41"/>
      <c r="AR53" s="69"/>
      <c r="AS53" s="46"/>
      <c r="AT53" s="41"/>
      <c r="AU53" s="68"/>
      <c r="AV53" s="41"/>
      <c r="AW53" s="41"/>
      <c r="AX53" s="69"/>
      <c r="AY53" s="41"/>
      <c r="AZ53" s="41"/>
      <c r="BA53" s="68"/>
      <c r="BB53" s="41"/>
      <c r="BC53" s="41"/>
      <c r="BD53" s="69"/>
      <c r="BE53" s="46"/>
      <c r="BF53" s="41"/>
      <c r="BG53" s="68"/>
      <c r="BH53" s="41" t="s">
        <v>323</v>
      </c>
      <c r="BI53" s="41">
        <v>58</v>
      </c>
      <c r="BJ53" s="69">
        <v>58000</v>
      </c>
      <c r="BK53" s="46" t="s">
        <v>403</v>
      </c>
      <c r="BL53" s="41">
        <v>2</v>
      </c>
      <c r="BM53" s="68">
        <v>2258.8000000000002</v>
      </c>
      <c r="BN53" s="41"/>
      <c r="BO53" s="41"/>
      <c r="BP53" s="69"/>
      <c r="BQ53" s="41"/>
      <c r="BR53" s="41"/>
      <c r="BS53" s="68"/>
      <c r="BT53" s="41"/>
      <c r="BU53" s="41"/>
      <c r="BV53" s="69"/>
      <c r="BW53" s="46"/>
      <c r="BX53" s="41"/>
      <c r="BY53" s="68"/>
      <c r="BZ53" s="41" t="s">
        <v>408</v>
      </c>
      <c r="CA53" s="41">
        <v>10</v>
      </c>
      <c r="CB53" s="69">
        <v>50000</v>
      </c>
      <c r="CC53" s="46"/>
      <c r="CD53" s="41"/>
      <c r="CE53" s="68"/>
      <c r="CF53" s="41"/>
      <c r="CG53" s="41"/>
      <c r="CH53" s="69"/>
      <c r="CI53" s="41"/>
      <c r="CJ53" s="41"/>
      <c r="CK53" s="68"/>
      <c r="CL53" s="41"/>
      <c r="CM53" s="41"/>
      <c r="CN53" s="69"/>
      <c r="CO53" s="41"/>
      <c r="CP53" s="41"/>
      <c r="CQ53" s="68"/>
      <c r="CR53" s="41"/>
      <c r="CS53" s="41"/>
      <c r="CT53" s="69"/>
      <c r="CU53" s="41"/>
      <c r="CV53" s="41"/>
      <c r="CW53" s="68"/>
      <c r="CX53" s="41"/>
      <c r="CY53" s="41"/>
      <c r="CZ53" s="69"/>
      <c r="DA53" s="41"/>
      <c r="DB53" s="41"/>
      <c r="DC53" s="68"/>
      <c r="DD53" s="41"/>
      <c r="DE53" s="41"/>
      <c r="DF53" s="69"/>
      <c r="DG53" s="41" t="s">
        <v>405</v>
      </c>
      <c r="DH53" s="86"/>
      <c r="DI53" s="69">
        <v>0</v>
      </c>
      <c r="DJ53" s="46"/>
      <c r="DK53" s="41"/>
      <c r="DL53" s="68">
        <v>0</v>
      </c>
    </row>
    <row r="54" spans="1:116">
      <c r="A54" s="53" t="s">
        <v>301</v>
      </c>
      <c r="B54" s="40">
        <v>1</v>
      </c>
      <c r="C54" s="55" t="s">
        <v>235</v>
      </c>
      <c r="D54" s="54">
        <v>39</v>
      </c>
      <c r="E54" s="54">
        <v>6</v>
      </c>
      <c r="F54" s="59">
        <v>104.04057799999998</v>
      </c>
      <c r="G54" s="68">
        <f t="shared" si="0"/>
        <v>3.1107900000000002</v>
      </c>
      <c r="H54" s="47">
        <v>104.04057799999998</v>
      </c>
      <c r="I54" s="69">
        <v>104</v>
      </c>
      <c r="J54" s="41"/>
      <c r="K54" s="41"/>
      <c r="L54" s="41"/>
      <c r="M54" s="69"/>
      <c r="N54" s="41"/>
      <c r="O54" s="41"/>
      <c r="P54" s="41"/>
      <c r="Q54" s="68"/>
      <c r="R54" s="41"/>
      <c r="S54" s="41"/>
      <c r="T54" s="41"/>
      <c r="U54" s="69"/>
      <c r="V54" s="41"/>
      <c r="W54" s="41"/>
      <c r="X54" s="68"/>
      <c r="Y54" s="41"/>
      <c r="Z54" s="41"/>
      <c r="AA54" s="41"/>
      <c r="AB54" s="69"/>
      <c r="AC54" s="41"/>
      <c r="AD54" s="41"/>
      <c r="AE54" s="41"/>
      <c r="AF54" s="68"/>
      <c r="AG54" s="41" t="s">
        <v>403</v>
      </c>
      <c r="AH54" s="41" t="s">
        <v>310</v>
      </c>
      <c r="AI54" s="41">
        <v>97</v>
      </c>
      <c r="AJ54" s="41">
        <v>6</v>
      </c>
      <c r="AK54" s="69">
        <v>97000</v>
      </c>
      <c r="AL54" s="46"/>
      <c r="AM54" s="41"/>
      <c r="AN54" s="41"/>
      <c r="AO54" s="68"/>
      <c r="AP54" s="41"/>
      <c r="AQ54" s="41"/>
      <c r="AR54" s="69"/>
      <c r="AS54" s="46" t="s">
        <v>408</v>
      </c>
      <c r="AT54" s="41"/>
      <c r="AU54" s="68">
        <v>3110.79</v>
      </c>
      <c r="AV54" s="41"/>
      <c r="AW54" s="41"/>
      <c r="AX54" s="69"/>
      <c r="AY54" s="41"/>
      <c r="AZ54" s="41"/>
      <c r="BA54" s="68"/>
      <c r="BB54" s="41"/>
      <c r="BC54" s="41"/>
      <c r="BD54" s="69"/>
      <c r="BE54" s="46"/>
      <c r="BF54" s="41"/>
      <c r="BG54" s="68"/>
      <c r="BH54" s="41"/>
      <c r="BI54" s="41"/>
      <c r="BJ54" s="69"/>
      <c r="BK54" s="46"/>
      <c r="BL54" s="41"/>
      <c r="BM54" s="68"/>
      <c r="BN54" s="41"/>
      <c r="BO54" s="41"/>
      <c r="BP54" s="69"/>
      <c r="BQ54" s="41"/>
      <c r="BR54" s="41"/>
      <c r="BS54" s="68"/>
      <c r="BT54" s="41"/>
      <c r="BU54" s="41"/>
      <c r="BV54" s="69"/>
      <c r="BW54" s="46"/>
      <c r="BX54" s="41"/>
      <c r="BY54" s="68"/>
      <c r="BZ54" s="41"/>
      <c r="CA54" s="41"/>
      <c r="CB54" s="69"/>
      <c r="CC54" s="46"/>
      <c r="CD54" s="41"/>
      <c r="CE54" s="68"/>
      <c r="CF54" s="41"/>
      <c r="CG54" s="41"/>
      <c r="CH54" s="69"/>
      <c r="CI54" s="41"/>
      <c r="CJ54" s="41"/>
      <c r="CK54" s="68"/>
      <c r="CL54" s="41"/>
      <c r="CM54" s="41"/>
      <c r="CN54" s="69"/>
      <c r="CO54" s="41"/>
      <c r="CP54" s="41"/>
      <c r="CQ54" s="68"/>
      <c r="CR54" s="41"/>
      <c r="CS54" s="41"/>
      <c r="CT54" s="69"/>
      <c r="CU54" s="41"/>
      <c r="CV54" s="41"/>
      <c r="CW54" s="68"/>
      <c r="CX54" s="41"/>
      <c r="CY54" s="41"/>
      <c r="CZ54" s="69"/>
      <c r="DA54" s="41"/>
      <c r="DB54" s="41"/>
      <c r="DC54" s="68"/>
      <c r="DD54" s="41"/>
      <c r="DE54" s="41"/>
      <c r="DF54" s="69"/>
      <c r="DG54" s="41" t="s">
        <v>403</v>
      </c>
      <c r="DH54" s="86" t="s">
        <v>325</v>
      </c>
      <c r="DI54" s="69">
        <v>7000</v>
      </c>
      <c r="DJ54" s="46"/>
      <c r="DK54" s="41"/>
      <c r="DL54" s="68">
        <v>0</v>
      </c>
    </row>
    <row r="55" spans="1:116">
      <c r="A55" s="53" t="s">
        <v>301</v>
      </c>
      <c r="B55" s="40">
        <v>1</v>
      </c>
      <c r="C55" s="55" t="s">
        <v>235</v>
      </c>
      <c r="D55" s="54">
        <v>40</v>
      </c>
      <c r="E55" s="54">
        <v>6</v>
      </c>
      <c r="F55" s="59">
        <v>17.054128000000002</v>
      </c>
      <c r="G55" s="68">
        <f t="shared" si="0"/>
        <v>0</v>
      </c>
      <c r="H55" s="47">
        <v>17.054128000000002</v>
      </c>
      <c r="I55" s="69">
        <v>0</v>
      </c>
      <c r="J55" s="41"/>
      <c r="K55" s="41"/>
      <c r="L55" s="41"/>
      <c r="M55" s="69"/>
      <c r="N55" s="41"/>
      <c r="O55" s="41"/>
      <c r="P55" s="41"/>
      <c r="Q55" s="68"/>
      <c r="R55" s="41"/>
      <c r="S55" s="41"/>
      <c r="T55" s="41"/>
      <c r="U55" s="69"/>
      <c r="V55" s="41"/>
      <c r="W55" s="41"/>
      <c r="X55" s="68"/>
      <c r="Y55" s="41"/>
      <c r="Z55" s="41"/>
      <c r="AA55" s="41"/>
      <c r="AB55" s="69"/>
      <c r="AC55" s="41"/>
      <c r="AD55" s="41"/>
      <c r="AE55" s="41"/>
      <c r="AF55" s="68"/>
      <c r="AG55" s="41"/>
      <c r="AH55" s="41"/>
      <c r="AI55" s="41"/>
      <c r="AJ55" s="41"/>
      <c r="AK55" s="69"/>
      <c r="AL55" s="46"/>
      <c r="AM55" s="41"/>
      <c r="AN55" s="41"/>
      <c r="AO55" s="68"/>
      <c r="AP55" s="41"/>
      <c r="AQ55" s="41"/>
      <c r="AR55" s="69"/>
      <c r="AS55" s="46"/>
      <c r="AT55" s="41"/>
      <c r="AU55" s="68"/>
      <c r="AV55" s="41"/>
      <c r="AW55" s="41"/>
      <c r="AX55" s="69"/>
      <c r="AY55" s="41"/>
      <c r="AZ55" s="41"/>
      <c r="BA55" s="68"/>
      <c r="BB55" s="41"/>
      <c r="BC55" s="41"/>
      <c r="BD55" s="69"/>
      <c r="BE55" s="46"/>
      <c r="BF55" s="41"/>
      <c r="BG55" s="68"/>
      <c r="BH55" s="41"/>
      <c r="BI55" s="41"/>
      <c r="BJ55" s="69"/>
      <c r="BK55" s="46"/>
      <c r="BL55" s="41"/>
      <c r="BM55" s="68"/>
      <c r="BN55" s="41"/>
      <c r="BO55" s="41"/>
      <c r="BP55" s="69"/>
      <c r="BQ55" s="41"/>
      <c r="BR55" s="41"/>
      <c r="BS55" s="68"/>
      <c r="BT55" s="41"/>
      <c r="BU55" s="41"/>
      <c r="BV55" s="69"/>
      <c r="BW55" s="46"/>
      <c r="BX55" s="41"/>
      <c r="BY55" s="68"/>
      <c r="BZ55" s="41"/>
      <c r="CA55" s="41"/>
      <c r="CB55" s="69"/>
      <c r="CC55" s="46"/>
      <c r="CD55" s="41"/>
      <c r="CE55" s="68"/>
      <c r="CF55" s="41"/>
      <c r="CG55" s="41"/>
      <c r="CH55" s="69"/>
      <c r="CI55" s="41"/>
      <c r="CJ55" s="41"/>
      <c r="CK55" s="68"/>
      <c r="CL55" s="41"/>
      <c r="CM55" s="41"/>
      <c r="CN55" s="69"/>
      <c r="CO55" s="41"/>
      <c r="CP55" s="41"/>
      <c r="CQ55" s="68"/>
      <c r="CR55" s="41"/>
      <c r="CS55" s="41"/>
      <c r="CT55" s="69"/>
      <c r="CU55" s="41"/>
      <c r="CV55" s="41"/>
      <c r="CW55" s="68"/>
      <c r="CX55" s="41"/>
      <c r="CY55" s="41"/>
      <c r="CZ55" s="69"/>
      <c r="DA55" s="41"/>
      <c r="DB55" s="41"/>
      <c r="DC55" s="68"/>
      <c r="DD55" s="41"/>
      <c r="DE55" s="41"/>
      <c r="DF55" s="69"/>
      <c r="DG55" s="41" t="s">
        <v>405</v>
      </c>
      <c r="DH55" s="86"/>
      <c r="DI55" s="69">
        <v>0</v>
      </c>
      <c r="DJ55" s="46"/>
      <c r="DK55" s="41"/>
      <c r="DL55" s="68">
        <v>0</v>
      </c>
    </row>
    <row r="56" spans="1:116">
      <c r="A56" s="53" t="s">
        <v>301</v>
      </c>
      <c r="B56" s="40">
        <v>1</v>
      </c>
      <c r="C56" s="55" t="s">
        <v>235</v>
      </c>
      <c r="D56" s="54">
        <v>41</v>
      </c>
      <c r="E56" s="54">
        <v>6</v>
      </c>
      <c r="F56" s="59">
        <v>15.643263999999999</v>
      </c>
      <c r="G56" s="68">
        <f t="shared" si="0"/>
        <v>0</v>
      </c>
      <c r="H56" s="47">
        <v>15.643263999999999</v>
      </c>
      <c r="I56" s="69">
        <v>0</v>
      </c>
      <c r="J56" s="41"/>
      <c r="K56" s="41"/>
      <c r="L56" s="41"/>
      <c r="M56" s="69"/>
      <c r="N56" s="41"/>
      <c r="O56" s="41"/>
      <c r="P56" s="41"/>
      <c r="Q56" s="68"/>
      <c r="R56" s="41"/>
      <c r="S56" s="41"/>
      <c r="T56" s="41"/>
      <c r="U56" s="69"/>
      <c r="V56" s="41"/>
      <c r="W56" s="41"/>
      <c r="X56" s="68"/>
      <c r="Y56" s="41"/>
      <c r="Z56" s="41"/>
      <c r="AA56" s="41"/>
      <c r="AB56" s="69"/>
      <c r="AC56" s="41"/>
      <c r="AD56" s="41"/>
      <c r="AE56" s="41"/>
      <c r="AF56" s="68"/>
      <c r="AG56" s="41"/>
      <c r="AH56" s="41"/>
      <c r="AI56" s="41"/>
      <c r="AJ56" s="41"/>
      <c r="AK56" s="69"/>
      <c r="AL56" s="46"/>
      <c r="AM56" s="41"/>
      <c r="AN56" s="41"/>
      <c r="AO56" s="68"/>
      <c r="AP56" s="41"/>
      <c r="AQ56" s="41"/>
      <c r="AR56" s="69"/>
      <c r="AS56" s="46"/>
      <c r="AT56" s="41"/>
      <c r="AU56" s="68"/>
      <c r="AV56" s="41"/>
      <c r="AW56" s="41"/>
      <c r="AX56" s="69"/>
      <c r="AY56" s="41"/>
      <c r="AZ56" s="41"/>
      <c r="BA56" s="68"/>
      <c r="BB56" s="41"/>
      <c r="BC56" s="41"/>
      <c r="BD56" s="69"/>
      <c r="BE56" s="46"/>
      <c r="BF56" s="41"/>
      <c r="BG56" s="68"/>
      <c r="BH56" s="41"/>
      <c r="BI56" s="41"/>
      <c r="BJ56" s="69"/>
      <c r="BK56" s="46"/>
      <c r="BL56" s="41"/>
      <c r="BM56" s="68"/>
      <c r="BN56" s="41"/>
      <c r="BO56" s="41"/>
      <c r="BP56" s="69"/>
      <c r="BQ56" s="41"/>
      <c r="BR56" s="41"/>
      <c r="BS56" s="68"/>
      <c r="BT56" s="41"/>
      <c r="BU56" s="41"/>
      <c r="BV56" s="69"/>
      <c r="BW56" s="46"/>
      <c r="BX56" s="41"/>
      <c r="BY56" s="68"/>
      <c r="BZ56" s="41"/>
      <c r="CA56" s="41"/>
      <c r="CB56" s="69"/>
      <c r="CC56" s="46"/>
      <c r="CD56" s="41"/>
      <c r="CE56" s="68"/>
      <c r="CF56" s="41"/>
      <c r="CG56" s="41"/>
      <c r="CH56" s="69"/>
      <c r="CI56" s="41"/>
      <c r="CJ56" s="41"/>
      <c r="CK56" s="68"/>
      <c r="CL56" s="41"/>
      <c r="CM56" s="41"/>
      <c r="CN56" s="69"/>
      <c r="CO56" s="41"/>
      <c r="CP56" s="41"/>
      <c r="CQ56" s="68"/>
      <c r="CR56" s="41"/>
      <c r="CS56" s="41"/>
      <c r="CT56" s="69"/>
      <c r="CU56" s="41"/>
      <c r="CV56" s="41"/>
      <c r="CW56" s="68"/>
      <c r="CX56" s="41"/>
      <c r="CY56" s="41"/>
      <c r="CZ56" s="69"/>
      <c r="DA56" s="41"/>
      <c r="DB56" s="41"/>
      <c r="DC56" s="68"/>
      <c r="DD56" s="41"/>
      <c r="DE56" s="41"/>
      <c r="DF56" s="69"/>
      <c r="DG56" s="41" t="s">
        <v>405</v>
      </c>
      <c r="DH56" s="86"/>
      <c r="DI56" s="69">
        <v>0</v>
      </c>
      <c r="DJ56" s="46"/>
      <c r="DK56" s="41"/>
      <c r="DL56" s="68">
        <v>0</v>
      </c>
    </row>
    <row r="57" spans="1:116" ht="23.25">
      <c r="A57" s="53" t="s">
        <v>301</v>
      </c>
      <c r="B57" s="40">
        <v>1</v>
      </c>
      <c r="C57" s="55" t="s">
        <v>236</v>
      </c>
      <c r="D57" s="54">
        <v>1</v>
      </c>
      <c r="E57" s="54">
        <v>7</v>
      </c>
      <c r="F57" s="59">
        <v>14.547716000000001</v>
      </c>
      <c r="G57" s="68">
        <f t="shared" si="0"/>
        <v>0</v>
      </c>
      <c r="H57" s="47">
        <v>14.547716000000001</v>
      </c>
      <c r="I57" s="69">
        <v>14.55</v>
      </c>
      <c r="J57" s="41"/>
      <c r="K57" s="41"/>
      <c r="L57" s="41"/>
      <c r="M57" s="69"/>
      <c r="N57" s="41"/>
      <c r="O57" s="41"/>
      <c r="P57" s="41"/>
      <c r="Q57" s="68"/>
      <c r="R57" s="41"/>
      <c r="S57" s="41"/>
      <c r="T57" s="41"/>
      <c r="U57" s="69"/>
      <c r="V57" s="41"/>
      <c r="W57" s="41"/>
      <c r="X57" s="68"/>
      <c r="Y57" s="41"/>
      <c r="Z57" s="41"/>
      <c r="AA57" s="41"/>
      <c r="AB57" s="69"/>
      <c r="AC57" s="41"/>
      <c r="AD57" s="41"/>
      <c r="AE57" s="41"/>
      <c r="AF57" s="68"/>
      <c r="AG57" s="41"/>
      <c r="AH57" s="41"/>
      <c r="AI57" s="41"/>
      <c r="AJ57" s="41"/>
      <c r="AK57" s="69"/>
      <c r="AL57" s="46"/>
      <c r="AM57" s="41"/>
      <c r="AN57" s="41"/>
      <c r="AO57" s="68"/>
      <c r="AP57" s="41"/>
      <c r="AQ57" s="41"/>
      <c r="AR57" s="69"/>
      <c r="AS57" s="46"/>
      <c r="AT57" s="41"/>
      <c r="AU57" s="68"/>
      <c r="AV57" s="41"/>
      <c r="AW57" s="41"/>
      <c r="AX57" s="69"/>
      <c r="AY57" s="41"/>
      <c r="AZ57" s="41"/>
      <c r="BA57" s="68"/>
      <c r="BB57" s="41"/>
      <c r="BC57" s="41"/>
      <c r="BD57" s="69"/>
      <c r="BE57" s="46"/>
      <c r="BF57" s="41"/>
      <c r="BG57" s="68"/>
      <c r="BH57" s="41"/>
      <c r="BI57" s="41"/>
      <c r="BJ57" s="69"/>
      <c r="BK57" s="46"/>
      <c r="BL57" s="41"/>
      <c r="BM57" s="68"/>
      <c r="BN57" s="41"/>
      <c r="BO57" s="41"/>
      <c r="BP57" s="69"/>
      <c r="BQ57" s="41"/>
      <c r="BR57" s="41"/>
      <c r="BS57" s="68"/>
      <c r="BT57" s="41"/>
      <c r="BU57" s="41"/>
      <c r="BV57" s="69"/>
      <c r="BW57" s="46"/>
      <c r="BX57" s="41"/>
      <c r="BY57" s="68"/>
      <c r="BZ57" s="41"/>
      <c r="CA57" s="41"/>
      <c r="CB57" s="69"/>
      <c r="CC57" s="46"/>
      <c r="CD57" s="41"/>
      <c r="CE57" s="68"/>
      <c r="CF57" s="41"/>
      <c r="CG57" s="41"/>
      <c r="CH57" s="69"/>
      <c r="CI57" s="41"/>
      <c r="CJ57" s="41"/>
      <c r="CK57" s="68"/>
      <c r="CL57" s="41"/>
      <c r="CM57" s="41"/>
      <c r="CN57" s="69"/>
      <c r="CO57" s="41"/>
      <c r="CP57" s="41"/>
      <c r="CQ57" s="68"/>
      <c r="CR57" s="41"/>
      <c r="CS57" s="41"/>
      <c r="CT57" s="69"/>
      <c r="CU57" s="41"/>
      <c r="CV57" s="41"/>
      <c r="CW57" s="68"/>
      <c r="CX57" s="41"/>
      <c r="CY57" s="41"/>
      <c r="CZ57" s="69"/>
      <c r="DA57" s="41"/>
      <c r="DB57" s="41"/>
      <c r="DC57" s="68"/>
      <c r="DD57" s="41"/>
      <c r="DE57" s="41"/>
      <c r="DF57" s="69"/>
      <c r="DG57" s="41" t="s">
        <v>405</v>
      </c>
      <c r="DH57" s="85" t="s">
        <v>378</v>
      </c>
      <c r="DI57" s="69">
        <v>14550</v>
      </c>
      <c r="DJ57" s="46"/>
      <c r="DK57" s="41"/>
      <c r="DL57" s="68">
        <v>0</v>
      </c>
    </row>
    <row r="58" spans="1:116" ht="23.25">
      <c r="A58" s="53" t="s">
        <v>301</v>
      </c>
      <c r="B58" s="40">
        <v>1</v>
      </c>
      <c r="C58" s="55" t="s">
        <v>237</v>
      </c>
      <c r="D58" s="54">
        <v>1</v>
      </c>
      <c r="E58" s="54">
        <v>7</v>
      </c>
      <c r="F58" s="59">
        <v>9.1277460000000019</v>
      </c>
      <c r="G58" s="68">
        <f t="shared" si="0"/>
        <v>0</v>
      </c>
      <c r="H58" s="47">
        <v>9.1277460000000019</v>
      </c>
      <c r="I58" s="69">
        <v>9.1300000000000008</v>
      </c>
      <c r="J58" s="41"/>
      <c r="K58" s="41"/>
      <c r="L58" s="41"/>
      <c r="M58" s="69"/>
      <c r="N58" s="41"/>
      <c r="O58" s="41"/>
      <c r="P58" s="41"/>
      <c r="Q58" s="68"/>
      <c r="R58" s="41"/>
      <c r="S58" s="41"/>
      <c r="T58" s="41"/>
      <c r="U58" s="69"/>
      <c r="V58" s="41"/>
      <c r="W58" s="41"/>
      <c r="X58" s="68"/>
      <c r="Y58" s="41"/>
      <c r="Z58" s="41"/>
      <c r="AA58" s="41"/>
      <c r="AB58" s="69"/>
      <c r="AC58" s="41"/>
      <c r="AD58" s="41"/>
      <c r="AE58" s="41"/>
      <c r="AF58" s="68"/>
      <c r="AG58" s="41"/>
      <c r="AH58" s="41"/>
      <c r="AI58" s="41"/>
      <c r="AJ58" s="41"/>
      <c r="AK58" s="69"/>
      <c r="AL58" s="46"/>
      <c r="AM58" s="41"/>
      <c r="AN58" s="41"/>
      <c r="AO58" s="68"/>
      <c r="AP58" s="41"/>
      <c r="AQ58" s="41"/>
      <c r="AR58" s="69"/>
      <c r="AS58" s="46"/>
      <c r="AT58" s="41"/>
      <c r="AU58" s="68"/>
      <c r="AV58" s="41"/>
      <c r="AW58" s="41"/>
      <c r="AX58" s="69"/>
      <c r="AY58" s="41"/>
      <c r="AZ58" s="41"/>
      <c r="BA58" s="68"/>
      <c r="BB58" s="41"/>
      <c r="BC58" s="41"/>
      <c r="BD58" s="69"/>
      <c r="BE58" s="46"/>
      <c r="BF58" s="41"/>
      <c r="BG58" s="68"/>
      <c r="BH58" s="41"/>
      <c r="BI58" s="41"/>
      <c r="BJ58" s="69"/>
      <c r="BK58" s="46"/>
      <c r="BL58" s="41"/>
      <c r="BM58" s="68"/>
      <c r="BN58" s="41"/>
      <c r="BO58" s="41"/>
      <c r="BP58" s="69"/>
      <c r="BQ58" s="41"/>
      <c r="BR58" s="41"/>
      <c r="BS58" s="68"/>
      <c r="BT58" s="41"/>
      <c r="BU58" s="41"/>
      <c r="BV58" s="69"/>
      <c r="BW58" s="46"/>
      <c r="BX58" s="41"/>
      <c r="BY58" s="68"/>
      <c r="BZ58" s="41"/>
      <c r="CA58" s="41"/>
      <c r="CB58" s="69"/>
      <c r="CC58" s="46"/>
      <c r="CD58" s="41"/>
      <c r="CE58" s="68"/>
      <c r="CF58" s="41"/>
      <c r="CG58" s="41"/>
      <c r="CH58" s="69"/>
      <c r="CI58" s="41"/>
      <c r="CJ58" s="41"/>
      <c r="CK58" s="68"/>
      <c r="CL58" s="41"/>
      <c r="CM58" s="41"/>
      <c r="CN58" s="69"/>
      <c r="CO58" s="41"/>
      <c r="CP58" s="41"/>
      <c r="CQ58" s="68"/>
      <c r="CR58" s="41"/>
      <c r="CS58" s="41"/>
      <c r="CT58" s="69"/>
      <c r="CU58" s="41"/>
      <c r="CV58" s="41"/>
      <c r="CW58" s="68"/>
      <c r="CX58" s="41"/>
      <c r="CY58" s="41"/>
      <c r="CZ58" s="69"/>
      <c r="DA58" s="41"/>
      <c r="DB58" s="41"/>
      <c r="DC58" s="68"/>
      <c r="DD58" s="41"/>
      <c r="DE58" s="41"/>
      <c r="DF58" s="69"/>
      <c r="DG58" s="41" t="s">
        <v>408</v>
      </c>
      <c r="DH58" s="85" t="s">
        <v>378</v>
      </c>
      <c r="DI58" s="69">
        <v>9130</v>
      </c>
      <c r="DJ58" s="46"/>
      <c r="DK58" s="41"/>
      <c r="DL58" s="68">
        <v>0</v>
      </c>
    </row>
    <row r="59" spans="1:116" ht="23.25">
      <c r="A59" s="53" t="s">
        <v>301</v>
      </c>
      <c r="B59" s="40">
        <v>1</v>
      </c>
      <c r="C59" s="55" t="s">
        <v>237</v>
      </c>
      <c r="D59" s="54">
        <v>2</v>
      </c>
      <c r="E59" s="54">
        <v>7</v>
      </c>
      <c r="F59" s="59">
        <v>5.9448660000000002</v>
      </c>
      <c r="G59" s="68">
        <f t="shared" si="0"/>
        <v>0</v>
      </c>
      <c r="H59" s="47">
        <v>5.9448660000000002</v>
      </c>
      <c r="I59" s="69">
        <v>5.94</v>
      </c>
      <c r="J59" s="41"/>
      <c r="K59" s="41"/>
      <c r="L59" s="41"/>
      <c r="M59" s="69"/>
      <c r="N59" s="41"/>
      <c r="O59" s="41"/>
      <c r="P59" s="41"/>
      <c r="Q59" s="68"/>
      <c r="R59" s="41"/>
      <c r="S59" s="41"/>
      <c r="T59" s="41"/>
      <c r="U59" s="69"/>
      <c r="V59" s="41"/>
      <c r="W59" s="41"/>
      <c r="X59" s="68"/>
      <c r="Y59" s="41"/>
      <c r="Z59" s="41"/>
      <c r="AA59" s="41"/>
      <c r="AB59" s="69"/>
      <c r="AC59" s="41"/>
      <c r="AD59" s="41"/>
      <c r="AE59" s="41"/>
      <c r="AF59" s="68"/>
      <c r="AG59" s="41"/>
      <c r="AH59" s="41"/>
      <c r="AI59" s="41"/>
      <c r="AJ59" s="41"/>
      <c r="AK59" s="69"/>
      <c r="AL59" s="46"/>
      <c r="AM59" s="41"/>
      <c r="AN59" s="41"/>
      <c r="AO59" s="68"/>
      <c r="AP59" s="41"/>
      <c r="AQ59" s="41"/>
      <c r="AR59" s="69"/>
      <c r="AS59" s="46"/>
      <c r="AT59" s="41"/>
      <c r="AU59" s="68"/>
      <c r="AV59" s="41"/>
      <c r="AW59" s="41"/>
      <c r="AX59" s="69"/>
      <c r="AY59" s="41"/>
      <c r="AZ59" s="41"/>
      <c r="BA59" s="68"/>
      <c r="BB59" s="41"/>
      <c r="BC59" s="41"/>
      <c r="BD59" s="69"/>
      <c r="BE59" s="46"/>
      <c r="BF59" s="41"/>
      <c r="BG59" s="68"/>
      <c r="BH59" s="41"/>
      <c r="BI59" s="41"/>
      <c r="BJ59" s="69"/>
      <c r="BK59" s="46"/>
      <c r="BL59" s="41"/>
      <c r="BM59" s="68"/>
      <c r="BN59" s="41"/>
      <c r="BO59" s="41"/>
      <c r="BP59" s="69"/>
      <c r="BQ59" s="41"/>
      <c r="BR59" s="41"/>
      <c r="BS59" s="68"/>
      <c r="BT59" s="41"/>
      <c r="BU59" s="41"/>
      <c r="BV59" s="69"/>
      <c r="BW59" s="46"/>
      <c r="BX59" s="41"/>
      <c r="BY59" s="68"/>
      <c r="BZ59" s="41"/>
      <c r="CA59" s="41"/>
      <c r="CB59" s="69"/>
      <c r="CC59" s="46"/>
      <c r="CD59" s="41"/>
      <c r="CE59" s="68"/>
      <c r="CF59" s="41"/>
      <c r="CG59" s="41"/>
      <c r="CH59" s="69"/>
      <c r="CI59" s="41"/>
      <c r="CJ59" s="41"/>
      <c r="CK59" s="68"/>
      <c r="CL59" s="41"/>
      <c r="CM59" s="41"/>
      <c r="CN59" s="69"/>
      <c r="CO59" s="41"/>
      <c r="CP59" s="41"/>
      <c r="CQ59" s="68"/>
      <c r="CR59" s="41"/>
      <c r="CS59" s="41"/>
      <c r="CT59" s="69"/>
      <c r="CU59" s="41"/>
      <c r="CV59" s="41"/>
      <c r="CW59" s="68"/>
      <c r="CX59" s="41"/>
      <c r="CY59" s="41"/>
      <c r="CZ59" s="69"/>
      <c r="DA59" s="41"/>
      <c r="DB59" s="41"/>
      <c r="DC59" s="68"/>
      <c r="DD59" s="41"/>
      <c r="DE59" s="41"/>
      <c r="DF59" s="69"/>
      <c r="DG59" s="41" t="s">
        <v>408</v>
      </c>
      <c r="DH59" s="85" t="s">
        <v>378</v>
      </c>
      <c r="DI59" s="69">
        <v>5940</v>
      </c>
      <c r="DJ59" s="46"/>
      <c r="DK59" s="41"/>
      <c r="DL59" s="68">
        <v>0</v>
      </c>
    </row>
    <row r="60" spans="1:116" ht="23.25">
      <c r="A60" s="53" t="s">
        <v>301</v>
      </c>
      <c r="B60" s="40">
        <v>1</v>
      </c>
      <c r="C60" s="55" t="s">
        <v>237</v>
      </c>
      <c r="D60" s="54">
        <v>5</v>
      </c>
      <c r="E60" s="54">
        <v>7</v>
      </c>
      <c r="F60" s="59">
        <v>20.022828000000001</v>
      </c>
      <c r="G60" s="68">
        <f t="shared" si="0"/>
        <v>0</v>
      </c>
      <c r="H60" s="47">
        <v>20.022828000000001</v>
      </c>
      <c r="I60" s="69">
        <v>20.02</v>
      </c>
      <c r="J60" s="41"/>
      <c r="K60" s="41"/>
      <c r="L60" s="41"/>
      <c r="M60" s="69"/>
      <c r="N60" s="41"/>
      <c r="O60" s="41"/>
      <c r="P60" s="41"/>
      <c r="Q60" s="68"/>
      <c r="R60" s="41"/>
      <c r="S60" s="41"/>
      <c r="T60" s="41"/>
      <c r="U60" s="69"/>
      <c r="V60" s="41"/>
      <c r="W60" s="41"/>
      <c r="X60" s="68"/>
      <c r="Y60" s="41"/>
      <c r="Z60" s="41"/>
      <c r="AA60" s="41"/>
      <c r="AB60" s="69"/>
      <c r="AC60" s="41"/>
      <c r="AD60" s="41"/>
      <c r="AE60" s="41"/>
      <c r="AF60" s="68"/>
      <c r="AG60" s="41"/>
      <c r="AH60" s="41"/>
      <c r="AI60" s="41"/>
      <c r="AJ60" s="41"/>
      <c r="AK60" s="69"/>
      <c r="AL60" s="46"/>
      <c r="AM60" s="41"/>
      <c r="AN60" s="41"/>
      <c r="AO60" s="68"/>
      <c r="AP60" s="41"/>
      <c r="AQ60" s="41"/>
      <c r="AR60" s="69"/>
      <c r="AS60" s="46"/>
      <c r="AT60" s="41"/>
      <c r="AU60" s="68"/>
      <c r="AV60" s="41"/>
      <c r="AW60" s="41"/>
      <c r="AX60" s="69"/>
      <c r="AY60" s="41"/>
      <c r="AZ60" s="41"/>
      <c r="BA60" s="68"/>
      <c r="BB60" s="41"/>
      <c r="BC60" s="41"/>
      <c r="BD60" s="69"/>
      <c r="BE60" s="46"/>
      <c r="BF60" s="41"/>
      <c r="BG60" s="68"/>
      <c r="BH60" s="41"/>
      <c r="BI60" s="41"/>
      <c r="BJ60" s="69"/>
      <c r="BK60" s="46"/>
      <c r="BL60" s="41"/>
      <c r="BM60" s="68"/>
      <c r="BN60" s="41"/>
      <c r="BO60" s="41"/>
      <c r="BP60" s="69"/>
      <c r="BQ60" s="41"/>
      <c r="BR60" s="41"/>
      <c r="BS60" s="68"/>
      <c r="BT60" s="41"/>
      <c r="BU60" s="41"/>
      <c r="BV60" s="69"/>
      <c r="BW60" s="46"/>
      <c r="BX60" s="41"/>
      <c r="BY60" s="68"/>
      <c r="BZ60" s="41"/>
      <c r="CA60" s="41"/>
      <c r="CB60" s="69"/>
      <c r="CC60" s="46"/>
      <c r="CD60" s="41"/>
      <c r="CE60" s="68"/>
      <c r="CF60" s="41"/>
      <c r="CG60" s="41"/>
      <c r="CH60" s="69"/>
      <c r="CI60" s="41"/>
      <c r="CJ60" s="41"/>
      <c r="CK60" s="68"/>
      <c r="CL60" s="41"/>
      <c r="CM60" s="41"/>
      <c r="CN60" s="69"/>
      <c r="CO60" s="41"/>
      <c r="CP60" s="41"/>
      <c r="CQ60" s="68"/>
      <c r="CR60" s="41"/>
      <c r="CS60" s="41"/>
      <c r="CT60" s="69"/>
      <c r="CU60" s="41"/>
      <c r="CV60" s="41"/>
      <c r="CW60" s="68"/>
      <c r="CX60" s="41"/>
      <c r="CY60" s="41"/>
      <c r="CZ60" s="69"/>
      <c r="DA60" s="41"/>
      <c r="DB60" s="41"/>
      <c r="DC60" s="68"/>
      <c r="DD60" s="41"/>
      <c r="DE60" s="41"/>
      <c r="DF60" s="69"/>
      <c r="DG60" s="41" t="s">
        <v>408</v>
      </c>
      <c r="DH60" s="85" t="s">
        <v>378</v>
      </c>
      <c r="DI60" s="69">
        <v>20020</v>
      </c>
      <c r="DJ60" s="46"/>
      <c r="DK60" s="41"/>
      <c r="DL60" s="68">
        <v>0</v>
      </c>
    </row>
    <row r="61" spans="1:116" ht="23.25">
      <c r="A61" s="53" t="s">
        <v>301</v>
      </c>
      <c r="B61" s="40">
        <v>1</v>
      </c>
      <c r="C61" s="55" t="s">
        <v>237</v>
      </c>
      <c r="D61" s="54" t="s">
        <v>238</v>
      </c>
      <c r="E61" s="54">
        <v>7</v>
      </c>
      <c r="F61" s="59">
        <v>14.792016000000002</v>
      </c>
      <c r="G61" s="68">
        <f t="shared" si="0"/>
        <v>0</v>
      </c>
      <c r="H61" s="47">
        <v>14.792016000000002</v>
      </c>
      <c r="I61" s="69">
        <v>15</v>
      </c>
      <c r="J61" s="41"/>
      <c r="K61" s="41"/>
      <c r="L61" s="41"/>
      <c r="M61" s="69"/>
      <c r="N61" s="41"/>
      <c r="O61" s="41"/>
      <c r="P61" s="41"/>
      <c r="Q61" s="68"/>
      <c r="R61" s="41"/>
      <c r="S61" s="41"/>
      <c r="T61" s="41"/>
      <c r="U61" s="69"/>
      <c r="V61" s="41"/>
      <c r="W61" s="41"/>
      <c r="X61" s="68"/>
      <c r="Y61" s="41"/>
      <c r="Z61" s="41"/>
      <c r="AA61" s="41"/>
      <c r="AB61" s="69"/>
      <c r="AC61" s="41"/>
      <c r="AD61" s="41"/>
      <c r="AE61" s="41"/>
      <c r="AF61" s="68"/>
      <c r="AG61" s="41"/>
      <c r="AH61" s="41"/>
      <c r="AI61" s="41"/>
      <c r="AJ61" s="41"/>
      <c r="AK61" s="69"/>
      <c r="AL61" s="46"/>
      <c r="AM61" s="41"/>
      <c r="AN61" s="41"/>
      <c r="AO61" s="68"/>
      <c r="AP61" s="41"/>
      <c r="AQ61" s="41"/>
      <c r="AR61" s="69"/>
      <c r="AS61" s="46"/>
      <c r="AT61" s="41"/>
      <c r="AU61" s="68"/>
      <c r="AV61" s="41"/>
      <c r="AW61" s="41"/>
      <c r="AX61" s="69"/>
      <c r="AY61" s="41"/>
      <c r="AZ61" s="41"/>
      <c r="BA61" s="68"/>
      <c r="BB61" s="41"/>
      <c r="BC61" s="41"/>
      <c r="BD61" s="69"/>
      <c r="BE61" s="46"/>
      <c r="BF61" s="41"/>
      <c r="BG61" s="68"/>
      <c r="BH61" s="41"/>
      <c r="BI61" s="41"/>
      <c r="BJ61" s="69"/>
      <c r="BK61" s="46"/>
      <c r="BL61" s="41"/>
      <c r="BM61" s="68"/>
      <c r="BN61" s="41"/>
      <c r="BO61" s="41"/>
      <c r="BP61" s="69"/>
      <c r="BQ61" s="41"/>
      <c r="BR61" s="41"/>
      <c r="BS61" s="68"/>
      <c r="BT61" s="41"/>
      <c r="BU61" s="41"/>
      <c r="BV61" s="69"/>
      <c r="BW61" s="46"/>
      <c r="BX61" s="41"/>
      <c r="BY61" s="68"/>
      <c r="BZ61" s="41"/>
      <c r="CA61" s="41"/>
      <c r="CB61" s="69"/>
      <c r="CC61" s="46"/>
      <c r="CD61" s="41"/>
      <c r="CE61" s="68"/>
      <c r="CF61" s="41"/>
      <c r="CG61" s="41"/>
      <c r="CH61" s="69"/>
      <c r="CI61" s="41"/>
      <c r="CJ61" s="41"/>
      <c r="CK61" s="68"/>
      <c r="CL61" s="41"/>
      <c r="CM61" s="41"/>
      <c r="CN61" s="69"/>
      <c r="CO61" s="41"/>
      <c r="CP61" s="41"/>
      <c r="CQ61" s="68"/>
      <c r="CR61" s="41"/>
      <c r="CS61" s="41"/>
      <c r="CT61" s="69"/>
      <c r="CU61" s="41"/>
      <c r="CV61" s="41"/>
      <c r="CW61" s="68"/>
      <c r="CX61" s="41"/>
      <c r="CY61" s="41"/>
      <c r="CZ61" s="69"/>
      <c r="DA61" s="41"/>
      <c r="DB61" s="41"/>
      <c r="DC61" s="68"/>
      <c r="DD61" s="41"/>
      <c r="DE61" s="41"/>
      <c r="DF61" s="69"/>
      <c r="DG61" s="41" t="s">
        <v>408</v>
      </c>
      <c r="DH61" s="85" t="s">
        <v>378</v>
      </c>
      <c r="DI61" s="69">
        <v>15000</v>
      </c>
      <c r="DJ61" s="46"/>
      <c r="DK61" s="41"/>
      <c r="DL61" s="68">
        <v>0</v>
      </c>
    </row>
    <row r="62" spans="1:116" ht="23.25">
      <c r="A62" s="53" t="s">
        <v>301</v>
      </c>
      <c r="B62" s="40">
        <v>1</v>
      </c>
      <c r="C62" s="55" t="s">
        <v>237</v>
      </c>
      <c r="D62" s="54">
        <v>7</v>
      </c>
      <c r="E62" s="54">
        <v>7</v>
      </c>
      <c r="F62" s="59">
        <v>9.6351920000000018</v>
      </c>
      <c r="G62" s="68">
        <f t="shared" si="0"/>
        <v>0</v>
      </c>
      <c r="H62" s="47">
        <v>9.6351920000000018</v>
      </c>
      <c r="I62" s="69">
        <v>9.64</v>
      </c>
      <c r="J62" s="41"/>
      <c r="K62" s="41"/>
      <c r="L62" s="41"/>
      <c r="M62" s="69"/>
      <c r="N62" s="41"/>
      <c r="O62" s="41"/>
      <c r="P62" s="41"/>
      <c r="Q62" s="68"/>
      <c r="R62" s="41"/>
      <c r="S62" s="41"/>
      <c r="T62" s="41"/>
      <c r="U62" s="69"/>
      <c r="V62" s="41"/>
      <c r="W62" s="41"/>
      <c r="X62" s="68"/>
      <c r="Y62" s="41"/>
      <c r="Z62" s="41"/>
      <c r="AA62" s="41"/>
      <c r="AB62" s="69"/>
      <c r="AC62" s="41"/>
      <c r="AD62" s="41"/>
      <c r="AE62" s="41"/>
      <c r="AF62" s="68"/>
      <c r="AG62" s="41"/>
      <c r="AH62" s="41"/>
      <c r="AI62" s="41"/>
      <c r="AJ62" s="41"/>
      <c r="AK62" s="69"/>
      <c r="AL62" s="46"/>
      <c r="AM62" s="41"/>
      <c r="AN62" s="41"/>
      <c r="AO62" s="68"/>
      <c r="AP62" s="41"/>
      <c r="AQ62" s="41"/>
      <c r="AR62" s="69"/>
      <c r="AS62" s="46"/>
      <c r="AT62" s="41"/>
      <c r="AU62" s="68"/>
      <c r="AV62" s="41"/>
      <c r="AW62" s="41"/>
      <c r="AX62" s="69"/>
      <c r="AY62" s="41"/>
      <c r="AZ62" s="41"/>
      <c r="BA62" s="68"/>
      <c r="BB62" s="41"/>
      <c r="BC62" s="41"/>
      <c r="BD62" s="69"/>
      <c r="BE62" s="46"/>
      <c r="BF62" s="41"/>
      <c r="BG62" s="68"/>
      <c r="BH62" s="41"/>
      <c r="BI62" s="41"/>
      <c r="BJ62" s="69"/>
      <c r="BK62" s="46"/>
      <c r="BL62" s="41"/>
      <c r="BM62" s="68"/>
      <c r="BN62" s="41"/>
      <c r="BO62" s="41"/>
      <c r="BP62" s="69"/>
      <c r="BQ62" s="41"/>
      <c r="BR62" s="41"/>
      <c r="BS62" s="68"/>
      <c r="BT62" s="41"/>
      <c r="BU62" s="41"/>
      <c r="BV62" s="69"/>
      <c r="BW62" s="46"/>
      <c r="BX62" s="41"/>
      <c r="BY62" s="68"/>
      <c r="BZ62" s="41"/>
      <c r="CA62" s="41"/>
      <c r="CB62" s="69"/>
      <c r="CC62" s="46"/>
      <c r="CD62" s="41"/>
      <c r="CE62" s="68"/>
      <c r="CF62" s="41"/>
      <c r="CG62" s="41"/>
      <c r="CH62" s="69"/>
      <c r="CI62" s="41"/>
      <c r="CJ62" s="41"/>
      <c r="CK62" s="68"/>
      <c r="CL62" s="41"/>
      <c r="CM62" s="41"/>
      <c r="CN62" s="69"/>
      <c r="CO62" s="41"/>
      <c r="CP62" s="41"/>
      <c r="CQ62" s="68"/>
      <c r="CR62" s="41"/>
      <c r="CS62" s="41"/>
      <c r="CT62" s="69"/>
      <c r="CU62" s="41"/>
      <c r="CV62" s="41"/>
      <c r="CW62" s="68"/>
      <c r="CX62" s="41"/>
      <c r="CY62" s="41"/>
      <c r="CZ62" s="69"/>
      <c r="DA62" s="41"/>
      <c r="DB62" s="41"/>
      <c r="DC62" s="68"/>
      <c r="DD62" s="41"/>
      <c r="DE62" s="41"/>
      <c r="DF62" s="69"/>
      <c r="DG62" s="41" t="s">
        <v>405</v>
      </c>
      <c r="DH62" s="85" t="s">
        <v>378</v>
      </c>
      <c r="DI62" s="69">
        <v>9640</v>
      </c>
      <c r="DJ62" s="46"/>
      <c r="DK62" s="41"/>
      <c r="DL62" s="68">
        <v>0</v>
      </c>
    </row>
    <row r="63" spans="1:116" ht="23.25">
      <c r="A63" s="53" t="s">
        <v>301</v>
      </c>
      <c r="B63" s="40">
        <v>1</v>
      </c>
      <c r="C63" s="55" t="s">
        <v>237</v>
      </c>
      <c r="D63" s="54">
        <v>8</v>
      </c>
      <c r="E63" s="54">
        <v>7</v>
      </c>
      <c r="F63" s="59">
        <v>6.0991239999999998</v>
      </c>
      <c r="G63" s="68">
        <f t="shared" si="0"/>
        <v>0</v>
      </c>
      <c r="H63" s="47">
        <v>6.0991239999999998</v>
      </c>
      <c r="I63" s="69">
        <v>6.1</v>
      </c>
      <c r="J63" s="41"/>
      <c r="K63" s="41"/>
      <c r="L63" s="41"/>
      <c r="M63" s="69"/>
      <c r="N63" s="41"/>
      <c r="O63" s="41"/>
      <c r="P63" s="41"/>
      <c r="Q63" s="68"/>
      <c r="R63" s="41"/>
      <c r="S63" s="41"/>
      <c r="T63" s="41"/>
      <c r="U63" s="69"/>
      <c r="V63" s="41"/>
      <c r="W63" s="41"/>
      <c r="X63" s="68"/>
      <c r="Y63" s="41"/>
      <c r="Z63" s="41"/>
      <c r="AA63" s="41"/>
      <c r="AB63" s="69"/>
      <c r="AC63" s="41"/>
      <c r="AD63" s="41"/>
      <c r="AE63" s="41"/>
      <c r="AF63" s="68"/>
      <c r="AG63" s="41"/>
      <c r="AH63" s="41"/>
      <c r="AI63" s="41"/>
      <c r="AJ63" s="41"/>
      <c r="AK63" s="69"/>
      <c r="AL63" s="46"/>
      <c r="AM63" s="41"/>
      <c r="AN63" s="41"/>
      <c r="AO63" s="68"/>
      <c r="AP63" s="41"/>
      <c r="AQ63" s="41"/>
      <c r="AR63" s="69"/>
      <c r="AS63" s="46"/>
      <c r="AT63" s="41"/>
      <c r="AU63" s="68"/>
      <c r="AV63" s="41"/>
      <c r="AW63" s="41"/>
      <c r="AX63" s="69"/>
      <c r="AY63" s="41"/>
      <c r="AZ63" s="41"/>
      <c r="BA63" s="68"/>
      <c r="BB63" s="41"/>
      <c r="BC63" s="41"/>
      <c r="BD63" s="69"/>
      <c r="BE63" s="46"/>
      <c r="BF63" s="41"/>
      <c r="BG63" s="68"/>
      <c r="BH63" s="41"/>
      <c r="BI63" s="41"/>
      <c r="BJ63" s="69"/>
      <c r="BK63" s="46"/>
      <c r="BL63" s="41"/>
      <c r="BM63" s="68"/>
      <c r="BN63" s="41"/>
      <c r="BO63" s="41"/>
      <c r="BP63" s="69"/>
      <c r="BQ63" s="41"/>
      <c r="BR63" s="41"/>
      <c r="BS63" s="68"/>
      <c r="BT63" s="41"/>
      <c r="BU63" s="41"/>
      <c r="BV63" s="69"/>
      <c r="BW63" s="46"/>
      <c r="BX63" s="41"/>
      <c r="BY63" s="68"/>
      <c r="BZ63" s="41"/>
      <c r="CA63" s="41"/>
      <c r="CB63" s="69"/>
      <c r="CC63" s="46"/>
      <c r="CD63" s="41"/>
      <c r="CE63" s="68"/>
      <c r="CF63" s="41"/>
      <c r="CG63" s="41"/>
      <c r="CH63" s="69"/>
      <c r="CI63" s="41"/>
      <c r="CJ63" s="41"/>
      <c r="CK63" s="68"/>
      <c r="CL63" s="41"/>
      <c r="CM63" s="41"/>
      <c r="CN63" s="69"/>
      <c r="CO63" s="41"/>
      <c r="CP63" s="41"/>
      <c r="CQ63" s="68"/>
      <c r="CR63" s="41"/>
      <c r="CS63" s="41"/>
      <c r="CT63" s="69"/>
      <c r="CU63" s="41"/>
      <c r="CV63" s="41"/>
      <c r="CW63" s="68"/>
      <c r="CX63" s="41"/>
      <c r="CY63" s="41"/>
      <c r="CZ63" s="69"/>
      <c r="DA63" s="41"/>
      <c r="DB63" s="41"/>
      <c r="DC63" s="68"/>
      <c r="DD63" s="41"/>
      <c r="DE63" s="41"/>
      <c r="DF63" s="69"/>
      <c r="DG63" s="41" t="s">
        <v>405</v>
      </c>
      <c r="DH63" s="85" t="s">
        <v>378</v>
      </c>
      <c r="DI63" s="69">
        <v>6100</v>
      </c>
      <c r="DJ63" s="46"/>
      <c r="DK63" s="41"/>
      <c r="DL63" s="68">
        <v>0</v>
      </c>
    </row>
    <row r="64" spans="1:116">
      <c r="A64" s="53" t="s">
        <v>301</v>
      </c>
      <c r="B64" s="40">
        <v>1</v>
      </c>
      <c r="C64" s="55" t="s">
        <v>237</v>
      </c>
      <c r="D64" s="54">
        <v>9</v>
      </c>
      <c r="E64" s="54">
        <v>7</v>
      </c>
      <c r="F64" s="59">
        <v>23.055638000000002</v>
      </c>
      <c r="G64" s="68">
        <f t="shared" si="0"/>
        <v>0</v>
      </c>
      <c r="H64" s="47">
        <v>23.055638000000002</v>
      </c>
      <c r="I64" s="69">
        <v>0</v>
      </c>
      <c r="J64" s="41"/>
      <c r="K64" s="41"/>
      <c r="L64" s="41"/>
      <c r="M64" s="69"/>
      <c r="N64" s="41"/>
      <c r="O64" s="41"/>
      <c r="P64" s="41"/>
      <c r="Q64" s="68"/>
      <c r="R64" s="41"/>
      <c r="S64" s="41"/>
      <c r="T64" s="41"/>
      <c r="U64" s="69"/>
      <c r="V64" s="41"/>
      <c r="W64" s="41"/>
      <c r="X64" s="68"/>
      <c r="Y64" s="41"/>
      <c r="Z64" s="41"/>
      <c r="AA64" s="41"/>
      <c r="AB64" s="69"/>
      <c r="AC64" s="41"/>
      <c r="AD64" s="41"/>
      <c r="AE64" s="41"/>
      <c r="AF64" s="68"/>
      <c r="AG64" s="41"/>
      <c r="AH64" s="41"/>
      <c r="AI64" s="41"/>
      <c r="AJ64" s="41"/>
      <c r="AK64" s="69"/>
      <c r="AL64" s="46"/>
      <c r="AM64" s="41"/>
      <c r="AN64" s="41"/>
      <c r="AO64" s="68"/>
      <c r="AP64" s="41"/>
      <c r="AQ64" s="41"/>
      <c r="AR64" s="69"/>
      <c r="AS64" s="46"/>
      <c r="AT64" s="41"/>
      <c r="AU64" s="68"/>
      <c r="AV64" s="41"/>
      <c r="AW64" s="41"/>
      <c r="AX64" s="69"/>
      <c r="AY64" s="41"/>
      <c r="AZ64" s="41"/>
      <c r="BA64" s="68"/>
      <c r="BB64" s="41"/>
      <c r="BC64" s="41"/>
      <c r="BD64" s="69"/>
      <c r="BE64" s="46"/>
      <c r="BF64" s="41"/>
      <c r="BG64" s="68"/>
      <c r="BH64" s="41"/>
      <c r="BI64" s="41"/>
      <c r="BJ64" s="69"/>
      <c r="BK64" s="46"/>
      <c r="BL64" s="41"/>
      <c r="BM64" s="68"/>
      <c r="BN64" s="41"/>
      <c r="BO64" s="41"/>
      <c r="BP64" s="69"/>
      <c r="BQ64" s="41"/>
      <c r="BR64" s="41"/>
      <c r="BS64" s="68"/>
      <c r="BT64" s="41"/>
      <c r="BU64" s="41"/>
      <c r="BV64" s="69"/>
      <c r="BW64" s="46"/>
      <c r="BX64" s="41"/>
      <c r="BY64" s="68"/>
      <c r="BZ64" s="41"/>
      <c r="CA64" s="41"/>
      <c r="CB64" s="69"/>
      <c r="CC64" s="46"/>
      <c r="CD64" s="41"/>
      <c r="CE64" s="68"/>
      <c r="CF64" s="41"/>
      <c r="CG64" s="41"/>
      <c r="CH64" s="69"/>
      <c r="CI64" s="41"/>
      <c r="CJ64" s="41"/>
      <c r="CK64" s="68"/>
      <c r="CL64" s="41"/>
      <c r="CM64" s="41"/>
      <c r="CN64" s="69"/>
      <c r="CO64" s="41"/>
      <c r="CP64" s="41"/>
      <c r="CQ64" s="68"/>
      <c r="CR64" s="41"/>
      <c r="CS64" s="41"/>
      <c r="CT64" s="69"/>
      <c r="CU64" s="41"/>
      <c r="CV64" s="41"/>
      <c r="CW64" s="68"/>
      <c r="CX64" s="41"/>
      <c r="CY64" s="41"/>
      <c r="CZ64" s="69"/>
      <c r="DA64" s="41"/>
      <c r="DB64" s="41"/>
      <c r="DC64" s="68"/>
      <c r="DD64" s="41"/>
      <c r="DE64" s="41"/>
      <c r="DF64" s="69"/>
      <c r="DG64" s="41" t="s">
        <v>405</v>
      </c>
      <c r="DH64" s="86"/>
      <c r="DI64" s="69">
        <v>0</v>
      </c>
      <c r="DJ64" s="46"/>
      <c r="DK64" s="41"/>
      <c r="DL64" s="68">
        <v>0</v>
      </c>
    </row>
    <row r="65" spans="1:116" ht="23.25">
      <c r="A65" s="53" t="s">
        <v>301</v>
      </c>
      <c r="B65" s="40">
        <v>1</v>
      </c>
      <c r="C65" s="55" t="s">
        <v>237</v>
      </c>
      <c r="D65" s="54">
        <v>10</v>
      </c>
      <c r="E65" s="54">
        <v>7</v>
      </c>
      <c r="F65" s="59">
        <v>12.233846000000002</v>
      </c>
      <c r="G65" s="68">
        <f t="shared" si="0"/>
        <v>0</v>
      </c>
      <c r="H65" s="47">
        <v>12.233846000000002</v>
      </c>
      <c r="I65" s="69">
        <v>12.23</v>
      </c>
      <c r="J65" s="41"/>
      <c r="K65" s="41"/>
      <c r="L65" s="41"/>
      <c r="M65" s="69"/>
      <c r="N65" s="41"/>
      <c r="O65" s="41"/>
      <c r="P65" s="41"/>
      <c r="Q65" s="68"/>
      <c r="R65" s="41"/>
      <c r="S65" s="41"/>
      <c r="T65" s="41"/>
      <c r="U65" s="69"/>
      <c r="V65" s="41"/>
      <c r="W65" s="41"/>
      <c r="X65" s="68"/>
      <c r="Y65" s="41"/>
      <c r="Z65" s="41"/>
      <c r="AA65" s="41"/>
      <c r="AB65" s="69"/>
      <c r="AC65" s="41"/>
      <c r="AD65" s="41"/>
      <c r="AE65" s="41"/>
      <c r="AF65" s="68"/>
      <c r="AG65" s="41"/>
      <c r="AH65" s="41"/>
      <c r="AI65" s="41"/>
      <c r="AJ65" s="41"/>
      <c r="AK65" s="69"/>
      <c r="AL65" s="46"/>
      <c r="AM65" s="41"/>
      <c r="AN65" s="41"/>
      <c r="AO65" s="68"/>
      <c r="AP65" s="41"/>
      <c r="AQ65" s="41"/>
      <c r="AR65" s="69"/>
      <c r="AS65" s="46"/>
      <c r="AT65" s="41"/>
      <c r="AU65" s="68"/>
      <c r="AV65" s="41"/>
      <c r="AW65" s="41"/>
      <c r="AX65" s="69"/>
      <c r="AY65" s="41"/>
      <c r="AZ65" s="41"/>
      <c r="BA65" s="68"/>
      <c r="BB65" s="41"/>
      <c r="BC65" s="41"/>
      <c r="BD65" s="69"/>
      <c r="BE65" s="46"/>
      <c r="BF65" s="41"/>
      <c r="BG65" s="68"/>
      <c r="BH65" s="41"/>
      <c r="BI65" s="41"/>
      <c r="BJ65" s="69"/>
      <c r="BK65" s="46"/>
      <c r="BL65" s="41"/>
      <c r="BM65" s="68"/>
      <c r="BN65" s="41"/>
      <c r="BO65" s="41"/>
      <c r="BP65" s="69"/>
      <c r="BQ65" s="41"/>
      <c r="BR65" s="41"/>
      <c r="BS65" s="68"/>
      <c r="BT65" s="41"/>
      <c r="BU65" s="41"/>
      <c r="BV65" s="69"/>
      <c r="BW65" s="46"/>
      <c r="BX65" s="41"/>
      <c r="BY65" s="68"/>
      <c r="BZ65" s="41"/>
      <c r="CA65" s="41"/>
      <c r="CB65" s="69"/>
      <c r="CC65" s="46"/>
      <c r="CD65" s="41"/>
      <c r="CE65" s="68"/>
      <c r="CF65" s="41"/>
      <c r="CG65" s="41"/>
      <c r="CH65" s="69"/>
      <c r="CI65" s="41"/>
      <c r="CJ65" s="41"/>
      <c r="CK65" s="68"/>
      <c r="CL65" s="41"/>
      <c r="CM65" s="41"/>
      <c r="CN65" s="69"/>
      <c r="CO65" s="41"/>
      <c r="CP65" s="41"/>
      <c r="CQ65" s="68"/>
      <c r="CR65" s="41"/>
      <c r="CS65" s="41"/>
      <c r="CT65" s="69"/>
      <c r="CU65" s="41"/>
      <c r="CV65" s="41"/>
      <c r="CW65" s="68"/>
      <c r="CX65" s="41"/>
      <c r="CY65" s="41"/>
      <c r="CZ65" s="69"/>
      <c r="DA65" s="41"/>
      <c r="DB65" s="41"/>
      <c r="DC65" s="68"/>
      <c r="DD65" s="41"/>
      <c r="DE65" s="41"/>
      <c r="DF65" s="69"/>
      <c r="DG65" s="41" t="s">
        <v>405</v>
      </c>
      <c r="DH65" s="85" t="s">
        <v>378</v>
      </c>
      <c r="DI65" s="69">
        <v>12230</v>
      </c>
      <c r="DJ65" s="46"/>
      <c r="DK65" s="41"/>
      <c r="DL65" s="68">
        <v>0</v>
      </c>
    </row>
    <row r="66" spans="1:116">
      <c r="A66" s="53" t="s">
        <v>301</v>
      </c>
      <c r="B66" s="40">
        <v>2</v>
      </c>
      <c r="C66" s="55" t="s">
        <v>241</v>
      </c>
      <c r="D66" s="54">
        <v>2</v>
      </c>
      <c r="E66" s="54">
        <v>7</v>
      </c>
      <c r="F66" s="59">
        <v>8.4248600000000007</v>
      </c>
      <c r="G66" s="68">
        <f t="shared" si="0"/>
        <v>0</v>
      </c>
      <c r="H66" s="47">
        <v>8.4248600000000007</v>
      </c>
      <c r="I66" s="69">
        <v>0</v>
      </c>
      <c r="J66" s="41"/>
      <c r="K66" s="41"/>
      <c r="L66" s="41"/>
      <c r="M66" s="69"/>
      <c r="N66" s="41"/>
      <c r="O66" s="41"/>
      <c r="P66" s="41"/>
      <c r="Q66" s="68"/>
      <c r="R66" s="41"/>
      <c r="S66" s="41"/>
      <c r="T66" s="41"/>
      <c r="U66" s="69"/>
      <c r="V66" s="41"/>
      <c r="W66" s="41"/>
      <c r="X66" s="68"/>
      <c r="Y66" s="41"/>
      <c r="Z66" s="41"/>
      <c r="AA66" s="41"/>
      <c r="AB66" s="69"/>
      <c r="AC66" s="41"/>
      <c r="AD66" s="41"/>
      <c r="AE66" s="41"/>
      <c r="AF66" s="68"/>
      <c r="AG66" s="41"/>
      <c r="AH66" s="41"/>
      <c r="AI66" s="41"/>
      <c r="AJ66" s="41"/>
      <c r="AK66" s="69"/>
      <c r="AL66" s="46"/>
      <c r="AM66" s="41"/>
      <c r="AN66" s="41"/>
      <c r="AO66" s="68"/>
      <c r="AP66" s="41"/>
      <c r="AQ66" s="41"/>
      <c r="AR66" s="69"/>
      <c r="AS66" s="46"/>
      <c r="AT66" s="41"/>
      <c r="AU66" s="68"/>
      <c r="AV66" s="41"/>
      <c r="AW66" s="41"/>
      <c r="AX66" s="69"/>
      <c r="AY66" s="41"/>
      <c r="AZ66" s="41"/>
      <c r="BA66" s="68"/>
      <c r="BB66" s="41"/>
      <c r="BC66" s="41"/>
      <c r="BD66" s="69"/>
      <c r="BE66" s="46"/>
      <c r="BF66" s="41"/>
      <c r="BG66" s="68"/>
      <c r="BH66" s="41"/>
      <c r="BI66" s="41"/>
      <c r="BJ66" s="69"/>
      <c r="BK66" s="46"/>
      <c r="BL66" s="41"/>
      <c r="BM66" s="68"/>
      <c r="BN66" s="41"/>
      <c r="BO66" s="41"/>
      <c r="BP66" s="69"/>
      <c r="BQ66" s="41"/>
      <c r="BR66" s="41"/>
      <c r="BS66" s="68"/>
      <c r="BT66" s="41"/>
      <c r="BU66" s="41"/>
      <c r="BV66" s="69"/>
      <c r="BW66" s="46"/>
      <c r="BX66" s="41"/>
      <c r="BY66" s="68"/>
      <c r="BZ66" s="41"/>
      <c r="CA66" s="41"/>
      <c r="CB66" s="69"/>
      <c r="CC66" s="46"/>
      <c r="CD66" s="41"/>
      <c r="CE66" s="68"/>
      <c r="CF66" s="41"/>
      <c r="CG66" s="41"/>
      <c r="CH66" s="69"/>
      <c r="CI66" s="41"/>
      <c r="CJ66" s="41"/>
      <c r="CK66" s="68"/>
      <c r="CL66" s="41"/>
      <c r="CM66" s="41"/>
      <c r="CN66" s="69"/>
      <c r="CO66" s="41"/>
      <c r="CP66" s="41"/>
      <c r="CQ66" s="68"/>
      <c r="CR66" s="41"/>
      <c r="CS66" s="41"/>
      <c r="CT66" s="69"/>
      <c r="CU66" s="41"/>
      <c r="CV66" s="41"/>
      <c r="CW66" s="68"/>
      <c r="CX66" s="41"/>
      <c r="CY66" s="41"/>
      <c r="CZ66" s="69"/>
      <c r="DA66" s="41"/>
      <c r="DB66" s="41"/>
      <c r="DC66" s="68"/>
      <c r="DD66" s="41"/>
      <c r="DE66" s="41"/>
      <c r="DF66" s="69"/>
      <c r="DG66" s="41"/>
      <c r="DH66" s="86"/>
      <c r="DI66" s="69">
        <v>0</v>
      </c>
      <c r="DJ66" s="46"/>
      <c r="DK66" s="41"/>
      <c r="DL66" s="68">
        <v>0</v>
      </c>
    </row>
    <row r="67" spans="1:116">
      <c r="A67" s="53" t="s">
        <v>301</v>
      </c>
      <c r="B67" s="40">
        <v>2</v>
      </c>
      <c r="C67" s="55" t="s">
        <v>241</v>
      </c>
      <c r="D67" s="54" t="s">
        <v>242</v>
      </c>
      <c r="E67" s="54">
        <v>7</v>
      </c>
      <c r="F67" s="59">
        <v>12.257577999999999</v>
      </c>
      <c r="G67" s="68">
        <f t="shared" si="0"/>
        <v>0</v>
      </c>
      <c r="H67" s="47">
        <v>12.257577999999999</v>
      </c>
      <c r="I67" s="69">
        <v>0</v>
      </c>
      <c r="J67" s="41"/>
      <c r="K67" s="41"/>
      <c r="L67" s="41"/>
      <c r="M67" s="69"/>
      <c r="N67" s="41"/>
      <c r="O67" s="41"/>
      <c r="P67" s="41"/>
      <c r="Q67" s="68"/>
      <c r="R67" s="41"/>
      <c r="S67" s="41"/>
      <c r="T67" s="41"/>
      <c r="U67" s="69"/>
      <c r="V67" s="41"/>
      <c r="W67" s="41"/>
      <c r="X67" s="68"/>
      <c r="Y67" s="41"/>
      <c r="Z67" s="41"/>
      <c r="AA67" s="41"/>
      <c r="AB67" s="69"/>
      <c r="AC67" s="41"/>
      <c r="AD67" s="41"/>
      <c r="AE67" s="41"/>
      <c r="AF67" s="68"/>
      <c r="AG67" s="41"/>
      <c r="AH67" s="41"/>
      <c r="AI67" s="41"/>
      <c r="AJ67" s="41"/>
      <c r="AK67" s="69"/>
      <c r="AL67" s="46"/>
      <c r="AM67" s="41"/>
      <c r="AN67" s="41"/>
      <c r="AO67" s="68"/>
      <c r="AP67" s="41"/>
      <c r="AQ67" s="41"/>
      <c r="AR67" s="69"/>
      <c r="AS67" s="46"/>
      <c r="AT67" s="41"/>
      <c r="AU67" s="68"/>
      <c r="AV67" s="41"/>
      <c r="AW67" s="41"/>
      <c r="AX67" s="69"/>
      <c r="AY67" s="41"/>
      <c r="AZ67" s="41"/>
      <c r="BA67" s="68"/>
      <c r="BB67" s="41"/>
      <c r="BC67" s="41"/>
      <c r="BD67" s="69"/>
      <c r="BE67" s="46"/>
      <c r="BF67" s="41"/>
      <c r="BG67" s="68"/>
      <c r="BH67" s="41"/>
      <c r="BI67" s="41"/>
      <c r="BJ67" s="69"/>
      <c r="BK67" s="46"/>
      <c r="BL67" s="41"/>
      <c r="BM67" s="68"/>
      <c r="BN67" s="41"/>
      <c r="BO67" s="41"/>
      <c r="BP67" s="69"/>
      <c r="BQ67" s="41"/>
      <c r="BR67" s="41"/>
      <c r="BS67" s="68"/>
      <c r="BT67" s="41"/>
      <c r="BU67" s="41"/>
      <c r="BV67" s="69"/>
      <c r="BW67" s="46"/>
      <c r="BX67" s="41"/>
      <c r="BY67" s="68"/>
      <c r="BZ67" s="41"/>
      <c r="CA67" s="41"/>
      <c r="CB67" s="69"/>
      <c r="CC67" s="46"/>
      <c r="CD67" s="41"/>
      <c r="CE67" s="68"/>
      <c r="CF67" s="41"/>
      <c r="CG67" s="41"/>
      <c r="CH67" s="69"/>
      <c r="CI67" s="41"/>
      <c r="CJ67" s="41"/>
      <c r="CK67" s="68"/>
      <c r="CL67" s="41"/>
      <c r="CM67" s="41"/>
      <c r="CN67" s="69"/>
      <c r="CO67" s="41"/>
      <c r="CP67" s="41"/>
      <c r="CQ67" s="68"/>
      <c r="CR67" s="41"/>
      <c r="CS67" s="41"/>
      <c r="CT67" s="69"/>
      <c r="CU67" s="41"/>
      <c r="CV67" s="41"/>
      <c r="CW67" s="68"/>
      <c r="CX67" s="41"/>
      <c r="CY67" s="41"/>
      <c r="CZ67" s="69"/>
      <c r="DA67" s="41"/>
      <c r="DB67" s="41"/>
      <c r="DC67" s="68"/>
      <c r="DD67" s="41"/>
      <c r="DE67" s="41"/>
      <c r="DF67" s="69"/>
      <c r="DG67" s="41"/>
      <c r="DH67" s="86"/>
      <c r="DI67" s="69">
        <v>0</v>
      </c>
      <c r="DJ67" s="46"/>
      <c r="DK67" s="41"/>
      <c r="DL67" s="68">
        <v>0</v>
      </c>
    </row>
    <row r="68" spans="1:116">
      <c r="A68" s="53" t="s">
        <v>301</v>
      </c>
      <c r="B68" s="40">
        <v>2</v>
      </c>
      <c r="C68" s="55" t="s">
        <v>241</v>
      </c>
      <c r="D68" s="54" t="s">
        <v>243</v>
      </c>
      <c r="E68" s="54">
        <v>7</v>
      </c>
      <c r="F68" s="59">
        <v>4.5802760000000005</v>
      </c>
      <c r="G68" s="68">
        <f t="shared" si="0"/>
        <v>0</v>
      </c>
      <c r="H68" s="47">
        <v>4.5802760000000005</v>
      </c>
      <c r="I68" s="69">
        <v>0</v>
      </c>
      <c r="J68" s="41"/>
      <c r="K68" s="41"/>
      <c r="L68" s="41"/>
      <c r="M68" s="69"/>
      <c r="N68" s="41"/>
      <c r="O68" s="41"/>
      <c r="P68" s="41"/>
      <c r="Q68" s="68"/>
      <c r="R68" s="41"/>
      <c r="S68" s="41"/>
      <c r="T68" s="41"/>
      <c r="U68" s="69"/>
      <c r="V68" s="41"/>
      <c r="W68" s="41"/>
      <c r="X68" s="68"/>
      <c r="Y68" s="41"/>
      <c r="Z68" s="41"/>
      <c r="AA68" s="41"/>
      <c r="AB68" s="69"/>
      <c r="AC68" s="41"/>
      <c r="AD68" s="41"/>
      <c r="AE68" s="41"/>
      <c r="AF68" s="68"/>
      <c r="AG68" s="41"/>
      <c r="AH68" s="41"/>
      <c r="AI68" s="41"/>
      <c r="AJ68" s="41"/>
      <c r="AK68" s="69"/>
      <c r="AL68" s="46"/>
      <c r="AM68" s="41"/>
      <c r="AN68" s="41"/>
      <c r="AO68" s="68"/>
      <c r="AP68" s="41"/>
      <c r="AQ68" s="41"/>
      <c r="AR68" s="69"/>
      <c r="AS68" s="46"/>
      <c r="AT68" s="41"/>
      <c r="AU68" s="68"/>
      <c r="AV68" s="41"/>
      <c r="AW68" s="41"/>
      <c r="AX68" s="69"/>
      <c r="AY68" s="41"/>
      <c r="AZ68" s="41"/>
      <c r="BA68" s="68"/>
      <c r="BB68" s="41"/>
      <c r="BC68" s="41"/>
      <c r="BD68" s="69"/>
      <c r="BE68" s="46"/>
      <c r="BF68" s="41"/>
      <c r="BG68" s="68"/>
      <c r="BH68" s="41"/>
      <c r="BI68" s="41"/>
      <c r="BJ68" s="69"/>
      <c r="BK68" s="46"/>
      <c r="BL68" s="41"/>
      <c r="BM68" s="68"/>
      <c r="BN68" s="41"/>
      <c r="BO68" s="41"/>
      <c r="BP68" s="69"/>
      <c r="BQ68" s="41"/>
      <c r="BR68" s="41"/>
      <c r="BS68" s="68"/>
      <c r="BT68" s="41"/>
      <c r="BU68" s="41"/>
      <c r="BV68" s="69"/>
      <c r="BW68" s="46"/>
      <c r="BX68" s="41"/>
      <c r="BY68" s="68"/>
      <c r="BZ68" s="41"/>
      <c r="CA68" s="41"/>
      <c r="CB68" s="69"/>
      <c r="CC68" s="46"/>
      <c r="CD68" s="41"/>
      <c r="CE68" s="68"/>
      <c r="CF68" s="41"/>
      <c r="CG68" s="41"/>
      <c r="CH68" s="69"/>
      <c r="CI68" s="41"/>
      <c r="CJ68" s="41"/>
      <c r="CK68" s="68"/>
      <c r="CL68" s="41"/>
      <c r="CM68" s="41"/>
      <c r="CN68" s="69"/>
      <c r="CO68" s="41"/>
      <c r="CP68" s="41"/>
      <c r="CQ68" s="68"/>
      <c r="CR68" s="41"/>
      <c r="CS68" s="41"/>
      <c r="CT68" s="69"/>
      <c r="CU68" s="41"/>
      <c r="CV68" s="41"/>
      <c r="CW68" s="68"/>
      <c r="CX68" s="41"/>
      <c r="CY68" s="41"/>
      <c r="CZ68" s="69"/>
      <c r="DA68" s="41"/>
      <c r="DB68" s="41"/>
      <c r="DC68" s="68"/>
      <c r="DD68" s="41"/>
      <c r="DE68" s="41"/>
      <c r="DF68" s="69"/>
      <c r="DG68" s="41"/>
      <c r="DH68" s="86"/>
      <c r="DI68" s="69">
        <v>0</v>
      </c>
      <c r="DJ68" s="46"/>
      <c r="DK68" s="41"/>
      <c r="DL68" s="68">
        <v>0</v>
      </c>
    </row>
    <row r="69" spans="1:116">
      <c r="A69" s="53" t="s">
        <v>301</v>
      </c>
      <c r="B69" s="40">
        <v>2</v>
      </c>
      <c r="C69" s="55" t="s">
        <v>241</v>
      </c>
      <c r="D69" s="54" t="s">
        <v>244</v>
      </c>
      <c r="E69" s="54">
        <v>7</v>
      </c>
      <c r="F69" s="59">
        <v>9.8013159999999999</v>
      </c>
      <c r="G69" s="68">
        <f t="shared" si="0"/>
        <v>0</v>
      </c>
      <c r="H69" s="47">
        <v>9.8013159999999999</v>
      </c>
      <c r="I69" s="69">
        <v>0</v>
      </c>
      <c r="J69" s="41"/>
      <c r="K69" s="41"/>
      <c r="L69" s="41"/>
      <c r="M69" s="69"/>
      <c r="N69" s="41"/>
      <c r="O69" s="41"/>
      <c r="P69" s="41"/>
      <c r="Q69" s="68"/>
      <c r="R69" s="41"/>
      <c r="S69" s="41"/>
      <c r="T69" s="41"/>
      <c r="U69" s="69"/>
      <c r="V69" s="41"/>
      <c r="W69" s="41"/>
      <c r="X69" s="68"/>
      <c r="Y69" s="41"/>
      <c r="Z69" s="41"/>
      <c r="AA69" s="41"/>
      <c r="AB69" s="69"/>
      <c r="AC69" s="41"/>
      <c r="AD69" s="41"/>
      <c r="AE69" s="41"/>
      <c r="AF69" s="68"/>
      <c r="AG69" s="41"/>
      <c r="AH69" s="41"/>
      <c r="AI69" s="41"/>
      <c r="AJ69" s="41"/>
      <c r="AK69" s="69"/>
      <c r="AL69" s="46"/>
      <c r="AM69" s="41"/>
      <c r="AN69" s="41"/>
      <c r="AO69" s="68"/>
      <c r="AP69" s="41"/>
      <c r="AQ69" s="41"/>
      <c r="AR69" s="69"/>
      <c r="AS69" s="46"/>
      <c r="AT69" s="41"/>
      <c r="AU69" s="68"/>
      <c r="AV69" s="41"/>
      <c r="AW69" s="41"/>
      <c r="AX69" s="69"/>
      <c r="AY69" s="41"/>
      <c r="AZ69" s="41"/>
      <c r="BA69" s="68"/>
      <c r="BB69" s="41"/>
      <c r="BC69" s="41"/>
      <c r="BD69" s="69"/>
      <c r="BE69" s="46"/>
      <c r="BF69" s="41"/>
      <c r="BG69" s="68"/>
      <c r="BH69" s="41"/>
      <c r="BI69" s="41"/>
      <c r="BJ69" s="69"/>
      <c r="BK69" s="46"/>
      <c r="BL69" s="41"/>
      <c r="BM69" s="68"/>
      <c r="BN69" s="41"/>
      <c r="BO69" s="41"/>
      <c r="BP69" s="69"/>
      <c r="BQ69" s="41"/>
      <c r="BR69" s="41"/>
      <c r="BS69" s="68"/>
      <c r="BT69" s="41"/>
      <c r="BU69" s="41"/>
      <c r="BV69" s="69"/>
      <c r="BW69" s="46"/>
      <c r="BX69" s="41"/>
      <c r="BY69" s="68"/>
      <c r="BZ69" s="41"/>
      <c r="CA69" s="41"/>
      <c r="CB69" s="69"/>
      <c r="CC69" s="46"/>
      <c r="CD69" s="41"/>
      <c r="CE69" s="68"/>
      <c r="CF69" s="41"/>
      <c r="CG69" s="41"/>
      <c r="CH69" s="69"/>
      <c r="CI69" s="41"/>
      <c r="CJ69" s="41"/>
      <c r="CK69" s="68"/>
      <c r="CL69" s="41"/>
      <c r="CM69" s="41"/>
      <c r="CN69" s="69"/>
      <c r="CO69" s="41"/>
      <c r="CP69" s="41"/>
      <c r="CQ69" s="68"/>
      <c r="CR69" s="41"/>
      <c r="CS69" s="41"/>
      <c r="CT69" s="69"/>
      <c r="CU69" s="41"/>
      <c r="CV69" s="41"/>
      <c r="CW69" s="68"/>
      <c r="CX69" s="41"/>
      <c r="CY69" s="41"/>
      <c r="CZ69" s="69"/>
      <c r="DA69" s="41"/>
      <c r="DB69" s="41"/>
      <c r="DC69" s="68"/>
      <c r="DD69" s="41"/>
      <c r="DE69" s="41"/>
      <c r="DF69" s="69"/>
      <c r="DG69" s="41"/>
      <c r="DH69" s="86"/>
      <c r="DI69" s="69">
        <v>0</v>
      </c>
      <c r="DJ69" s="46"/>
      <c r="DK69" s="41"/>
      <c r="DL69" s="68">
        <v>0</v>
      </c>
    </row>
    <row r="70" spans="1:116">
      <c r="A70" s="53" t="s">
        <v>301</v>
      </c>
      <c r="B70" s="40">
        <v>2</v>
      </c>
      <c r="C70" s="55" t="s">
        <v>241</v>
      </c>
      <c r="D70" s="54" t="s">
        <v>245</v>
      </c>
      <c r="E70" s="54">
        <v>7</v>
      </c>
      <c r="F70" s="59">
        <v>9.8487799999999996</v>
      </c>
      <c r="G70" s="68">
        <f t="shared" si="0"/>
        <v>0</v>
      </c>
      <c r="H70" s="47">
        <v>9.8487799999999996</v>
      </c>
      <c r="I70" s="69">
        <v>0</v>
      </c>
      <c r="J70" s="41"/>
      <c r="K70" s="41"/>
      <c r="L70" s="41"/>
      <c r="M70" s="69"/>
      <c r="N70" s="41"/>
      <c r="O70" s="41"/>
      <c r="P70" s="41"/>
      <c r="Q70" s="68"/>
      <c r="R70" s="41"/>
      <c r="S70" s="41"/>
      <c r="T70" s="41"/>
      <c r="U70" s="69"/>
      <c r="V70" s="41"/>
      <c r="W70" s="41"/>
      <c r="X70" s="68"/>
      <c r="Y70" s="41"/>
      <c r="Z70" s="41"/>
      <c r="AA70" s="41"/>
      <c r="AB70" s="69"/>
      <c r="AC70" s="41"/>
      <c r="AD70" s="41"/>
      <c r="AE70" s="41"/>
      <c r="AF70" s="68"/>
      <c r="AG70" s="41"/>
      <c r="AH70" s="41"/>
      <c r="AI70" s="41"/>
      <c r="AJ70" s="41"/>
      <c r="AK70" s="69"/>
      <c r="AL70" s="46"/>
      <c r="AM70" s="41"/>
      <c r="AN70" s="41"/>
      <c r="AO70" s="68"/>
      <c r="AP70" s="41"/>
      <c r="AQ70" s="41"/>
      <c r="AR70" s="69"/>
      <c r="AS70" s="46"/>
      <c r="AT70" s="41"/>
      <c r="AU70" s="68"/>
      <c r="AV70" s="41"/>
      <c r="AW70" s="41"/>
      <c r="AX70" s="69"/>
      <c r="AY70" s="41"/>
      <c r="AZ70" s="41"/>
      <c r="BA70" s="68"/>
      <c r="BB70" s="41"/>
      <c r="BC70" s="41"/>
      <c r="BD70" s="69"/>
      <c r="BE70" s="46"/>
      <c r="BF70" s="41"/>
      <c r="BG70" s="68"/>
      <c r="BH70" s="41"/>
      <c r="BI70" s="41"/>
      <c r="BJ70" s="69"/>
      <c r="BK70" s="46"/>
      <c r="BL70" s="41"/>
      <c r="BM70" s="68"/>
      <c r="BN70" s="41"/>
      <c r="BO70" s="41"/>
      <c r="BP70" s="69"/>
      <c r="BQ70" s="41"/>
      <c r="BR70" s="41"/>
      <c r="BS70" s="68"/>
      <c r="BT70" s="41"/>
      <c r="BU70" s="41"/>
      <c r="BV70" s="69"/>
      <c r="BW70" s="46"/>
      <c r="BX70" s="41"/>
      <c r="BY70" s="68"/>
      <c r="BZ70" s="41"/>
      <c r="CA70" s="41"/>
      <c r="CB70" s="69"/>
      <c r="CC70" s="46"/>
      <c r="CD70" s="41"/>
      <c r="CE70" s="68"/>
      <c r="CF70" s="41"/>
      <c r="CG70" s="41"/>
      <c r="CH70" s="69"/>
      <c r="CI70" s="41"/>
      <c r="CJ70" s="41"/>
      <c r="CK70" s="68"/>
      <c r="CL70" s="41"/>
      <c r="CM70" s="41"/>
      <c r="CN70" s="69"/>
      <c r="CO70" s="41"/>
      <c r="CP70" s="41"/>
      <c r="CQ70" s="68"/>
      <c r="CR70" s="41"/>
      <c r="CS70" s="41"/>
      <c r="CT70" s="69"/>
      <c r="CU70" s="41"/>
      <c r="CV70" s="41"/>
      <c r="CW70" s="68"/>
      <c r="CX70" s="41"/>
      <c r="CY70" s="41"/>
      <c r="CZ70" s="69"/>
      <c r="DA70" s="41"/>
      <c r="DB70" s="41"/>
      <c r="DC70" s="68"/>
      <c r="DD70" s="41"/>
      <c r="DE70" s="41"/>
      <c r="DF70" s="69"/>
      <c r="DG70" s="41"/>
      <c r="DH70" s="86"/>
      <c r="DI70" s="69">
        <v>0</v>
      </c>
      <c r="DJ70" s="46"/>
      <c r="DK70" s="41"/>
      <c r="DL70" s="68">
        <v>0</v>
      </c>
    </row>
    <row r="71" spans="1:116">
      <c r="A71" s="53" t="s">
        <v>301</v>
      </c>
      <c r="B71" s="40">
        <v>2</v>
      </c>
      <c r="C71" s="55" t="s">
        <v>246</v>
      </c>
      <c r="D71" s="54">
        <v>1</v>
      </c>
      <c r="E71" s="54">
        <v>7</v>
      </c>
      <c r="F71" s="59">
        <v>10.73873</v>
      </c>
      <c r="G71" s="68">
        <f t="shared" si="0"/>
        <v>0</v>
      </c>
      <c r="H71" s="47">
        <v>10.73873</v>
      </c>
      <c r="I71" s="69">
        <v>0</v>
      </c>
      <c r="J71" s="41"/>
      <c r="K71" s="41"/>
      <c r="L71" s="41"/>
      <c r="M71" s="69"/>
      <c r="N71" s="41"/>
      <c r="O71" s="41"/>
      <c r="P71" s="41"/>
      <c r="Q71" s="68"/>
      <c r="R71" s="41"/>
      <c r="S71" s="41"/>
      <c r="T71" s="41"/>
      <c r="U71" s="69"/>
      <c r="V71" s="41"/>
      <c r="W71" s="41"/>
      <c r="X71" s="68"/>
      <c r="Y71" s="41"/>
      <c r="Z71" s="41"/>
      <c r="AA71" s="41"/>
      <c r="AB71" s="69"/>
      <c r="AC71" s="41"/>
      <c r="AD71" s="41"/>
      <c r="AE71" s="41"/>
      <c r="AF71" s="68"/>
      <c r="AG71" s="41"/>
      <c r="AH71" s="41"/>
      <c r="AI71" s="41"/>
      <c r="AJ71" s="41"/>
      <c r="AK71" s="69"/>
      <c r="AL71" s="46"/>
      <c r="AM71" s="41"/>
      <c r="AN71" s="41"/>
      <c r="AO71" s="68"/>
      <c r="AP71" s="41"/>
      <c r="AQ71" s="41"/>
      <c r="AR71" s="69"/>
      <c r="AS71" s="46"/>
      <c r="AT71" s="41"/>
      <c r="AU71" s="68"/>
      <c r="AV71" s="41"/>
      <c r="AW71" s="41"/>
      <c r="AX71" s="69"/>
      <c r="AY71" s="41"/>
      <c r="AZ71" s="41"/>
      <c r="BA71" s="68"/>
      <c r="BB71" s="41"/>
      <c r="BC71" s="41"/>
      <c r="BD71" s="69"/>
      <c r="BE71" s="46"/>
      <c r="BF71" s="41"/>
      <c r="BG71" s="68"/>
      <c r="BH71" s="41"/>
      <c r="BI71" s="41"/>
      <c r="BJ71" s="69"/>
      <c r="BK71" s="46"/>
      <c r="BL71" s="41"/>
      <c r="BM71" s="68"/>
      <c r="BN71" s="41"/>
      <c r="BO71" s="41"/>
      <c r="BP71" s="69"/>
      <c r="BQ71" s="41"/>
      <c r="BR71" s="41"/>
      <c r="BS71" s="68"/>
      <c r="BT71" s="41"/>
      <c r="BU71" s="41"/>
      <c r="BV71" s="69"/>
      <c r="BW71" s="46"/>
      <c r="BX71" s="41"/>
      <c r="BY71" s="68"/>
      <c r="BZ71" s="41"/>
      <c r="CA71" s="41"/>
      <c r="CB71" s="69"/>
      <c r="CC71" s="46"/>
      <c r="CD71" s="41"/>
      <c r="CE71" s="68"/>
      <c r="CF71" s="41"/>
      <c r="CG71" s="41"/>
      <c r="CH71" s="69"/>
      <c r="CI71" s="41"/>
      <c r="CJ71" s="41"/>
      <c r="CK71" s="68"/>
      <c r="CL71" s="41"/>
      <c r="CM71" s="41"/>
      <c r="CN71" s="69"/>
      <c r="CO71" s="41"/>
      <c r="CP71" s="41"/>
      <c r="CQ71" s="68"/>
      <c r="CR71" s="41"/>
      <c r="CS71" s="41"/>
      <c r="CT71" s="69"/>
      <c r="CU71" s="41"/>
      <c r="CV71" s="41"/>
      <c r="CW71" s="68"/>
      <c r="CX71" s="41"/>
      <c r="CY71" s="41"/>
      <c r="CZ71" s="69"/>
      <c r="DA71" s="41"/>
      <c r="DB71" s="41"/>
      <c r="DC71" s="68"/>
      <c r="DD71" s="41"/>
      <c r="DE71" s="41"/>
      <c r="DF71" s="69"/>
      <c r="DG71" s="41"/>
      <c r="DH71" s="86"/>
      <c r="DI71" s="69">
        <v>0</v>
      </c>
      <c r="DJ71" s="46"/>
      <c r="DK71" s="41"/>
      <c r="DL71" s="68">
        <v>0</v>
      </c>
    </row>
    <row r="72" spans="1:116">
      <c r="A72" s="53" t="s">
        <v>301</v>
      </c>
      <c r="B72" s="40">
        <v>2</v>
      </c>
      <c r="C72" s="55" t="s">
        <v>246</v>
      </c>
      <c r="D72" s="54" t="s">
        <v>224</v>
      </c>
      <c r="E72" s="54">
        <v>7</v>
      </c>
      <c r="F72" s="59">
        <v>7.5111779999999992</v>
      </c>
      <c r="G72" s="68">
        <f t="shared" ref="G72:G135" si="1">(Q72+X72+AF72+AO72+AU72+BA72+BG72+BM72+BS72+BY72+CE72+CK72+CQ72+CW72+DC72+DL72)/1000</f>
        <v>0</v>
      </c>
      <c r="H72" s="47">
        <v>7.5111779999999992</v>
      </c>
      <c r="I72" s="69">
        <v>0</v>
      </c>
      <c r="J72" s="41"/>
      <c r="K72" s="41"/>
      <c r="L72" s="41"/>
      <c r="M72" s="69"/>
      <c r="N72" s="41"/>
      <c r="O72" s="41"/>
      <c r="P72" s="41"/>
      <c r="Q72" s="68"/>
      <c r="R72" s="41"/>
      <c r="S72" s="41"/>
      <c r="T72" s="41"/>
      <c r="U72" s="69"/>
      <c r="V72" s="41"/>
      <c r="W72" s="41"/>
      <c r="X72" s="68"/>
      <c r="Y72" s="41"/>
      <c r="Z72" s="41"/>
      <c r="AA72" s="41"/>
      <c r="AB72" s="69"/>
      <c r="AC72" s="41"/>
      <c r="AD72" s="41"/>
      <c r="AE72" s="41"/>
      <c r="AF72" s="68"/>
      <c r="AG72" s="41"/>
      <c r="AH72" s="41"/>
      <c r="AI72" s="41"/>
      <c r="AJ72" s="41"/>
      <c r="AK72" s="69"/>
      <c r="AL72" s="46"/>
      <c r="AM72" s="41"/>
      <c r="AN72" s="41"/>
      <c r="AO72" s="68"/>
      <c r="AP72" s="41"/>
      <c r="AQ72" s="41"/>
      <c r="AR72" s="69"/>
      <c r="AS72" s="46"/>
      <c r="AT72" s="41"/>
      <c r="AU72" s="68"/>
      <c r="AV72" s="41"/>
      <c r="AW72" s="41"/>
      <c r="AX72" s="69"/>
      <c r="AY72" s="41"/>
      <c r="AZ72" s="41"/>
      <c r="BA72" s="68"/>
      <c r="BB72" s="41"/>
      <c r="BC72" s="41"/>
      <c r="BD72" s="69"/>
      <c r="BE72" s="46"/>
      <c r="BF72" s="41"/>
      <c r="BG72" s="68"/>
      <c r="BH72" s="41"/>
      <c r="BI72" s="41"/>
      <c r="BJ72" s="69"/>
      <c r="BK72" s="46"/>
      <c r="BL72" s="41"/>
      <c r="BM72" s="68"/>
      <c r="BN72" s="41"/>
      <c r="BO72" s="41"/>
      <c r="BP72" s="69"/>
      <c r="BQ72" s="41"/>
      <c r="BR72" s="41"/>
      <c r="BS72" s="68"/>
      <c r="BT72" s="41"/>
      <c r="BU72" s="41"/>
      <c r="BV72" s="69"/>
      <c r="BW72" s="46"/>
      <c r="BX72" s="41"/>
      <c r="BY72" s="68"/>
      <c r="BZ72" s="41"/>
      <c r="CA72" s="41"/>
      <c r="CB72" s="69"/>
      <c r="CC72" s="46"/>
      <c r="CD72" s="41"/>
      <c r="CE72" s="68"/>
      <c r="CF72" s="41"/>
      <c r="CG72" s="41"/>
      <c r="CH72" s="69"/>
      <c r="CI72" s="41"/>
      <c r="CJ72" s="41"/>
      <c r="CK72" s="68"/>
      <c r="CL72" s="41"/>
      <c r="CM72" s="41"/>
      <c r="CN72" s="69"/>
      <c r="CO72" s="41"/>
      <c r="CP72" s="41"/>
      <c r="CQ72" s="68"/>
      <c r="CR72" s="41"/>
      <c r="CS72" s="41"/>
      <c r="CT72" s="69"/>
      <c r="CU72" s="41"/>
      <c r="CV72" s="41"/>
      <c r="CW72" s="68"/>
      <c r="CX72" s="41"/>
      <c r="CY72" s="41"/>
      <c r="CZ72" s="69"/>
      <c r="DA72" s="41"/>
      <c r="DB72" s="41"/>
      <c r="DC72" s="68"/>
      <c r="DD72" s="41"/>
      <c r="DE72" s="41"/>
      <c r="DF72" s="69"/>
      <c r="DG72" s="41"/>
      <c r="DH72" s="86"/>
      <c r="DI72" s="69">
        <v>0</v>
      </c>
      <c r="DJ72" s="46"/>
      <c r="DK72" s="41"/>
      <c r="DL72" s="68">
        <v>0</v>
      </c>
    </row>
    <row r="73" spans="1:116">
      <c r="A73" s="53" t="s">
        <v>301</v>
      </c>
      <c r="B73" s="40">
        <v>2</v>
      </c>
      <c r="C73" s="55" t="s">
        <v>246</v>
      </c>
      <c r="D73" s="54" t="s">
        <v>225</v>
      </c>
      <c r="E73" s="54">
        <v>7</v>
      </c>
      <c r="F73" s="59">
        <v>1.89856</v>
      </c>
      <c r="G73" s="68">
        <f t="shared" si="1"/>
        <v>0</v>
      </c>
      <c r="H73" s="47">
        <v>1.89856</v>
      </c>
      <c r="I73" s="69">
        <v>0</v>
      </c>
      <c r="J73" s="41"/>
      <c r="K73" s="41"/>
      <c r="L73" s="41"/>
      <c r="M73" s="69"/>
      <c r="N73" s="41"/>
      <c r="O73" s="41"/>
      <c r="P73" s="41"/>
      <c r="Q73" s="68"/>
      <c r="R73" s="41"/>
      <c r="S73" s="41"/>
      <c r="T73" s="41"/>
      <c r="U73" s="69"/>
      <c r="V73" s="41"/>
      <c r="W73" s="41"/>
      <c r="X73" s="68"/>
      <c r="Y73" s="41"/>
      <c r="Z73" s="41"/>
      <c r="AA73" s="41"/>
      <c r="AB73" s="69"/>
      <c r="AC73" s="41"/>
      <c r="AD73" s="41"/>
      <c r="AE73" s="41"/>
      <c r="AF73" s="68"/>
      <c r="AG73" s="41"/>
      <c r="AH73" s="41"/>
      <c r="AI73" s="41"/>
      <c r="AJ73" s="41"/>
      <c r="AK73" s="69"/>
      <c r="AL73" s="46"/>
      <c r="AM73" s="41"/>
      <c r="AN73" s="41"/>
      <c r="AO73" s="68"/>
      <c r="AP73" s="41"/>
      <c r="AQ73" s="41"/>
      <c r="AR73" s="69"/>
      <c r="AS73" s="46"/>
      <c r="AT73" s="41"/>
      <c r="AU73" s="68"/>
      <c r="AV73" s="41"/>
      <c r="AW73" s="41"/>
      <c r="AX73" s="69"/>
      <c r="AY73" s="41"/>
      <c r="AZ73" s="41"/>
      <c r="BA73" s="68"/>
      <c r="BB73" s="41"/>
      <c r="BC73" s="41"/>
      <c r="BD73" s="69"/>
      <c r="BE73" s="46"/>
      <c r="BF73" s="41"/>
      <c r="BG73" s="68"/>
      <c r="BH73" s="41"/>
      <c r="BI73" s="41"/>
      <c r="BJ73" s="69"/>
      <c r="BK73" s="46"/>
      <c r="BL73" s="41"/>
      <c r="BM73" s="68"/>
      <c r="BN73" s="41"/>
      <c r="BO73" s="41"/>
      <c r="BP73" s="69"/>
      <c r="BQ73" s="41"/>
      <c r="BR73" s="41"/>
      <c r="BS73" s="68"/>
      <c r="BT73" s="41"/>
      <c r="BU73" s="41"/>
      <c r="BV73" s="69"/>
      <c r="BW73" s="46"/>
      <c r="BX73" s="41"/>
      <c r="BY73" s="68"/>
      <c r="BZ73" s="41"/>
      <c r="CA73" s="41"/>
      <c r="CB73" s="69"/>
      <c r="CC73" s="46"/>
      <c r="CD73" s="41"/>
      <c r="CE73" s="68"/>
      <c r="CF73" s="41"/>
      <c r="CG73" s="41"/>
      <c r="CH73" s="69"/>
      <c r="CI73" s="41"/>
      <c r="CJ73" s="41"/>
      <c r="CK73" s="68"/>
      <c r="CL73" s="41"/>
      <c r="CM73" s="41"/>
      <c r="CN73" s="69"/>
      <c r="CO73" s="41"/>
      <c r="CP73" s="41"/>
      <c r="CQ73" s="68"/>
      <c r="CR73" s="41"/>
      <c r="CS73" s="41"/>
      <c r="CT73" s="69"/>
      <c r="CU73" s="41"/>
      <c r="CV73" s="41"/>
      <c r="CW73" s="68"/>
      <c r="CX73" s="41"/>
      <c r="CY73" s="41"/>
      <c r="CZ73" s="69"/>
      <c r="DA73" s="41"/>
      <c r="DB73" s="41"/>
      <c r="DC73" s="68"/>
      <c r="DD73" s="41"/>
      <c r="DE73" s="41"/>
      <c r="DF73" s="69"/>
      <c r="DG73" s="41"/>
      <c r="DH73" s="86"/>
      <c r="DI73" s="69">
        <v>0</v>
      </c>
      <c r="DJ73" s="46"/>
      <c r="DK73" s="41"/>
      <c r="DL73" s="68">
        <v>0</v>
      </c>
    </row>
    <row r="74" spans="1:116">
      <c r="A74" s="53" t="s">
        <v>301</v>
      </c>
      <c r="B74" s="40">
        <v>2</v>
      </c>
      <c r="C74" s="55" t="s">
        <v>246</v>
      </c>
      <c r="D74" s="54">
        <v>4</v>
      </c>
      <c r="E74" s="54">
        <v>7</v>
      </c>
      <c r="F74" s="59">
        <v>9.753852000000002</v>
      </c>
      <c r="G74" s="68">
        <f t="shared" si="1"/>
        <v>0</v>
      </c>
      <c r="H74" s="47">
        <v>9.753852000000002</v>
      </c>
      <c r="I74" s="69">
        <v>0</v>
      </c>
      <c r="J74" s="41"/>
      <c r="K74" s="41"/>
      <c r="L74" s="41"/>
      <c r="M74" s="69"/>
      <c r="N74" s="41"/>
      <c r="O74" s="41"/>
      <c r="P74" s="41"/>
      <c r="Q74" s="68"/>
      <c r="R74" s="41"/>
      <c r="S74" s="41"/>
      <c r="T74" s="41"/>
      <c r="U74" s="69"/>
      <c r="V74" s="41"/>
      <c r="W74" s="41"/>
      <c r="X74" s="68"/>
      <c r="Y74" s="41"/>
      <c r="Z74" s="41"/>
      <c r="AA74" s="41"/>
      <c r="AB74" s="69"/>
      <c r="AC74" s="41"/>
      <c r="AD74" s="41"/>
      <c r="AE74" s="41"/>
      <c r="AF74" s="68"/>
      <c r="AG74" s="41"/>
      <c r="AH74" s="41"/>
      <c r="AI74" s="41"/>
      <c r="AJ74" s="41"/>
      <c r="AK74" s="69"/>
      <c r="AL74" s="46"/>
      <c r="AM74" s="41"/>
      <c r="AN74" s="41"/>
      <c r="AO74" s="68"/>
      <c r="AP74" s="41"/>
      <c r="AQ74" s="41"/>
      <c r="AR74" s="69"/>
      <c r="AS74" s="46"/>
      <c r="AT74" s="41"/>
      <c r="AU74" s="68"/>
      <c r="AV74" s="41"/>
      <c r="AW74" s="41"/>
      <c r="AX74" s="69"/>
      <c r="AY74" s="41"/>
      <c r="AZ74" s="41"/>
      <c r="BA74" s="68"/>
      <c r="BB74" s="41"/>
      <c r="BC74" s="41"/>
      <c r="BD74" s="69"/>
      <c r="BE74" s="46"/>
      <c r="BF74" s="41"/>
      <c r="BG74" s="68"/>
      <c r="BH74" s="41"/>
      <c r="BI74" s="41"/>
      <c r="BJ74" s="69"/>
      <c r="BK74" s="46"/>
      <c r="BL74" s="41"/>
      <c r="BM74" s="68"/>
      <c r="BN74" s="41"/>
      <c r="BO74" s="41"/>
      <c r="BP74" s="69"/>
      <c r="BQ74" s="41"/>
      <c r="BR74" s="41"/>
      <c r="BS74" s="68"/>
      <c r="BT74" s="41"/>
      <c r="BU74" s="41"/>
      <c r="BV74" s="69"/>
      <c r="BW74" s="46"/>
      <c r="BX74" s="41"/>
      <c r="BY74" s="68"/>
      <c r="BZ74" s="41"/>
      <c r="CA74" s="41"/>
      <c r="CB74" s="69"/>
      <c r="CC74" s="46"/>
      <c r="CD74" s="41"/>
      <c r="CE74" s="68"/>
      <c r="CF74" s="41"/>
      <c r="CG74" s="41"/>
      <c r="CH74" s="69"/>
      <c r="CI74" s="41"/>
      <c r="CJ74" s="41"/>
      <c r="CK74" s="68"/>
      <c r="CL74" s="41"/>
      <c r="CM74" s="41"/>
      <c r="CN74" s="69"/>
      <c r="CO74" s="41"/>
      <c r="CP74" s="41"/>
      <c r="CQ74" s="68"/>
      <c r="CR74" s="41"/>
      <c r="CS74" s="41"/>
      <c r="CT74" s="69"/>
      <c r="CU74" s="41"/>
      <c r="CV74" s="41"/>
      <c r="CW74" s="68"/>
      <c r="CX74" s="41"/>
      <c r="CY74" s="41"/>
      <c r="CZ74" s="69"/>
      <c r="DA74" s="41"/>
      <c r="DB74" s="41"/>
      <c r="DC74" s="68"/>
      <c r="DD74" s="41"/>
      <c r="DE74" s="41"/>
      <c r="DF74" s="69"/>
      <c r="DG74" s="41"/>
      <c r="DH74" s="86"/>
      <c r="DI74" s="69">
        <v>0</v>
      </c>
      <c r="DJ74" s="46"/>
      <c r="DK74" s="41"/>
      <c r="DL74" s="68">
        <v>0</v>
      </c>
    </row>
    <row r="75" spans="1:116">
      <c r="A75" s="53" t="s">
        <v>301</v>
      </c>
      <c r="B75" s="40">
        <v>2</v>
      </c>
      <c r="C75" s="55" t="s">
        <v>246</v>
      </c>
      <c r="D75" s="54" t="s">
        <v>226</v>
      </c>
      <c r="E75" s="54">
        <v>7</v>
      </c>
      <c r="F75" s="59">
        <v>6.4907020000000006</v>
      </c>
      <c r="G75" s="68">
        <f t="shared" si="1"/>
        <v>0</v>
      </c>
      <c r="H75" s="47">
        <v>6.4907020000000006</v>
      </c>
      <c r="I75" s="69">
        <v>0</v>
      </c>
      <c r="J75" s="41"/>
      <c r="K75" s="41"/>
      <c r="L75" s="41"/>
      <c r="M75" s="69"/>
      <c r="N75" s="41"/>
      <c r="O75" s="41"/>
      <c r="P75" s="41"/>
      <c r="Q75" s="68"/>
      <c r="R75" s="41"/>
      <c r="S75" s="41"/>
      <c r="T75" s="41"/>
      <c r="U75" s="69"/>
      <c r="V75" s="41"/>
      <c r="W75" s="41"/>
      <c r="X75" s="68"/>
      <c r="Y75" s="41"/>
      <c r="Z75" s="41"/>
      <c r="AA75" s="41"/>
      <c r="AB75" s="69"/>
      <c r="AC75" s="41"/>
      <c r="AD75" s="41"/>
      <c r="AE75" s="41"/>
      <c r="AF75" s="68"/>
      <c r="AG75" s="41"/>
      <c r="AH75" s="41"/>
      <c r="AI75" s="41"/>
      <c r="AJ75" s="41"/>
      <c r="AK75" s="69"/>
      <c r="AL75" s="46"/>
      <c r="AM75" s="41"/>
      <c r="AN75" s="41"/>
      <c r="AO75" s="68"/>
      <c r="AP75" s="41"/>
      <c r="AQ75" s="41"/>
      <c r="AR75" s="69"/>
      <c r="AS75" s="46"/>
      <c r="AT75" s="41"/>
      <c r="AU75" s="68"/>
      <c r="AV75" s="41"/>
      <c r="AW75" s="41"/>
      <c r="AX75" s="69"/>
      <c r="AY75" s="41"/>
      <c r="AZ75" s="41"/>
      <c r="BA75" s="68"/>
      <c r="BB75" s="41"/>
      <c r="BC75" s="41"/>
      <c r="BD75" s="69"/>
      <c r="BE75" s="46"/>
      <c r="BF75" s="41"/>
      <c r="BG75" s="68"/>
      <c r="BH75" s="41"/>
      <c r="BI75" s="41"/>
      <c r="BJ75" s="69"/>
      <c r="BK75" s="46"/>
      <c r="BL75" s="41"/>
      <c r="BM75" s="68"/>
      <c r="BN75" s="41"/>
      <c r="BO75" s="41"/>
      <c r="BP75" s="69"/>
      <c r="BQ75" s="41"/>
      <c r="BR75" s="41"/>
      <c r="BS75" s="68"/>
      <c r="BT75" s="41"/>
      <c r="BU75" s="41"/>
      <c r="BV75" s="69"/>
      <c r="BW75" s="46"/>
      <c r="BX75" s="41"/>
      <c r="BY75" s="68"/>
      <c r="BZ75" s="41"/>
      <c r="CA75" s="41"/>
      <c r="CB75" s="69"/>
      <c r="CC75" s="46"/>
      <c r="CD75" s="41"/>
      <c r="CE75" s="68"/>
      <c r="CF75" s="41"/>
      <c r="CG75" s="41"/>
      <c r="CH75" s="69"/>
      <c r="CI75" s="41"/>
      <c r="CJ75" s="41"/>
      <c r="CK75" s="68"/>
      <c r="CL75" s="41"/>
      <c r="CM75" s="41"/>
      <c r="CN75" s="69"/>
      <c r="CO75" s="41"/>
      <c r="CP75" s="41"/>
      <c r="CQ75" s="68"/>
      <c r="CR75" s="41"/>
      <c r="CS75" s="41"/>
      <c r="CT75" s="69"/>
      <c r="CU75" s="41"/>
      <c r="CV75" s="41"/>
      <c r="CW75" s="68"/>
      <c r="CX75" s="41"/>
      <c r="CY75" s="41"/>
      <c r="CZ75" s="69"/>
      <c r="DA75" s="41"/>
      <c r="DB75" s="41"/>
      <c r="DC75" s="68"/>
      <c r="DD75" s="41"/>
      <c r="DE75" s="41"/>
      <c r="DF75" s="69"/>
      <c r="DG75" s="41"/>
      <c r="DH75" s="86"/>
      <c r="DI75" s="69">
        <v>0</v>
      </c>
      <c r="DJ75" s="46"/>
      <c r="DK75" s="41"/>
      <c r="DL75" s="68">
        <v>0</v>
      </c>
    </row>
    <row r="76" spans="1:116">
      <c r="A76" s="53" t="s">
        <v>301</v>
      </c>
      <c r="B76" s="40">
        <v>2</v>
      </c>
      <c r="C76" s="55" t="s">
        <v>246</v>
      </c>
      <c r="D76" s="54" t="s">
        <v>247</v>
      </c>
      <c r="E76" s="54">
        <v>7</v>
      </c>
      <c r="F76" s="59">
        <v>6.9772079999999992</v>
      </c>
      <c r="G76" s="68">
        <f t="shared" si="1"/>
        <v>0</v>
      </c>
      <c r="H76" s="47">
        <v>6.9772079999999992</v>
      </c>
      <c r="I76" s="69">
        <v>0</v>
      </c>
      <c r="J76" s="41"/>
      <c r="K76" s="41"/>
      <c r="L76" s="41"/>
      <c r="M76" s="69"/>
      <c r="N76" s="41"/>
      <c r="O76" s="41"/>
      <c r="P76" s="41"/>
      <c r="Q76" s="68"/>
      <c r="R76" s="41"/>
      <c r="S76" s="41"/>
      <c r="T76" s="41"/>
      <c r="U76" s="69"/>
      <c r="V76" s="41"/>
      <c r="W76" s="41"/>
      <c r="X76" s="68"/>
      <c r="Y76" s="41"/>
      <c r="Z76" s="41"/>
      <c r="AA76" s="41"/>
      <c r="AB76" s="69"/>
      <c r="AC76" s="41"/>
      <c r="AD76" s="41"/>
      <c r="AE76" s="41"/>
      <c r="AF76" s="68"/>
      <c r="AG76" s="41"/>
      <c r="AH76" s="41"/>
      <c r="AI76" s="41"/>
      <c r="AJ76" s="41"/>
      <c r="AK76" s="69"/>
      <c r="AL76" s="46"/>
      <c r="AM76" s="41"/>
      <c r="AN76" s="41"/>
      <c r="AO76" s="68"/>
      <c r="AP76" s="41"/>
      <c r="AQ76" s="41"/>
      <c r="AR76" s="69"/>
      <c r="AS76" s="46"/>
      <c r="AT76" s="41"/>
      <c r="AU76" s="68"/>
      <c r="AV76" s="41"/>
      <c r="AW76" s="41"/>
      <c r="AX76" s="69"/>
      <c r="AY76" s="41"/>
      <c r="AZ76" s="41"/>
      <c r="BA76" s="68"/>
      <c r="BB76" s="41"/>
      <c r="BC76" s="41"/>
      <c r="BD76" s="69"/>
      <c r="BE76" s="46"/>
      <c r="BF76" s="41"/>
      <c r="BG76" s="68"/>
      <c r="BH76" s="41"/>
      <c r="BI76" s="41"/>
      <c r="BJ76" s="69"/>
      <c r="BK76" s="46"/>
      <c r="BL76" s="41"/>
      <c r="BM76" s="68"/>
      <c r="BN76" s="41"/>
      <c r="BO76" s="41"/>
      <c r="BP76" s="69"/>
      <c r="BQ76" s="41"/>
      <c r="BR76" s="41"/>
      <c r="BS76" s="68"/>
      <c r="BT76" s="41"/>
      <c r="BU76" s="41"/>
      <c r="BV76" s="69"/>
      <c r="BW76" s="46"/>
      <c r="BX76" s="41"/>
      <c r="BY76" s="68"/>
      <c r="BZ76" s="41"/>
      <c r="CA76" s="41"/>
      <c r="CB76" s="69"/>
      <c r="CC76" s="46"/>
      <c r="CD76" s="41"/>
      <c r="CE76" s="68"/>
      <c r="CF76" s="41"/>
      <c r="CG76" s="41"/>
      <c r="CH76" s="69"/>
      <c r="CI76" s="41"/>
      <c r="CJ76" s="41"/>
      <c r="CK76" s="68"/>
      <c r="CL76" s="41"/>
      <c r="CM76" s="41"/>
      <c r="CN76" s="69"/>
      <c r="CO76" s="41"/>
      <c r="CP76" s="41"/>
      <c r="CQ76" s="68"/>
      <c r="CR76" s="41"/>
      <c r="CS76" s="41"/>
      <c r="CT76" s="69"/>
      <c r="CU76" s="41"/>
      <c r="CV76" s="41"/>
      <c r="CW76" s="68"/>
      <c r="CX76" s="41"/>
      <c r="CY76" s="41"/>
      <c r="CZ76" s="69"/>
      <c r="DA76" s="41"/>
      <c r="DB76" s="41"/>
      <c r="DC76" s="68"/>
      <c r="DD76" s="41"/>
      <c r="DE76" s="41"/>
      <c r="DF76" s="69"/>
      <c r="DG76" s="41"/>
      <c r="DH76" s="86"/>
      <c r="DI76" s="69">
        <v>0</v>
      </c>
      <c r="DJ76" s="46"/>
      <c r="DK76" s="41"/>
      <c r="DL76" s="68">
        <v>0</v>
      </c>
    </row>
    <row r="77" spans="1:116">
      <c r="A77" s="53" t="s">
        <v>301</v>
      </c>
      <c r="B77" s="40">
        <v>2</v>
      </c>
      <c r="C77" s="55" t="s">
        <v>246</v>
      </c>
      <c r="D77" s="54" t="s">
        <v>227</v>
      </c>
      <c r="E77" s="54">
        <v>7</v>
      </c>
      <c r="F77" s="59">
        <v>9.5165319999999998</v>
      </c>
      <c r="G77" s="68">
        <f t="shared" si="1"/>
        <v>0</v>
      </c>
      <c r="H77" s="47">
        <v>9.5165319999999998</v>
      </c>
      <c r="I77" s="69">
        <v>0</v>
      </c>
      <c r="J77" s="41"/>
      <c r="K77" s="41"/>
      <c r="L77" s="41"/>
      <c r="M77" s="69"/>
      <c r="N77" s="41"/>
      <c r="O77" s="41"/>
      <c r="P77" s="41"/>
      <c r="Q77" s="68"/>
      <c r="R77" s="41"/>
      <c r="S77" s="41"/>
      <c r="T77" s="41"/>
      <c r="U77" s="69"/>
      <c r="V77" s="41"/>
      <c r="W77" s="41"/>
      <c r="X77" s="68"/>
      <c r="Y77" s="41"/>
      <c r="Z77" s="41"/>
      <c r="AA77" s="41"/>
      <c r="AB77" s="69"/>
      <c r="AC77" s="41"/>
      <c r="AD77" s="41"/>
      <c r="AE77" s="41"/>
      <c r="AF77" s="68"/>
      <c r="AG77" s="41"/>
      <c r="AH77" s="41"/>
      <c r="AI77" s="41"/>
      <c r="AJ77" s="41"/>
      <c r="AK77" s="69"/>
      <c r="AL77" s="46"/>
      <c r="AM77" s="41"/>
      <c r="AN77" s="41"/>
      <c r="AO77" s="68"/>
      <c r="AP77" s="41"/>
      <c r="AQ77" s="41"/>
      <c r="AR77" s="69"/>
      <c r="AS77" s="46"/>
      <c r="AT77" s="41"/>
      <c r="AU77" s="68"/>
      <c r="AV77" s="41"/>
      <c r="AW77" s="41"/>
      <c r="AX77" s="69"/>
      <c r="AY77" s="41"/>
      <c r="AZ77" s="41"/>
      <c r="BA77" s="68"/>
      <c r="BB77" s="41"/>
      <c r="BC77" s="41"/>
      <c r="BD77" s="69"/>
      <c r="BE77" s="46"/>
      <c r="BF77" s="41"/>
      <c r="BG77" s="68"/>
      <c r="BH77" s="41"/>
      <c r="BI77" s="41"/>
      <c r="BJ77" s="69"/>
      <c r="BK77" s="46"/>
      <c r="BL77" s="41"/>
      <c r="BM77" s="68"/>
      <c r="BN77" s="41"/>
      <c r="BO77" s="41"/>
      <c r="BP77" s="69"/>
      <c r="BQ77" s="41"/>
      <c r="BR77" s="41"/>
      <c r="BS77" s="68"/>
      <c r="BT77" s="41"/>
      <c r="BU77" s="41"/>
      <c r="BV77" s="69"/>
      <c r="BW77" s="46"/>
      <c r="BX77" s="41"/>
      <c r="BY77" s="68"/>
      <c r="BZ77" s="41"/>
      <c r="CA77" s="41"/>
      <c r="CB77" s="69"/>
      <c r="CC77" s="46"/>
      <c r="CD77" s="41"/>
      <c r="CE77" s="68"/>
      <c r="CF77" s="41"/>
      <c r="CG77" s="41"/>
      <c r="CH77" s="69"/>
      <c r="CI77" s="41"/>
      <c r="CJ77" s="41"/>
      <c r="CK77" s="68"/>
      <c r="CL77" s="41"/>
      <c r="CM77" s="41"/>
      <c r="CN77" s="69"/>
      <c r="CO77" s="41"/>
      <c r="CP77" s="41"/>
      <c r="CQ77" s="68"/>
      <c r="CR77" s="41"/>
      <c r="CS77" s="41"/>
      <c r="CT77" s="69"/>
      <c r="CU77" s="41"/>
      <c r="CV77" s="41"/>
      <c r="CW77" s="68"/>
      <c r="CX77" s="41"/>
      <c r="CY77" s="41"/>
      <c r="CZ77" s="69"/>
      <c r="DA77" s="41"/>
      <c r="DB77" s="41"/>
      <c r="DC77" s="68"/>
      <c r="DD77" s="41"/>
      <c r="DE77" s="41"/>
      <c r="DF77" s="69"/>
      <c r="DG77" s="41"/>
      <c r="DH77" s="86"/>
      <c r="DI77" s="69">
        <v>0</v>
      </c>
      <c r="DJ77" s="46"/>
      <c r="DK77" s="41"/>
      <c r="DL77" s="68">
        <v>0</v>
      </c>
    </row>
    <row r="78" spans="1:116">
      <c r="A78" s="53" t="s">
        <v>301</v>
      </c>
      <c r="B78" s="40">
        <v>2</v>
      </c>
      <c r="C78" s="55" t="s">
        <v>246</v>
      </c>
      <c r="D78" s="54" t="s">
        <v>248</v>
      </c>
      <c r="E78" s="54">
        <v>7</v>
      </c>
      <c r="F78" s="59">
        <v>2.7989799999999998</v>
      </c>
      <c r="G78" s="68">
        <f t="shared" si="1"/>
        <v>0</v>
      </c>
      <c r="H78" s="47">
        <v>2.7989799999999998</v>
      </c>
      <c r="I78" s="69">
        <v>0</v>
      </c>
      <c r="J78" s="41"/>
      <c r="K78" s="41"/>
      <c r="L78" s="41"/>
      <c r="M78" s="69"/>
      <c r="N78" s="41"/>
      <c r="O78" s="41"/>
      <c r="P78" s="41"/>
      <c r="Q78" s="68"/>
      <c r="R78" s="41"/>
      <c r="S78" s="41"/>
      <c r="T78" s="41"/>
      <c r="U78" s="69"/>
      <c r="V78" s="41"/>
      <c r="W78" s="41"/>
      <c r="X78" s="68"/>
      <c r="Y78" s="41"/>
      <c r="Z78" s="41"/>
      <c r="AA78" s="41"/>
      <c r="AB78" s="69"/>
      <c r="AC78" s="41"/>
      <c r="AD78" s="41"/>
      <c r="AE78" s="41"/>
      <c r="AF78" s="68"/>
      <c r="AG78" s="41"/>
      <c r="AH78" s="41"/>
      <c r="AI78" s="41"/>
      <c r="AJ78" s="41"/>
      <c r="AK78" s="69"/>
      <c r="AL78" s="46"/>
      <c r="AM78" s="41"/>
      <c r="AN78" s="41"/>
      <c r="AO78" s="68"/>
      <c r="AP78" s="41"/>
      <c r="AQ78" s="41"/>
      <c r="AR78" s="69"/>
      <c r="AS78" s="46"/>
      <c r="AT78" s="41"/>
      <c r="AU78" s="68"/>
      <c r="AV78" s="41"/>
      <c r="AW78" s="41"/>
      <c r="AX78" s="69"/>
      <c r="AY78" s="41"/>
      <c r="AZ78" s="41"/>
      <c r="BA78" s="68"/>
      <c r="BB78" s="41"/>
      <c r="BC78" s="41"/>
      <c r="BD78" s="69"/>
      <c r="BE78" s="46"/>
      <c r="BF78" s="41"/>
      <c r="BG78" s="68"/>
      <c r="BH78" s="41"/>
      <c r="BI78" s="41"/>
      <c r="BJ78" s="69"/>
      <c r="BK78" s="46"/>
      <c r="BL78" s="41"/>
      <c r="BM78" s="68"/>
      <c r="BN78" s="41"/>
      <c r="BO78" s="41"/>
      <c r="BP78" s="69"/>
      <c r="BQ78" s="41"/>
      <c r="BR78" s="41"/>
      <c r="BS78" s="68"/>
      <c r="BT78" s="41"/>
      <c r="BU78" s="41"/>
      <c r="BV78" s="69"/>
      <c r="BW78" s="46"/>
      <c r="BX78" s="41"/>
      <c r="BY78" s="68"/>
      <c r="BZ78" s="41"/>
      <c r="CA78" s="41"/>
      <c r="CB78" s="69"/>
      <c r="CC78" s="46"/>
      <c r="CD78" s="41"/>
      <c r="CE78" s="68"/>
      <c r="CF78" s="41"/>
      <c r="CG78" s="41"/>
      <c r="CH78" s="69"/>
      <c r="CI78" s="41"/>
      <c r="CJ78" s="41"/>
      <c r="CK78" s="68"/>
      <c r="CL78" s="41"/>
      <c r="CM78" s="41"/>
      <c r="CN78" s="69"/>
      <c r="CO78" s="41"/>
      <c r="CP78" s="41"/>
      <c r="CQ78" s="68"/>
      <c r="CR78" s="41"/>
      <c r="CS78" s="41"/>
      <c r="CT78" s="69"/>
      <c r="CU78" s="41"/>
      <c r="CV78" s="41"/>
      <c r="CW78" s="68"/>
      <c r="CX78" s="41"/>
      <c r="CY78" s="41"/>
      <c r="CZ78" s="69"/>
      <c r="DA78" s="41"/>
      <c r="DB78" s="41"/>
      <c r="DC78" s="68"/>
      <c r="DD78" s="41"/>
      <c r="DE78" s="41"/>
      <c r="DF78" s="69"/>
      <c r="DG78" s="41"/>
      <c r="DH78" s="86"/>
      <c r="DI78" s="69">
        <v>0</v>
      </c>
      <c r="DJ78" s="46"/>
      <c r="DK78" s="41"/>
      <c r="DL78" s="68">
        <v>0</v>
      </c>
    </row>
    <row r="79" spans="1:116">
      <c r="A79" s="53" t="s">
        <v>301</v>
      </c>
      <c r="B79" s="40">
        <v>2</v>
      </c>
      <c r="C79" s="55" t="s">
        <v>246</v>
      </c>
      <c r="D79" s="54" t="s">
        <v>249</v>
      </c>
      <c r="E79" s="54">
        <v>7</v>
      </c>
      <c r="F79" s="59">
        <v>7.3450540000000002</v>
      </c>
      <c r="G79" s="68">
        <f t="shared" si="1"/>
        <v>0</v>
      </c>
      <c r="H79" s="47">
        <v>7.3450540000000002</v>
      </c>
      <c r="I79" s="69">
        <v>0</v>
      </c>
      <c r="J79" s="41"/>
      <c r="K79" s="41"/>
      <c r="L79" s="41"/>
      <c r="M79" s="69"/>
      <c r="N79" s="41"/>
      <c r="O79" s="41"/>
      <c r="P79" s="41"/>
      <c r="Q79" s="68"/>
      <c r="R79" s="41"/>
      <c r="S79" s="41"/>
      <c r="T79" s="41"/>
      <c r="U79" s="69"/>
      <c r="V79" s="41"/>
      <c r="W79" s="41"/>
      <c r="X79" s="68"/>
      <c r="Y79" s="41"/>
      <c r="Z79" s="41"/>
      <c r="AA79" s="41"/>
      <c r="AB79" s="69"/>
      <c r="AC79" s="41"/>
      <c r="AD79" s="41"/>
      <c r="AE79" s="41"/>
      <c r="AF79" s="68"/>
      <c r="AG79" s="41"/>
      <c r="AH79" s="41"/>
      <c r="AI79" s="41"/>
      <c r="AJ79" s="41"/>
      <c r="AK79" s="69"/>
      <c r="AL79" s="46"/>
      <c r="AM79" s="41"/>
      <c r="AN79" s="41"/>
      <c r="AO79" s="68"/>
      <c r="AP79" s="41"/>
      <c r="AQ79" s="41"/>
      <c r="AR79" s="69"/>
      <c r="AS79" s="46"/>
      <c r="AT79" s="41"/>
      <c r="AU79" s="68"/>
      <c r="AV79" s="41"/>
      <c r="AW79" s="41"/>
      <c r="AX79" s="69"/>
      <c r="AY79" s="41"/>
      <c r="AZ79" s="41"/>
      <c r="BA79" s="68"/>
      <c r="BB79" s="41"/>
      <c r="BC79" s="41"/>
      <c r="BD79" s="69"/>
      <c r="BE79" s="46"/>
      <c r="BF79" s="41"/>
      <c r="BG79" s="68"/>
      <c r="BH79" s="41"/>
      <c r="BI79" s="41"/>
      <c r="BJ79" s="69"/>
      <c r="BK79" s="46"/>
      <c r="BL79" s="41"/>
      <c r="BM79" s="68"/>
      <c r="BN79" s="41"/>
      <c r="BO79" s="41"/>
      <c r="BP79" s="69"/>
      <c r="BQ79" s="41"/>
      <c r="BR79" s="41"/>
      <c r="BS79" s="68"/>
      <c r="BT79" s="41"/>
      <c r="BU79" s="41"/>
      <c r="BV79" s="69"/>
      <c r="BW79" s="46"/>
      <c r="BX79" s="41"/>
      <c r="BY79" s="68"/>
      <c r="BZ79" s="41"/>
      <c r="CA79" s="41"/>
      <c r="CB79" s="69"/>
      <c r="CC79" s="46"/>
      <c r="CD79" s="41"/>
      <c r="CE79" s="68"/>
      <c r="CF79" s="41"/>
      <c r="CG79" s="41"/>
      <c r="CH79" s="69"/>
      <c r="CI79" s="41"/>
      <c r="CJ79" s="41"/>
      <c r="CK79" s="68"/>
      <c r="CL79" s="41"/>
      <c r="CM79" s="41"/>
      <c r="CN79" s="69"/>
      <c r="CO79" s="41"/>
      <c r="CP79" s="41"/>
      <c r="CQ79" s="68"/>
      <c r="CR79" s="41"/>
      <c r="CS79" s="41"/>
      <c r="CT79" s="69"/>
      <c r="CU79" s="41"/>
      <c r="CV79" s="41"/>
      <c r="CW79" s="68"/>
      <c r="CX79" s="41"/>
      <c r="CY79" s="41"/>
      <c r="CZ79" s="69"/>
      <c r="DA79" s="41"/>
      <c r="DB79" s="41"/>
      <c r="DC79" s="68"/>
      <c r="DD79" s="41"/>
      <c r="DE79" s="41"/>
      <c r="DF79" s="69"/>
      <c r="DG79" s="41"/>
      <c r="DH79" s="86"/>
      <c r="DI79" s="69">
        <v>0</v>
      </c>
      <c r="DJ79" s="46"/>
      <c r="DK79" s="41"/>
      <c r="DL79" s="68">
        <v>0</v>
      </c>
    </row>
    <row r="80" spans="1:116">
      <c r="A80" s="53" t="s">
        <v>301</v>
      </c>
      <c r="B80" s="40">
        <v>2</v>
      </c>
      <c r="C80" s="55" t="s">
        <v>246</v>
      </c>
      <c r="D80" s="54" t="s">
        <v>229</v>
      </c>
      <c r="E80" s="54">
        <v>7</v>
      </c>
      <c r="F80" s="59">
        <v>9.5165319999999998</v>
      </c>
      <c r="G80" s="68">
        <f t="shared" si="1"/>
        <v>0</v>
      </c>
      <c r="H80" s="47">
        <v>9.5165319999999998</v>
      </c>
      <c r="I80" s="69">
        <v>0</v>
      </c>
      <c r="J80" s="41"/>
      <c r="K80" s="41"/>
      <c r="L80" s="41"/>
      <c r="M80" s="69"/>
      <c r="N80" s="41"/>
      <c r="O80" s="41"/>
      <c r="P80" s="41"/>
      <c r="Q80" s="68"/>
      <c r="R80" s="41"/>
      <c r="S80" s="41"/>
      <c r="T80" s="41"/>
      <c r="U80" s="69"/>
      <c r="V80" s="41"/>
      <c r="W80" s="41"/>
      <c r="X80" s="68"/>
      <c r="Y80" s="41"/>
      <c r="Z80" s="41"/>
      <c r="AA80" s="41"/>
      <c r="AB80" s="69"/>
      <c r="AC80" s="41"/>
      <c r="AD80" s="41"/>
      <c r="AE80" s="41"/>
      <c r="AF80" s="68"/>
      <c r="AG80" s="41"/>
      <c r="AH80" s="41"/>
      <c r="AI80" s="41"/>
      <c r="AJ80" s="41"/>
      <c r="AK80" s="69"/>
      <c r="AL80" s="46"/>
      <c r="AM80" s="41"/>
      <c r="AN80" s="41"/>
      <c r="AO80" s="68"/>
      <c r="AP80" s="41"/>
      <c r="AQ80" s="41"/>
      <c r="AR80" s="69"/>
      <c r="AS80" s="46"/>
      <c r="AT80" s="41"/>
      <c r="AU80" s="68"/>
      <c r="AV80" s="41"/>
      <c r="AW80" s="41"/>
      <c r="AX80" s="69"/>
      <c r="AY80" s="41"/>
      <c r="AZ80" s="41"/>
      <c r="BA80" s="68"/>
      <c r="BB80" s="41"/>
      <c r="BC80" s="41"/>
      <c r="BD80" s="69"/>
      <c r="BE80" s="46"/>
      <c r="BF80" s="41"/>
      <c r="BG80" s="68"/>
      <c r="BH80" s="41"/>
      <c r="BI80" s="41"/>
      <c r="BJ80" s="69"/>
      <c r="BK80" s="46"/>
      <c r="BL80" s="41"/>
      <c r="BM80" s="68"/>
      <c r="BN80" s="41"/>
      <c r="BO80" s="41"/>
      <c r="BP80" s="69"/>
      <c r="BQ80" s="41"/>
      <c r="BR80" s="41"/>
      <c r="BS80" s="68"/>
      <c r="BT80" s="41"/>
      <c r="BU80" s="41"/>
      <c r="BV80" s="69"/>
      <c r="BW80" s="46"/>
      <c r="BX80" s="41"/>
      <c r="BY80" s="68"/>
      <c r="BZ80" s="41"/>
      <c r="CA80" s="41"/>
      <c r="CB80" s="69"/>
      <c r="CC80" s="46"/>
      <c r="CD80" s="41"/>
      <c r="CE80" s="68"/>
      <c r="CF80" s="41"/>
      <c r="CG80" s="41"/>
      <c r="CH80" s="69"/>
      <c r="CI80" s="41"/>
      <c r="CJ80" s="41"/>
      <c r="CK80" s="68"/>
      <c r="CL80" s="41"/>
      <c r="CM80" s="41"/>
      <c r="CN80" s="69"/>
      <c r="CO80" s="41"/>
      <c r="CP80" s="41"/>
      <c r="CQ80" s="68"/>
      <c r="CR80" s="41"/>
      <c r="CS80" s="41"/>
      <c r="CT80" s="69"/>
      <c r="CU80" s="41"/>
      <c r="CV80" s="41"/>
      <c r="CW80" s="68"/>
      <c r="CX80" s="41"/>
      <c r="CY80" s="41"/>
      <c r="CZ80" s="69"/>
      <c r="DA80" s="41"/>
      <c r="DB80" s="41"/>
      <c r="DC80" s="68"/>
      <c r="DD80" s="41"/>
      <c r="DE80" s="41"/>
      <c r="DF80" s="69"/>
      <c r="DG80" s="41"/>
      <c r="DH80" s="86"/>
      <c r="DI80" s="69">
        <v>0</v>
      </c>
      <c r="DJ80" s="46"/>
      <c r="DK80" s="41"/>
      <c r="DL80" s="68">
        <v>0</v>
      </c>
    </row>
    <row r="81" spans="1:116">
      <c r="A81" s="53" t="s">
        <v>301</v>
      </c>
      <c r="B81" s="40">
        <v>2</v>
      </c>
      <c r="C81" s="55" t="s">
        <v>246</v>
      </c>
      <c r="D81" s="54" t="s">
        <v>250</v>
      </c>
      <c r="E81" s="54">
        <v>7</v>
      </c>
      <c r="F81" s="59">
        <v>6.3957740000000003</v>
      </c>
      <c r="G81" s="68">
        <f t="shared" si="1"/>
        <v>0</v>
      </c>
      <c r="H81" s="47">
        <v>6.3957740000000003</v>
      </c>
      <c r="I81" s="69">
        <v>0</v>
      </c>
      <c r="J81" s="41"/>
      <c r="K81" s="41"/>
      <c r="L81" s="41"/>
      <c r="M81" s="69"/>
      <c r="N81" s="41"/>
      <c r="O81" s="41"/>
      <c r="P81" s="41"/>
      <c r="Q81" s="68"/>
      <c r="R81" s="41"/>
      <c r="S81" s="41"/>
      <c r="T81" s="41"/>
      <c r="U81" s="69"/>
      <c r="V81" s="41"/>
      <c r="W81" s="41"/>
      <c r="X81" s="68"/>
      <c r="Y81" s="41"/>
      <c r="Z81" s="41"/>
      <c r="AA81" s="41"/>
      <c r="AB81" s="69"/>
      <c r="AC81" s="41"/>
      <c r="AD81" s="41"/>
      <c r="AE81" s="41"/>
      <c r="AF81" s="68"/>
      <c r="AG81" s="41"/>
      <c r="AH81" s="41"/>
      <c r="AI81" s="41"/>
      <c r="AJ81" s="41"/>
      <c r="AK81" s="69"/>
      <c r="AL81" s="46"/>
      <c r="AM81" s="41"/>
      <c r="AN81" s="41"/>
      <c r="AO81" s="68"/>
      <c r="AP81" s="41"/>
      <c r="AQ81" s="41"/>
      <c r="AR81" s="69"/>
      <c r="AS81" s="46"/>
      <c r="AT81" s="41"/>
      <c r="AU81" s="68"/>
      <c r="AV81" s="41"/>
      <c r="AW81" s="41"/>
      <c r="AX81" s="69"/>
      <c r="AY81" s="41"/>
      <c r="AZ81" s="41"/>
      <c r="BA81" s="68"/>
      <c r="BB81" s="41"/>
      <c r="BC81" s="41"/>
      <c r="BD81" s="69"/>
      <c r="BE81" s="46"/>
      <c r="BF81" s="41"/>
      <c r="BG81" s="68"/>
      <c r="BH81" s="41"/>
      <c r="BI81" s="41"/>
      <c r="BJ81" s="69"/>
      <c r="BK81" s="46"/>
      <c r="BL81" s="41"/>
      <c r="BM81" s="68"/>
      <c r="BN81" s="41"/>
      <c r="BO81" s="41"/>
      <c r="BP81" s="69"/>
      <c r="BQ81" s="41"/>
      <c r="BR81" s="41"/>
      <c r="BS81" s="68"/>
      <c r="BT81" s="41"/>
      <c r="BU81" s="41"/>
      <c r="BV81" s="69"/>
      <c r="BW81" s="46"/>
      <c r="BX81" s="41"/>
      <c r="BY81" s="68"/>
      <c r="BZ81" s="41"/>
      <c r="CA81" s="41"/>
      <c r="CB81" s="69"/>
      <c r="CC81" s="46"/>
      <c r="CD81" s="41"/>
      <c r="CE81" s="68"/>
      <c r="CF81" s="41"/>
      <c r="CG81" s="41"/>
      <c r="CH81" s="69"/>
      <c r="CI81" s="41"/>
      <c r="CJ81" s="41"/>
      <c r="CK81" s="68"/>
      <c r="CL81" s="41"/>
      <c r="CM81" s="41"/>
      <c r="CN81" s="69"/>
      <c r="CO81" s="41"/>
      <c r="CP81" s="41"/>
      <c r="CQ81" s="68"/>
      <c r="CR81" s="41"/>
      <c r="CS81" s="41"/>
      <c r="CT81" s="69"/>
      <c r="CU81" s="41"/>
      <c r="CV81" s="41"/>
      <c r="CW81" s="68"/>
      <c r="CX81" s="41"/>
      <c r="CY81" s="41"/>
      <c r="CZ81" s="69"/>
      <c r="DA81" s="41"/>
      <c r="DB81" s="41"/>
      <c r="DC81" s="68"/>
      <c r="DD81" s="41"/>
      <c r="DE81" s="41"/>
      <c r="DF81" s="69"/>
      <c r="DG81" s="41"/>
      <c r="DH81" s="86"/>
      <c r="DI81" s="69">
        <v>0</v>
      </c>
      <c r="DJ81" s="46"/>
      <c r="DK81" s="41"/>
      <c r="DL81" s="68">
        <v>0</v>
      </c>
    </row>
    <row r="82" spans="1:116">
      <c r="A82" s="53" t="s">
        <v>301</v>
      </c>
      <c r="B82" s="40">
        <v>2</v>
      </c>
      <c r="C82" s="55" t="s">
        <v>246</v>
      </c>
      <c r="D82" s="54" t="s">
        <v>231</v>
      </c>
      <c r="E82" s="54">
        <v>7</v>
      </c>
      <c r="F82" s="59">
        <v>2.8059600000000002</v>
      </c>
      <c r="G82" s="68">
        <f t="shared" si="1"/>
        <v>0</v>
      </c>
      <c r="H82" s="47">
        <v>2.8059600000000002</v>
      </c>
      <c r="I82" s="69">
        <v>0</v>
      </c>
      <c r="J82" s="41"/>
      <c r="K82" s="41"/>
      <c r="L82" s="41"/>
      <c r="M82" s="69"/>
      <c r="N82" s="41"/>
      <c r="O82" s="41"/>
      <c r="P82" s="41"/>
      <c r="Q82" s="68"/>
      <c r="R82" s="41"/>
      <c r="S82" s="41"/>
      <c r="T82" s="41"/>
      <c r="U82" s="69"/>
      <c r="V82" s="41"/>
      <c r="W82" s="41"/>
      <c r="X82" s="68"/>
      <c r="Y82" s="41"/>
      <c r="Z82" s="41"/>
      <c r="AA82" s="41"/>
      <c r="AB82" s="69"/>
      <c r="AC82" s="41"/>
      <c r="AD82" s="41"/>
      <c r="AE82" s="41"/>
      <c r="AF82" s="68"/>
      <c r="AG82" s="41"/>
      <c r="AH82" s="41"/>
      <c r="AI82" s="41"/>
      <c r="AJ82" s="41"/>
      <c r="AK82" s="69"/>
      <c r="AL82" s="46"/>
      <c r="AM82" s="41"/>
      <c r="AN82" s="41"/>
      <c r="AO82" s="68"/>
      <c r="AP82" s="41"/>
      <c r="AQ82" s="41"/>
      <c r="AR82" s="69"/>
      <c r="AS82" s="46"/>
      <c r="AT82" s="41"/>
      <c r="AU82" s="68"/>
      <c r="AV82" s="41"/>
      <c r="AW82" s="41"/>
      <c r="AX82" s="69"/>
      <c r="AY82" s="41"/>
      <c r="AZ82" s="41"/>
      <c r="BA82" s="68"/>
      <c r="BB82" s="41"/>
      <c r="BC82" s="41"/>
      <c r="BD82" s="69"/>
      <c r="BE82" s="46"/>
      <c r="BF82" s="41"/>
      <c r="BG82" s="68"/>
      <c r="BH82" s="41"/>
      <c r="BI82" s="41"/>
      <c r="BJ82" s="69"/>
      <c r="BK82" s="46"/>
      <c r="BL82" s="41"/>
      <c r="BM82" s="68"/>
      <c r="BN82" s="41"/>
      <c r="BO82" s="41"/>
      <c r="BP82" s="69"/>
      <c r="BQ82" s="41"/>
      <c r="BR82" s="41"/>
      <c r="BS82" s="68"/>
      <c r="BT82" s="41"/>
      <c r="BU82" s="41"/>
      <c r="BV82" s="69"/>
      <c r="BW82" s="46"/>
      <c r="BX82" s="41"/>
      <c r="BY82" s="68"/>
      <c r="BZ82" s="41"/>
      <c r="CA82" s="41"/>
      <c r="CB82" s="69"/>
      <c r="CC82" s="46"/>
      <c r="CD82" s="41"/>
      <c r="CE82" s="68"/>
      <c r="CF82" s="41"/>
      <c r="CG82" s="41"/>
      <c r="CH82" s="69"/>
      <c r="CI82" s="41"/>
      <c r="CJ82" s="41"/>
      <c r="CK82" s="68"/>
      <c r="CL82" s="41"/>
      <c r="CM82" s="41"/>
      <c r="CN82" s="69"/>
      <c r="CO82" s="41"/>
      <c r="CP82" s="41"/>
      <c r="CQ82" s="68"/>
      <c r="CR82" s="41"/>
      <c r="CS82" s="41"/>
      <c r="CT82" s="69"/>
      <c r="CU82" s="41"/>
      <c r="CV82" s="41"/>
      <c r="CW82" s="68"/>
      <c r="CX82" s="41"/>
      <c r="CY82" s="41"/>
      <c r="CZ82" s="69"/>
      <c r="DA82" s="41"/>
      <c r="DB82" s="41"/>
      <c r="DC82" s="68"/>
      <c r="DD82" s="41"/>
      <c r="DE82" s="41"/>
      <c r="DF82" s="69"/>
      <c r="DG82" s="41"/>
      <c r="DH82" s="86"/>
      <c r="DI82" s="69">
        <v>0</v>
      </c>
      <c r="DJ82" s="46"/>
      <c r="DK82" s="41"/>
      <c r="DL82" s="68">
        <v>0</v>
      </c>
    </row>
    <row r="83" spans="1:116">
      <c r="A83" s="53" t="s">
        <v>301</v>
      </c>
      <c r="B83" s="40">
        <v>2</v>
      </c>
      <c r="C83" s="55" t="s">
        <v>246</v>
      </c>
      <c r="D83" s="54" t="s">
        <v>232</v>
      </c>
      <c r="E83" s="54">
        <v>7</v>
      </c>
      <c r="F83" s="59">
        <v>9.5639959999999995</v>
      </c>
      <c r="G83" s="68">
        <f t="shared" si="1"/>
        <v>0</v>
      </c>
      <c r="H83" s="47">
        <v>9.5639959999999995</v>
      </c>
      <c r="I83" s="69">
        <v>0</v>
      </c>
      <c r="J83" s="41"/>
      <c r="K83" s="41"/>
      <c r="L83" s="41"/>
      <c r="M83" s="69"/>
      <c r="N83" s="41"/>
      <c r="O83" s="41"/>
      <c r="P83" s="41"/>
      <c r="Q83" s="68"/>
      <c r="R83" s="41"/>
      <c r="S83" s="41"/>
      <c r="T83" s="41"/>
      <c r="U83" s="69"/>
      <c r="V83" s="41"/>
      <c r="W83" s="41"/>
      <c r="X83" s="68"/>
      <c r="Y83" s="41"/>
      <c r="Z83" s="41"/>
      <c r="AA83" s="41"/>
      <c r="AB83" s="69"/>
      <c r="AC83" s="41"/>
      <c r="AD83" s="41"/>
      <c r="AE83" s="41"/>
      <c r="AF83" s="68"/>
      <c r="AG83" s="41"/>
      <c r="AH83" s="41"/>
      <c r="AI83" s="41"/>
      <c r="AJ83" s="41"/>
      <c r="AK83" s="69"/>
      <c r="AL83" s="46"/>
      <c r="AM83" s="41"/>
      <c r="AN83" s="41"/>
      <c r="AO83" s="68"/>
      <c r="AP83" s="41"/>
      <c r="AQ83" s="41"/>
      <c r="AR83" s="69"/>
      <c r="AS83" s="46"/>
      <c r="AT83" s="41"/>
      <c r="AU83" s="68"/>
      <c r="AV83" s="41"/>
      <c r="AW83" s="41"/>
      <c r="AX83" s="69"/>
      <c r="AY83" s="41"/>
      <c r="AZ83" s="41"/>
      <c r="BA83" s="68"/>
      <c r="BB83" s="41"/>
      <c r="BC83" s="41"/>
      <c r="BD83" s="69"/>
      <c r="BE83" s="46"/>
      <c r="BF83" s="41"/>
      <c r="BG83" s="68"/>
      <c r="BH83" s="41"/>
      <c r="BI83" s="41"/>
      <c r="BJ83" s="69"/>
      <c r="BK83" s="46"/>
      <c r="BL83" s="41"/>
      <c r="BM83" s="68"/>
      <c r="BN83" s="41"/>
      <c r="BO83" s="41"/>
      <c r="BP83" s="69"/>
      <c r="BQ83" s="41"/>
      <c r="BR83" s="41"/>
      <c r="BS83" s="68"/>
      <c r="BT83" s="41"/>
      <c r="BU83" s="41"/>
      <c r="BV83" s="69"/>
      <c r="BW83" s="46"/>
      <c r="BX83" s="41"/>
      <c r="BY83" s="68"/>
      <c r="BZ83" s="41"/>
      <c r="CA83" s="41"/>
      <c r="CB83" s="69"/>
      <c r="CC83" s="46"/>
      <c r="CD83" s="41"/>
      <c r="CE83" s="68"/>
      <c r="CF83" s="41"/>
      <c r="CG83" s="41"/>
      <c r="CH83" s="69"/>
      <c r="CI83" s="41"/>
      <c r="CJ83" s="41"/>
      <c r="CK83" s="68"/>
      <c r="CL83" s="41"/>
      <c r="CM83" s="41"/>
      <c r="CN83" s="69"/>
      <c r="CO83" s="41"/>
      <c r="CP83" s="41"/>
      <c r="CQ83" s="68"/>
      <c r="CR83" s="41"/>
      <c r="CS83" s="41"/>
      <c r="CT83" s="69"/>
      <c r="CU83" s="41"/>
      <c r="CV83" s="41"/>
      <c r="CW83" s="68"/>
      <c r="CX83" s="41"/>
      <c r="CY83" s="41"/>
      <c r="CZ83" s="69"/>
      <c r="DA83" s="41"/>
      <c r="DB83" s="41"/>
      <c r="DC83" s="68"/>
      <c r="DD83" s="41"/>
      <c r="DE83" s="41"/>
      <c r="DF83" s="69"/>
      <c r="DG83" s="41"/>
      <c r="DH83" s="86"/>
      <c r="DI83" s="69">
        <v>0</v>
      </c>
      <c r="DJ83" s="46"/>
      <c r="DK83" s="41"/>
      <c r="DL83" s="68">
        <v>0</v>
      </c>
    </row>
    <row r="84" spans="1:116">
      <c r="A84" s="53" t="s">
        <v>301</v>
      </c>
      <c r="B84" s="40">
        <v>2</v>
      </c>
      <c r="C84" s="55" t="s">
        <v>246</v>
      </c>
      <c r="D84" s="54" t="s">
        <v>233</v>
      </c>
      <c r="E84" s="54">
        <v>7</v>
      </c>
      <c r="F84" s="59">
        <v>11.403226</v>
      </c>
      <c r="G84" s="68">
        <f t="shared" si="1"/>
        <v>0</v>
      </c>
      <c r="H84" s="47">
        <v>11.403226</v>
      </c>
      <c r="I84" s="69">
        <v>0</v>
      </c>
      <c r="J84" s="41"/>
      <c r="K84" s="41"/>
      <c r="L84" s="41"/>
      <c r="M84" s="69"/>
      <c r="N84" s="41"/>
      <c r="O84" s="41"/>
      <c r="P84" s="41"/>
      <c r="Q84" s="68"/>
      <c r="R84" s="41"/>
      <c r="S84" s="41"/>
      <c r="T84" s="41"/>
      <c r="U84" s="69"/>
      <c r="V84" s="41"/>
      <c r="W84" s="41"/>
      <c r="X84" s="68"/>
      <c r="Y84" s="41"/>
      <c r="Z84" s="41"/>
      <c r="AA84" s="41"/>
      <c r="AB84" s="69"/>
      <c r="AC84" s="41"/>
      <c r="AD84" s="41"/>
      <c r="AE84" s="41"/>
      <c r="AF84" s="68"/>
      <c r="AG84" s="41"/>
      <c r="AH84" s="41"/>
      <c r="AI84" s="41"/>
      <c r="AJ84" s="41"/>
      <c r="AK84" s="69"/>
      <c r="AL84" s="46"/>
      <c r="AM84" s="41"/>
      <c r="AN84" s="41"/>
      <c r="AO84" s="68"/>
      <c r="AP84" s="41"/>
      <c r="AQ84" s="41"/>
      <c r="AR84" s="69"/>
      <c r="AS84" s="46"/>
      <c r="AT84" s="41"/>
      <c r="AU84" s="68"/>
      <c r="AV84" s="41"/>
      <c r="AW84" s="41"/>
      <c r="AX84" s="69"/>
      <c r="AY84" s="41"/>
      <c r="AZ84" s="41"/>
      <c r="BA84" s="68"/>
      <c r="BB84" s="41"/>
      <c r="BC84" s="41"/>
      <c r="BD84" s="69"/>
      <c r="BE84" s="46"/>
      <c r="BF84" s="41"/>
      <c r="BG84" s="68"/>
      <c r="BH84" s="41"/>
      <c r="BI84" s="41"/>
      <c r="BJ84" s="69"/>
      <c r="BK84" s="46"/>
      <c r="BL84" s="41"/>
      <c r="BM84" s="68"/>
      <c r="BN84" s="41"/>
      <c r="BO84" s="41"/>
      <c r="BP84" s="69"/>
      <c r="BQ84" s="41"/>
      <c r="BR84" s="41"/>
      <c r="BS84" s="68"/>
      <c r="BT84" s="41"/>
      <c r="BU84" s="41"/>
      <c r="BV84" s="69"/>
      <c r="BW84" s="46"/>
      <c r="BX84" s="41"/>
      <c r="BY84" s="68"/>
      <c r="BZ84" s="41"/>
      <c r="CA84" s="41"/>
      <c r="CB84" s="69"/>
      <c r="CC84" s="46"/>
      <c r="CD84" s="41"/>
      <c r="CE84" s="68"/>
      <c r="CF84" s="41"/>
      <c r="CG84" s="41"/>
      <c r="CH84" s="69"/>
      <c r="CI84" s="41"/>
      <c r="CJ84" s="41"/>
      <c r="CK84" s="68"/>
      <c r="CL84" s="41"/>
      <c r="CM84" s="41"/>
      <c r="CN84" s="69"/>
      <c r="CO84" s="41"/>
      <c r="CP84" s="41"/>
      <c r="CQ84" s="68"/>
      <c r="CR84" s="41"/>
      <c r="CS84" s="41"/>
      <c r="CT84" s="69"/>
      <c r="CU84" s="41"/>
      <c r="CV84" s="41"/>
      <c r="CW84" s="68"/>
      <c r="CX84" s="41"/>
      <c r="CY84" s="41"/>
      <c r="CZ84" s="69"/>
      <c r="DA84" s="41"/>
      <c r="DB84" s="41"/>
      <c r="DC84" s="68"/>
      <c r="DD84" s="41"/>
      <c r="DE84" s="41"/>
      <c r="DF84" s="69"/>
      <c r="DG84" s="41"/>
      <c r="DH84" s="86"/>
      <c r="DI84" s="69">
        <v>0</v>
      </c>
      <c r="DJ84" s="46"/>
      <c r="DK84" s="41"/>
      <c r="DL84" s="68">
        <v>0</v>
      </c>
    </row>
    <row r="85" spans="1:116">
      <c r="A85" s="53" t="s">
        <v>301</v>
      </c>
      <c r="B85" s="40">
        <v>2</v>
      </c>
      <c r="C85" s="55" t="s">
        <v>246</v>
      </c>
      <c r="D85" s="54" t="s">
        <v>251</v>
      </c>
      <c r="E85" s="54">
        <v>7</v>
      </c>
      <c r="F85" s="59">
        <v>6.3957740000000003</v>
      </c>
      <c r="G85" s="68">
        <f t="shared" si="1"/>
        <v>0</v>
      </c>
      <c r="H85" s="47">
        <v>6.3957740000000003</v>
      </c>
      <c r="I85" s="69">
        <v>0</v>
      </c>
      <c r="J85" s="41"/>
      <c r="K85" s="41"/>
      <c r="L85" s="41"/>
      <c r="M85" s="69"/>
      <c r="N85" s="41"/>
      <c r="O85" s="41"/>
      <c r="P85" s="41"/>
      <c r="Q85" s="68"/>
      <c r="R85" s="41"/>
      <c r="S85" s="41"/>
      <c r="T85" s="41"/>
      <c r="U85" s="69"/>
      <c r="V85" s="41"/>
      <c r="W85" s="41"/>
      <c r="X85" s="68"/>
      <c r="Y85" s="41"/>
      <c r="Z85" s="41"/>
      <c r="AA85" s="41"/>
      <c r="AB85" s="69"/>
      <c r="AC85" s="41"/>
      <c r="AD85" s="41"/>
      <c r="AE85" s="41"/>
      <c r="AF85" s="68"/>
      <c r="AG85" s="41"/>
      <c r="AH85" s="41"/>
      <c r="AI85" s="41"/>
      <c r="AJ85" s="41"/>
      <c r="AK85" s="69"/>
      <c r="AL85" s="46"/>
      <c r="AM85" s="41"/>
      <c r="AN85" s="41"/>
      <c r="AO85" s="68"/>
      <c r="AP85" s="41"/>
      <c r="AQ85" s="41"/>
      <c r="AR85" s="69"/>
      <c r="AS85" s="46"/>
      <c r="AT85" s="41"/>
      <c r="AU85" s="68"/>
      <c r="AV85" s="41"/>
      <c r="AW85" s="41"/>
      <c r="AX85" s="69"/>
      <c r="AY85" s="41"/>
      <c r="AZ85" s="41"/>
      <c r="BA85" s="68"/>
      <c r="BB85" s="41"/>
      <c r="BC85" s="41"/>
      <c r="BD85" s="69"/>
      <c r="BE85" s="46"/>
      <c r="BF85" s="41"/>
      <c r="BG85" s="68"/>
      <c r="BH85" s="41"/>
      <c r="BI85" s="41"/>
      <c r="BJ85" s="69"/>
      <c r="BK85" s="46"/>
      <c r="BL85" s="41"/>
      <c r="BM85" s="68"/>
      <c r="BN85" s="41"/>
      <c r="BO85" s="41"/>
      <c r="BP85" s="69"/>
      <c r="BQ85" s="41"/>
      <c r="BR85" s="41"/>
      <c r="BS85" s="68"/>
      <c r="BT85" s="41"/>
      <c r="BU85" s="41"/>
      <c r="BV85" s="69"/>
      <c r="BW85" s="46"/>
      <c r="BX85" s="41"/>
      <c r="BY85" s="68"/>
      <c r="BZ85" s="41"/>
      <c r="CA85" s="41"/>
      <c r="CB85" s="69"/>
      <c r="CC85" s="46"/>
      <c r="CD85" s="41"/>
      <c r="CE85" s="68"/>
      <c r="CF85" s="41"/>
      <c r="CG85" s="41"/>
      <c r="CH85" s="69"/>
      <c r="CI85" s="41"/>
      <c r="CJ85" s="41"/>
      <c r="CK85" s="68"/>
      <c r="CL85" s="41"/>
      <c r="CM85" s="41"/>
      <c r="CN85" s="69"/>
      <c r="CO85" s="41"/>
      <c r="CP85" s="41"/>
      <c r="CQ85" s="68"/>
      <c r="CR85" s="41"/>
      <c r="CS85" s="41"/>
      <c r="CT85" s="69"/>
      <c r="CU85" s="41"/>
      <c r="CV85" s="41"/>
      <c r="CW85" s="68"/>
      <c r="CX85" s="41"/>
      <c r="CY85" s="41"/>
      <c r="CZ85" s="69"/>
      <c r="DA85" s="41"/>
      <c r="DB85" s="41"/>
      <c r="DC85" s="68"/>
      <c r="DD85" s="41"/>
      <c r="DE85" s="41"/>
      <c r="DF85" s="69"/>
      <c r="DG85" s="41"/>
      <c r="DH85" s="86"/>
      <c r="DI85" s="69">
        <v>0</v>
      </c>
      <c r="DJ85" s="46"/>
      <c r="DK85" s="41"/>
      <c r="DL85" s="68">
        <v>0</v>
      </c>
    </row>
    <row r="86" spans="1:116">
      <c r="A86" s="53" t="s">
        <v>301</v>
      </c>
      <c r="B86" s="40">
        <v>2</v>
      </c>
      <c r="C86" s="55" t="s">
        <v>246</v>
      </c>
      <c r="D86" s="54" t="s">
        <v>252</v>
      </c>
      <c r="E86" s="54">
        <v>7</v>
      </c>
      <c r="F86" s="59">
        <v>6.3245779999999998</v>
      </c>
      <c r="G86" s="68">
        <f t="shared" si="1"/>
        <v>0</v>
      </c>
      <c r="H86" s="47">
        <v>6.3245779999999998</v>
      </c>
      <c r="I86" s="69">
        <v>0</v>
      </c>
      <c r="J86" s="41"/>
      <c r="K86" s="41"/>
      <c r="L86" s="41"/>
      <c r="M86" s="69"/>
      <c r="N86" s="41"/>
      <c r="O86" s="41"/>
      <c r="P86" s="41"/>
      <c r="Q86" s="68"/>
      <c r="R86" s="41"/>
      <c r="S86" s="41"/>
      <c r="T86" s="41"/>
      <c r="U86" s="69"/>
      <c r="V86" s="41"/>
      <c r="W86" s="41"/>
      <c r="X86" s="68"/>
      <c r="Y86" s="41"/>
      <c r="Z86" s="41"/>
      <c r="AA86" s="41"/>
      <c r="AB86" s="69"/>
      <c r="AC86" s="41"/>
      <c r="AD86" s="41"/>
      <c r="AE86" s="41"/>
      <c r="AF86" s="68"/>
      <c r="AG86" s="41"/>
      <c r="AH86" s="41"/>
      <c r="AI86" s="41"/>
      <c r="AJ86" s="41"/>
      <c r="AK86" s="69"/>
      <c r="AL86" s="46"/>
      <c r="AM86" s="41"/>
      <c r="AN86" s="41"/>
      <c r="AO86" s="68"/>
      <c r="AP86" s="41"/>
      <c r="AQ86" s="41"/>
      <c r="AR86" s="69"/>
      <c r="AS86" s="46"/>
      <c r="AT86" s="41"/>
      <c r="AU86" s="68"/>
      <c r="AV86" s="41"/>
      <c r="AW86" s="41"/>
      <c r="AX86" s="69"/>
      <c r="AY86" s="41"/>
      <c r="AZ86" s="41"/>
      <c r="BA86" s="68"/>
      <c r="BB86" s="41"/>
      <c r="BC86" s="41"/>
      <c r="BD86" s="69"/>
      <c r="BE86" s="46"/>
      <c r="BF86" s="41"/>
      <c r="BG86" s="68"/>
      <c r="BH86" s="41"/>
      <c r="BI86" s="41"/>
      <c r="BJ86" s="69"/>
      <c r="BK86" s="46"/>
      <c r="BL86" s="41"/>
      <c r="BM86" s="68"/>
      <c r="BN86" s="41"/>
      <c r="BO86" s="41"/>
      <c r="BP86" s="69"/>
      <c r="BQ86" s="41"/>
      <c r="BR86" s="41"/>
      <c r="BS86" s="68"/>
      <c r="BT86" s="41"/>
      <c r="BU86" s="41"/>
      <c r="BV86" s="69"/>
      <c r="BW86" s="46"/>
      <c r="BX86" s="41"/>
      <c r="BY86" s="68"/>
      <c r="BZ86" s="41"/>
      <c r="CA86" s="41"/>
      <c r="CB86" s="69"/>
      <c r="CC86" s="46"/>
      <c r="CD86" s="41"/>
      <c r="CE86" s="68"/>
      <c r="CF86" s="41"/>
      <c r="CG86" s="41"/>
      <c r="CH86" s="69"/>
      <c r="CI86" s="41"/>
      <c r="CJ86" s="41"/>
      <c r="CK86" s="68"/>
      <c r="CL86" s="41"/>
      <c r="CM86" s="41"/>
      <c r="CN86" s="69"/>
      <c r="CO86" s="41"/>
      <c r="CP86" s="41"/>
      <c r="CQ86" s="68"/>
      <c r="CR86" s="41"/>
      <c r="CS86" s="41"/>
      <c r="CT86" s="69"/>
      <c r="CU86" s="41"/>
      <c r="CV86" s="41"/>
      <c r="CW86" s="68"/>
      <c r="CX86" s="41"/>
      <c r="CY86" s="41"/>
      <c r="CZ86" s="69"/>
      <c r="DA86" s="41"/>
      <c r="DB86" s="41"/>
      <c r="DC86" s="68"/>
      <c r="DD86" s="41"/>
      <c r="DE86" s="41"/>
      <c r="DF86" s="69"/>
      <c r="DG86" s="41"/>
      <c r="DH86" s="86"/>
      <c r="DI86" s="69">
        <v>0</v>
      </c>
      <c r="DJ86" s="46"/>
      <c r="DK86" s="41"/>
      <c r="DL86" s="68">
        <v>0</v>
      </c>
    </row>
    <row r="87" spans="1:116">
      <c r="A87" s="53" t="s">
        <v>301</v>
      </c>
      <c r="B87" s="40">
        <v>2</v>
      </c>
      <c r="C87" s="55" t="s">
        <v>246</v>
      </c>
      <c r="D87" s="54" t="s">
        <v>215</v>
      </c>
      <c r="E87" s="54">
        <v>7</v>
      </c>
      <c r="F87" s="59">
        <v>6.241515999999999</v>
      </c>
      <c r="G87" s="68">
        <f t="shared" si="1"/>
        <v>0</v>
      </c>
      <c r="H87" s="47">
        <v>6.241515999999999</v>
      </c>
      <c r="I87" s="69">
        <v>0</v>
      </c>
      <c r="J87" s="41"/>
      <c r="K87" s="41"/>
      <c r="L87" s="41"/>
      <c r="M87" s="69"/>
      <c r="N87" s="41"/>
      <c r="O87" s="41"/>
      <c r="P87" s="41"/>
      <c r="Q87" s="68"/>
      <c r="R87" s="41"/>
      <c r="S87" s="41"/>
      <c r="T87" s="41"/>
      <c r="U87" s="69"/>
      <c r="V87" s="41"/>
      <c r="W87" s="41"/>
      <c r="X87" s="68"/>
      <c r="Y87" s="41"/>
      <c r="Z87" s="41"/>
      <c r="AA87" s="41"/>
      <c r="AB87" s="69"/>
      <c r="AC87" s="41"/>
      <c r="AD87" s="41"/>
      <c r="AE87" s="41"/>
      <c r="AF87" s="68"/>
      <c r="AG87" s="41"/>
      <c r="AH87" s="41"/>
      <c r="AI87" s="41"/>
      <c r="AJ87" s="41"/>
      <c r="AK87" s="69"/>
      <c r="AL87" s="46"/>
      <c r="AM87" s="41"/>
      <c r="AN87" s="41"/>
      <c r="AO87" s="68"/>
      <c r="AP87" s="41"/>
      <c r="AQ87" s="41"/>
      <c r="AR87" s="69"/>
      <c r="AS87" s="46"/>
      <c r="AT87" s="41"/>
      <c r="AU87" s="68"/>
      <c r="AV87" s="41"/>
      <c r="AW87" s="41"/>
      <c r="AX87" s="69"/>
      <c r="AY87" s="41"/>
      <c r="AZ87" s="41"/>
      <c r="BA87" s="68"/>
      <c r="BB87" s="41"/>
      <c r="BC87" s="41"/>
      <c r="BD87" s="69"/>
      <c r="BE87" s="46"/>
      <c r="BF87" s="41"/>
      <c r="BG87" s="68"/>
      <c r="BH87" s="41"/>
      <c r="BI87" s="41"/>
      <c r="BJ87" s="69"/>
      <c r="BK87" s="46"/>
      <c r="BL87" s="41"/>
      <c r="BM87" s="68"/>
      <c r="BN87" s="41"/>
      <c r="BO87" s="41"/>
      <c r="BP87" s="69"/>
      <c r="BQ87" s="41"/>
      <c r="BR87" s="41"/>
      <c r="BS87" s="68"/>
      <c r="BT87" s="41"/>
      <c r="BU87" s="41"/>
      <c r="BV87" s="69"/>
      <c r="BW87" s="46"/>
      <c r="BX87" s="41"/>
      <c r="BY87" s="68"/>
      <c r="BZ87" s="41"/>
      <c r="CA87" s="41"/>
      <c r="CB87" s="69"/>
      <c r="CC87" s="46"/>
      <c r="CD87" s="41"/>
      <c r="CE87" s="68"/>
      <c r="CF87" s="41"/>
      <c r="CG87" s="41"/>
      <c r="CH87" s="69"/>
      <c r="CI87" s="41"/>
      <c r="CJ87" s="41"/>
      <c r="CK87" s="68"/>
      <c r="CL87" s="41"/>
      <c r="CM87" s="41"/>
      <c r="CN87" s="69"/>
      <c r="CO87" s="41"/>
      <c r="CP87" s="41"/>
      <c r="CQ87" s="68"/>
      <c r="CR87" s="41"/>
      <c r="CS87" s="41"/>
      <c r="CT87" s="69"/>
      <c r="CU87" s="41"/>
      <c r="CV87" s="41"/>
      <c r="CW87" s="68"/>
      <c r="CX87" s="41"/>
      <c r="CY87" s="41"/>
      <c r="CZ87" s="69"/>
      <c r="DA87" s="41"/>
      <c r="DB87" s="41"/>
      <c r="DC87" s="68"/>
      <c r="DD87" s="41"/>
      <c r="DE87" s="41"/>
      <c r="DF87" s="69"/>
      <c r="DG87" s="41"/>
      <c r="DH87" s="86"/>
      <c r="DI87" s="69">
        <v>0</v>
      </c>
      <c r="DJ87" s="46"/>
      <c r="DK87" s="41"/>
      <c r="DL87" s="68">
        <v>0</v>
      </c>
    </row>
    <row r="88" spans="1:116">
      <c r="A88" s="53" t="s">
        <v>301</v>
      </c>
      <c r="B88" s="40">
        <v>2</v>
      </c>
      <c r="C88" s="55" t="s">
        <v>246</v>
      </c>
      <c r="D88" s="54" t="s">
        <v>234</v>
      </c>
      <c r="E88" s="54">
        <v>7</v>
      </c>
      <c r="F88" s="59">
        <v>10.477678000000001</v>
      </c>
      <c r="G88" s="68">
        <f t="shared" si="1"/>
        <v>0</v>
      </c>
      <c r="H88" s="47">
        <v>10.477678000000001</v>
      </c>
      <c r="I88" s="69">
        <v>0</v>
      </c>
      <c r="J88" s="41"/>
      <c r="K88" s="41"/>
      <c r="L88" s="41"/>
      <c r="M88" s="69"/>
      <c r="N88" s="41"/>
      <c r="O88" s="41"/>
      <c r="P88" s="41"/>
      <c r="Q88" s="68"/>
      <c r="R88" s="41"/>
      <c r="S88" s="41"/>
      <c r="T88" s="41"/>
      <c r="U88" s="69"/>
      <c r="V88" s="41"/>
      <c r="W88" s="41"/>
      <c r="X88" s="68"/>
      <c r="Y88" s="41"/>
      <c r="Z88" s="41"/>
      <c r="AA88" s="41"/>
      <c r="AB88" s="69"/>
      <c r="AC88" s="41"/>
      <c r="AD88" s="41"/>
      <c r="AE88" s="41"/>
      <c r="AF88" s="68"/>
      <c r="AG88" s="41"/>
      <c r="AH88" s="41"/>
      <c r="AI88" s="41"/>
      <c r="AJ88" s="41"/>
      <c r="AK88" s="69"/>
      <c r="AL88" s="46"/>
      <c r="AM88" s="41"/>
      <c r="AN88" s="41"/>
      <c r="AO88" s="68"/>
      <c r="AP88" s="41"/>
      <c r="AQ88" s="41"/>
      <c r="AR88" s="69"/>
      <c r="AS88" s="46"/>
      <c r="AT88" s="41"/>
      <c r="AU88" s="68"/>
      <c r="AV88" s="41"/>
      <c r="AW88" s="41"/>
      <c r="AX88" s="69"/>
      <c r="AY88" s="41"/>
      <c r="AZ88" s="41"/>
      <c r="BA88" s="68"/>
      <c r="BB88" s="41"/>
      <c r="BC88" s="41"/>
      <c r="BD88" s="69"/>
      <c r="BE88" s="46"/>
      <c r="BF88" s="41"/>
      <c r="BG88" s="68"/>
      <c r="BH88" s="41"/>
      <c r="BI88" s="41"/>
      <c r="BJ88" s="69"/>
      <c r="BK88" s="46"/>
      <c r="BL88" s="41"/>
      <c r="BM88" s="68"/>
      <c r="BN88" s="41"/>
      <c r="BO88" s="41"/>
      <c r="BP88" s="69"/>
      <c r="BQ88" s="41"/>
      <c r="BR88" s="41"/>
      <c r="BS88" s="68"/>
      <c r="BT88" s="41"/>
      <c r="BU88" s="41"/>
      <c r="BV88" s="69"/>
      <c r="BW88" s="46"/>
      <c r="BX88" s="41"/>
      <c r="BY88" s="68"/>
      <c r="BZ88" s="41"/>
      <c r="CA88" s="41"/>
      <c r="CB88" s="69"/>
      <c r="CC88" s="46"/>
      <c r="CD88" s="41"/>
      <c r="CE88" s="68"/>
      <c r="CF88" s="41"/>
      <c r="CG88" s="41"/>
      <c r="CH88" s="69"/>
      <c r="CI88" s="41"/>
      <c r="CJ88" s="41"/>
      <c r="CK88" s="68"/>
      <c r="CL88" s="41"/>
      <c r="CM88" s="41"/>
      <c r="CN88" s="69"/>
      <c r="CO88" s="41"/>
      <c r="CP88" s="41"/>
      <c r="CQ88" s="68"/>
      <c r="CR88" s="41"/>
      <c r="CS88" s="41"/>
      <c r="CT88" s="69"/>
      <c r="CU88" s="41"/>
      <c r="CV88" s="41"/>
      <c r="CW88" s="68"/>
      <c r="CX88" s="41"/>
      <c r="CY88" s="41"/>
      <c r="CZ88" s="69"/>
      <c r="DA88" s="41"/>
      <c r="DB88" s="41"/>
      <c r="DC88" s="68"/>
      <c r="DD88" s="41"/>
      <c r="DE88" s="41"/>
      <c r="DF88" s="69"/>
      <c r="DG88" s="41"/>
      <c r="DH88" s="86"/>
      <c r="DI88" s="69">
        <v>0</v>
      </c>
      <c r="DJ88" s="46"/>
      <c r="DK88" s="41"/>
      <c r="DL88" s="68">
        <v>0</v>
      </c>
    </row>
    <row r="89" spans="1:116">
      <c r="A89" s="53" t="s">
        <v>301</v>
      </c>
      <c r="B89" s="40">
        <v>2</v>
      </c>
      <c r="C89" s="55" t="s">
        <v>253</v>
      </c>
      <c r="D89" s="54" t="s">
        <v>224</v>
      </c>
      <c r="E89" s="54">
        <v>7</v>
      </c>
      <c r="F89" s="59">
        <v>37.579622000000001</v>
      </c>
      <c r="G89" s="68">
        <f t="shared" si="1"/>
        <v>95.060199999999995</v>
      </c>
      <c r="H89" s="47">
        <v>-57.480577999999994</v>
      </c>
      <c r="I89" s="69">
        <v>95.04</v>
      </c>
      <c r="J89" s="41"/>
      <c r="K89" s="41"/>
      <c r="L89" s="41"/>
      <c r="M89" s="69"/>
      <c r="N89" s="41"/>
      <c r="O89" s="41"/>
      <c r="P89" s="41"/>
      <c r="Q89" s="68"/>
      <c r="R89" s="41"/>
      <c r="S89" s="41"/>
      <c r="T89" s="41"/>
      <c r="U89" s="69"/>
      <c r="V89" s="41"/>
      <c r="W89" s="41"/>
      <c r="X89" s="68"/>
      <c r="Y89" s="41"/>
      <c r="Z89" s="41"/>
      <c r="AA89" s="41"/>
      <c r="AB89" s="69"/>
      <c r="AC89" s="41"/>
      <c r="AD89" s="41"/>
      <c r="AE89" s="41"/>
      <c r="AF89" s="68"/>
      <c r="AG89" s="41" t="s">
        <v>409</v>
      </c>
      <c r="AH89" s="41" t="s">
        <v>308</v>
      </c>
      <c r="AI89" s="98">
        <v>118.8</v>
      </c>
      <c r="AJ89" s="41"/>
      <c r="AK89" s="69">
        <v>95040</v>
      </c>
      <c r="AL89" s="46" t="s">
        <v>409</v>
      </c>
      <c r="AM89" s="41">
        <v>118</v>
      </c>
      <c r="AN89" s="41"/>
      <c r="AO89" s="68">
        <v>95060.2</v>
      </c>
      <c r="AP89" s="41"/>
      <c r="AQ89" s="41"/>
      <c r="AR89" s="69"/>
      <c r="AS89" s="46"/>
      <c r="AT89" s="41"/>
      <c r="AU89" s="68"/>
      <c r="AV89" s="41"/>
      <c r="AW89" s="41"/>
      <c r="AX89" s="69"/>
      <c r="AY89" s="41"/>
      <c r="AZ89" s="41"/>
      <c r="BA89" s="68"/>
      <c r="BB89" s="41"/>
      <c r="BC89" s="41"/>
      <c r="BD89" s="69"/>
      <c r="BE89" s="46"/>
      <c r="BF89" s="41"/>
      <c r="BG89" s="68"/>
      <c r="BH89" s="41"/>
      <c r="BI89" s="41"/>
      <c r="BJ89" s="69"/>
      <c r="BK89" s="46"/>
      <c r="BL89" s="41"/>
      <c r="BM89" s="68"/>
      <c r="BN89" s="41"/>
      <c r="BO89" s="41"/>
      <c r="BP89" s="69"/>
      <c r="BQ89" s="41"/>
      <c r="BR89" s="41"/>
      <c r="BS89" s="68"/>
      <c r="BT89" s="41"/>
      <c r="BU89" s="41"/>
      <c r="BV89" s="69"/>
      <c r="BW89" s="46"/>
      <c r="BX89" s="41"/>
      <c r="BY89" s="68"/>
      <c r="BZ89" s="41"/>
      <c r="CA89" s="41"/>
      <c r="CB89" s="69"/>
      <c r="CC89" s="46"/>
      <c r="CD89" s="41"/>
      <c r="CE89" s="68"/>
      <c r="CF89" s="41"/>
      <c r="CG89" s="41"/>
      <c r="CH89" s="69"/>
      <c r="CI89" s="41"/>
      <c r="CJ89" s="41"/>
      <c r="CK89" s="68"/>
      <c r="CL89" s="41"/>
      <c r="CM89" s="41"/>
      <c r="CN89" s="69"/>
      <c r="CO89" s="41"/>
      <c r="CP89" s="41"/>
      <c r="CQ89" s="68"/>
      <c r="CR89" s="41"/>
      <c r="CS89" s="41"/>
      <c r="CT89" s="69"/>
      <c r="CU89" s="41"/>
      <c r="CV89" s="41"/>
      <c r="CW89" s="68"/>
      <c r="CX89" s="41"/>
      <c r="CY89" s="41"/>
      <c r="CZ89" s="69"/>
      <c r="DA89" s="41"/>
      <c r="DB89" s="41"/>
      <c r="DC89" s="68"/>
      <c r="DD89" s="41"/>
      <c r="DE89" s="41"/>
      <c r="DF89" s="69"/>
      <c r="DG89" s="41"/>
      <c r="DH89" s="86"/>
      <c r="DI89" s="69">
        <v>0</v>
      </c>
      <c r="DJ89" s="46"/>
      <c r="DK89" s="41"/>
      <c r="DL89" s="68">
        <v>0</v>
      </c>
    </row>
    <row r="90" spans="1:116">
      <c r="A90" s="53" t="s">
        <v>301</v>
      </c>
      <c r="B90" s="40">
        <v>2</v>
      </c>
      <c r="C90" s="55" t="s">
        <v>253</v>
      </c>
      <c r="D90" s="54" t="s">
        <v>225</v>
      </c>
      <c r="E90" s="54">
        <v>7</v>
      </c>
      <c r="F90" s="59">
        <v>15.615492</v>
      </c>
      <c r="G90" s="68">
        <f t="shared" si="1"/>
        <v>0</v>
      </c>
      <c r="H90" s="47">
        <v>15.615492</v>
      </c>
      <c r="I90" s="69">
        <v>15.62</v>
      </c>
      <c r="J90" s="41"/>
      <c r="K90" s="41"/>
      <c r="L90" s="41"/>
      <c r="M90" s="69"/>
      <c r="N90" s="41"/>
      <c r="O90" s="41"/>
      <c r="P90" s="41"/>
      <c r="Q90" s="68"/>
      <c r="R90" s="41"/>
      <c r="S90" s="41"/>
      <c r="T90" s="41"/>
      <c r="U90" s="69"/>
      <c r="V90" s="41"/>
      <c r="W90" s="41"/>
      <c r="X90" s="68"/>
      <c r="Y90" s="41"/>
      <c r="Z90" s="41"/>
      <c r="AA90" s="41"/>
      <c r="AB90" s="69"/>
      <c r="AC90" s="41"/>
      <c r="AD90" s="41"/>
      <c r="AE90" s="41"/>
      <c r="AF90" s="68"/>
      <c r="AG90" s="41"/>
      <c r="AH90" s="41"/>
      <c r="AI90" s="41"/>
      <c r="AJ90" s="41"/>
      <c r="AK90" s="69"/>
      <c r="AL90" s="46"/>
      <c r="AM90" s="41"/>
      <c r="AN90" s="41"/>
      <c r="AO90" s="68"/>
      <c r="AP90" s="41" t="s">
        <v>407</v>
      </c>
      <c r="AQ90" s="41" t="s">
        <v>355</v>
      </c>
      <c r="AR90" s="69">
        <v>15620</v>
      </c>
      <c r="AS90" s="46"/>
      <c r="AT90" s="41"/>
      <c r="AU90" s="68"/>
      <c r="AV90" s="41"/>
      <c r="AW90" s="41"/>
      <c r="AX90" s="69"/>
      <c r="AY90" s="41"/>
      <c r="AZ90" s="41"/>
      <c r="BA90" s="68"/>
      <c r="BB90" s="41"/>
      <c r="BC90" s="41"/>
      <c r="BD90" s="69"/>
      <c r="BE90" s="46"/>
      <c r="BF90" s="41"/>
      <c r="BG90" s="68"/>
      <c r="BH90" s="41"/>
      <c r="BI90" s="41"/>
      <c r="BJ90" s="69"/>
      <c r="BK90" s="46"/>
      <c r="BL90" s="41"/>
      <c r="BM90" s="68"/>
      <c r="BN90" s="41"/>
      <c r="BO90" s="41"/>
      <c r="BP90" s="69"/>
      <c r="BQ90" s="41"/>
      <c r="BR90" s="41"/>
      <c r="BS90" s="68"/>
      <c r="BT90" s="41"/>
      <c r="BU90" s="41"/>
      <c r="BV90" s="69"/>
      <c r="BW90" s="46"/>
      <c r="BX90" s="41"/>
      <c r="BY90" s="68"/>
      <c r="BZ90" s="41"/>
      <c r="CA90" s="41"/>
      <c r="CB90" s="69"/>
      <c r="CC90" s="46"/>
      <c r="CD90" s="41"/>
      <c r="CE90" s="68"/>
      <c r="CF90" s="41"/>
      <c r="CG90" s="41"/>
      <c r="CH90" s="69"/>
      <c r="CI90" s="41"/>
      <c r="CJ90" s="41"/>
      <c r="CK90" s="68"/>
      <c r="CL90" s="41"/>
      <c r="CM90" s="41"/>
      <c r="CN90" s="69"/>
      <c r="CO90" s="41"/>
      <c r="CP90" s="41"/>
      <c r="CQ90" s="68"/>
      <c r="CR90" s="41"/>
      <c r="CS90" s="41"/>
      <c r="CT90" s="69"/>
      <c r="CU90" s="41"/>
      <c r="CV90" s="41"/>
      <c r="CW90" s="68"/>
      <c r="CX90" s="41"/>
      <c r="CY90" s="41"/>
      <c r="CZ90" s="69"/>
      <c r="DA90" s="41"/>
      <c r="DB90" s="41"/>
      <c r="DC90" s="68"/>
      <c r="DD90" s="41"/>
      <c r="DE90" s="41"/>
      <c r="DF90" s="69"/>
      <c r="DG90" s="41"/>
      <c r="DH90" s="86"/>
      <c r="DI90" s="69">
        <v>0</v>
      </c>
      <c r="DJ90" s="46"/>
      <c r="DK90" s="41"/>
      <c r="DL90" s="68">
        <v>0</v>
      </c>
    </row>
    <row r="91" spans="1:116">
      <c r="A91" s="53" t="s">
        <v>301</v>
      </c>
      <c r="B91" s="40">
        <v>2</v>
      </c>
      <c r="C91" s="55" t="s">
        <v>253</v>
      </c>
      <c r="D91" s="54" t="s">
        <v>254</v>
      </c>
      <c r="E91" s="54">
        <v>7</v>
      </c>
      <c r="F91" s="59">
        <v>28.470023999999999</v>
      </c>
      <c r="G91" s="68">
        <f t="shared" si="1"/>
        <v>0</v>
      </c>
      <c r="H91" s="47">
        <v>28.470023999999999</v>
      </c>
      <c r="I91" s="69">
        <v>28.47</v>
      </c>
      <c r="J91" s="41"/>
      <c r="K91" s="41"/>
      <c r="L91" s="41"/>
      <c r="M91" s="69"/>
      <c r="N91" s="41"/>
      <c r="O91" s="41"/>
      <c r="P91" s="41"/>
      <c r="Q91" s="68"/>
      <c r="R91" s="41"/>
      <c r="S91" s="41"/>
      <c r="T91" s="41"/>
      <c r="U91" s="69"/>
      <c r="V91" s="41"/>
      <c r="W91" s="41"/>
      <c r="X91" s="68"/>
      <c r="Y91" s="41"/>
      <c r="Z91" s="41"/>
      <c r="AA91" s="41"/>
      <c r="AB91" s="69"/>
      <c r="AC91" s="41"/>
      <c r="AD91" s="41"/>
      <c r="AE91" s="41"/>
      <c r="AF91" s="68"/>
      <c r="AG91" s="41" t="s">
        <v>403</v>
      </c>
      <c r="AH91" s="41" t="s">
        <v>308</v>
      </c>
      <c r="AI91" s="41">
        <v>35</v>
      </c>
      <c r="AJ91" s="41"/>
      <c r="AK91" s="69">
        <v>28470</v>
      </c>
      <c r="AL91" s="46"/>
      <c r="AM91" s="41"/>
      <c r="AN91" s="41"/>
      <c r="AO91" s="68"/>
      <c r="AP91" s="41"/>
      <c r="AQ91" s="41"/>
      <c r="AR91" s="69"/>
      <c r="AS91" s="46"/>
      <c r="AT91" s="41"/>
      <c r="AU91" s="68"/>
      <c r="AV91" s="41"/>
      <c r="AW91" s="41"/>
      <c r="AX91" s="69"/>
      <c r="AY91" s="41"/>
      <c r="AZ91" s="41"/>
      <c r="BA91" s="68"/>
      <c r="BB91" s="41"/>
      <c r="BC91" s="41"/>
      <c r="BD91" s="69"/>
      <c r="BE91" s="46"/>
      <c r="BF91" s="41"/>
      <c r="BG91" s="68"/>
      <c r="BH91" s="41"/>
      <c r="BI91" s="41"/>
      <c r="BJ91" s="69"/>
      <c r="BK91" s="46"/>
      <c r="BL91" s="41"/>
      <c r="BM91" s="68"/>
      <c r="BN91" s="41"/>
      <c r="BO91" s="41"/>
      <c r="BP91" s="69"/>
      <c r="BQ91" s="41"/>
      <c r="BR91" s="41"/>
      <c r="BS91" s="68"/>
      <c r="BT91" s="41"/>
      <c r="BU91" s="41"/>
      <c r="BV91" s="69"/>
      <c r="BW91" s="46"/>
      <c r="BX91" s="41"/>
      <c r="BY91" s="68"/>
      <c r="BZ91" s="41"/>
      <c r="CA91" s="41"/>
      <c r="CB91" s="69"/>
      <c r="CC91" s="46"/>
      <c r="CD91" s="41"/>
      <c r="CE91" s="68"/>
      <c r="CF91" s="41"/>
      <c r="CG91" s="41"/>
      <c r="CH91" s="69"/>
      <c r="CI91" s="41"/>
      <c r="CJ91" s="41"/>
      <c r="CK91" s="68"/>
      <c r="CL91" s="41"/>
      <c r="CM91" s="41"/>
      <c r="CN91" s="69"/>
      <c r="CO91" s="41"/>
      <c r="CP91" s="41"/>
      <c r="CQ91" s="68"/>
      <c r="CR91" s="41"/>
      <c r="CS91" s="41"/>
      <c r="CT91" s="69"/>
      <c r="CU91" s="41"/>
      <c r="CV91" s="41"/>
      <c r="CW91" s="68"/>
      <c r="CX91" s="41"/>
      <c r="CY91" s="41"/>
      <c r="CZ91" s="69"/>
      <c r="DA91" s="41"/>
      <c r="DB91" s="41"/>
      <c r="DC91" s="68"/>
      <c r="DD91" s="41"/>
      <c r="DE91" s="41"/>
      <c r="DF91" s="69"/>
      <c r="DG91" s="41"/>
      <c r="DH91" s="86"/>
      <c r="DI91" s="69">
        <v>0</v>
      </c>
      <c r="DJ91" s="46"/>
      <c r="DK91" s="41"/>
      <c r="DL91" s="68">
        <v>0</v>
      </c>
    </row>
    <row r="92" spans="1:116">
      <c r="A92" s="53" t="s">
        <v>301</v>
      </c>
      <c r="B92" s="40">
        <v>2</v>
      </c>
      <c r="C92" s="53" t="s">
        <v>253</v>
      </c>
      <c r="D92" s="54" t="s">
        <v>226</v>
      </c>
      <c r="E92" s="54">
        <v>7</v>
      </c>
      <c r="F92" s="59">
        <v>41.177114000000003</v>
      </c>
      <c r="G92" s="68">
        <f t="shared" si="1"/>
        <v>0</v>
      </c>
      <c r="H92" s="47">
        <v>41.177114000000003</v>
      </c>
      <c r="I92" s="69">
        <v>41.18</v>
      </c>
      <c r="J92" s="41"/>
      <c r="K92" s="41"/>
      <c r="L92" s="41"/>
      <c r="M92" s="69"/>
      <c r="N92" s="41"/>
      <c r="O92" s="41"/>
      <c r="P92" s="41"/>
      <c r="Q92" s="68"/>
      <c r="R92" s="41"/>
      <c r="S92" s="41"/>
      <c r="T92" s="41"/>
      <c r="U92" s="69"/>
      <c r="V92" s="41"/>
      <c r="W92" s="41"/>
      <c r="X92" s="68"/>
      <c r="Y92" s="41"/>
      <c r="Z92" s="41"/>
      <c r="AA92" s="41"/>
      <c r="AB92" s="69"/>
      <c r="AC92" s="41"/>
      <c r="AD92" s="41"/>
      <c r="AE92" s="41"/>
      <c r="AF92" s="68"/>
      <c r="AG92" s="41"/>
      <c r="AH92" s="41"/>
      <c r="AI92" s="41"/>
      <c r="AJ92" s="41"/>
      <c r="AK92" s="69"/>
      <c r="AL92" s="46"/>
      <c r="AM92" s="41"/>
      <c r="AN92" s="41"/>
      <c r="AO92" s="68"/>
      <c r="AP92" s="41"/>
      <c r="AQ92" s="41"/>
      <c r="AR92" s="69"/>
      <c r="AS92" s="46"/>
      <c r="AT92" s="41"/>
      <c r="AU92" s="68"/>
      <c r="AV92" s="41"/>
      <c r="AW92" s="41"/>
      <c r="AX92" s="69"/>
      <c r="AY92" s="41"/>
      <c r="AZ92" s="41"/>
      <c r="BA92" s="68"/>
      <c r="BB92" s="41"/>
      <c r="BC92" s="41"/>
      <c r="BD92" s="69"/>
      <c r="BE92" s="46"/>
      <c r="BF92" s="41"/>
      <c r="BG92" s="68"/>
      <c r="BH92" s="41"/>
      <c r="BI92" s="41"/>
      <c r="BJ92" s="69"/>
      <c r="BK92" s="46"/>
      <c r="BL92" s="41"/>
      <c r="BM92" s="68"/>
      <c r="BN92" s="41"/>
      <c r="BO92" s="41"/>
      <c r="BP92" s="69"/>
      <c r="BQ92" s="41"/>
      <c r="BR92" s="41"/>
      <c r="BS92" s="68"/>
      <c r="BT92" s="41"/>
      <c r="BU92" s="41"/>
      <c r="BV92" s="69"/>
      <c r="BW92" s="46"/>
      <c r="BX92" s="41"/>
      <c r="BY92" s="68"/>
      <c r="BZ92" s="41"/>
      <c r="CA92" s="41"/>
      <c r="CB92" s="69"/>
      <c r="CC92" s="46"/>
      <c r="CD92" s="41"/>
      <c r="CE92" s="68"/>
      <c r="CF92" s="41"/>
      <c r="CG92" s="41"/>
      <c r="CH92" s="69"/>
      <c r="CI92" s="41"/>
      <c r="CJ92" s="41"/>
      <c r="CK92" s="68"/>
      <c r="CL92" s="41"/>
      <c r="CM92" s="41"/>
      <c r="CN92" s="69"/>
      <c r="CO92" s="41"/>
      <c r="CP92" s="41"/>
      <c r="CQ92" s="68"/>
      <c r="CR92" s="41"/>
      <c r="CS92" s="41"/>
      <c r="CT92" s="69"/>
      <c r="CU92" s="41"/>
      <c r="CV92" s="41"/>
      <c r="CW92" s="68"/>
      <c r="CX92" s="41"/>
      <c r="CY92" s="41"/>
      <c r="CZ92" s="69"/>
      <c r="DA92" s="41"/>
      <c r="DB92" s="41"/>
      <c r="DC92" s="68"/>
      <c r="DD92" s="41"/>
      <c r="DE92" s="41"/>
      <c r="DF92" s="69"/>
      <c r="DG92" s="41" t="s">
        <v>407</v>
      </c>
      <c r="DH92" s="86" t="s">
        <v>370</v>
      </c>
      <c r="DI92" s="69">
        <v>41180</v>
      </c>
      <c r="DJ92" s="46"/>
      <c r="DK92" s="41"/>
      <c r="DL92" s="68">
        <v>0</v>
      </c>
    </row>
    <row r="93" spans="1:116">
      <c r="A93" s="53" t="s">
        <v>301</v>
      </c>
      <c r="B93" s="40">
        <v>2</v>
      </c>
      <c r="C93" s="53" t="s">
        <v>253</v>
      </c>
      <c r="D93" s="54" t="s">
        <v>247</v>
      </c>
      <c r="E93" s="54">
        <v>7</v>
      </c>
      <c r="F93" s="59">
        <v>38.535184000000001</v>
      </c>
      <c r="G93" s="68">
        <f t="shared" si="1"/>
        <v>0</v>
      </c>
      <c r="H93" s="47">
        <v>38.535184000000001</v>
      </c>
      <c r="I93" s="69">
        <v>38.54</v>
      </c>
      <c r="J93" s="41"/>
      <c r="K93" s="41"/>
      <c r="L93" s="41"/>
      <c r="M93" s="69"/>
      <c r="N93" s="41"/>
      <c r="O93" s="41"/>
      <c r="P93" s="41"/>
      <c r="Q93" s="68"/>
      <c r="R93" s="41"/>
      <c r="S93" s="41"/>
      <c r="T93" s="41"/>
      <c r="U93" s="69"/>
      <c r="V93" s="41"/>
      <c r="W93" s="41"/>
      <c r="X93" s="68"/>
      <c r="Y93" s="41"/>
      <c r="Z93" s="41"/>
      <c r="AA93" s="41"/>
      <c r="AB93" s="69"/>
      <c r="AC93" s="41"/>
      <c r="AD93" s="41"/>
      <c r="AE93" s="41"/>
      <c r="AF93" s="68"/>
      <c r="AG93" s="41" t="s">
        <v>406</v>
      </c>
      <c r="AH93" s="41" t="s">
        <v>308</v>
      </c>
      <c r="AI93" s="41">
        <v>15</v>
      </c>
      <c r="AJ93" s="41">
        <v>3</v>
      </c>
      <c r="AK93" s="69">
        <v>12000</v>
      </c>
      <c r="AL93" s="46"/>
      <c r="AM93" s="41"/>
      <c r="AN93" s="41"/>
      <c r="AO93" s="68"/>
      <c r="AP93" s="41"/>
      <c r="AQ93" s="41"/>
      <c r="AR93" s="69"/>
      <c r="AS93" s="46"/>
      <c r="AT93" s="41"/>
      <c r="AU93" s="68"/>
      <c r="AV93" s="41"/>
      <c r="AW93" s="41"/>
      <c r="AX93" s="69"/>
      <c r="AY93" s="41"/>
      <c r="AZ93" s="41"/>
      <c r="BA93" s="68"/>
      <c r="BB93" s="41" t="s">
        <v>402</v>
      </c>
      <c r="BC93" s="41">
        <v>20</v>
      </c>
      <c r="BD93" s="69">
        <v>26540</v>
      </c>
      <c r="BE93" s="46"/>
      <c r="BF93" s="41"/>
      <c r="BG93" s="68"/>
      <c r="BH93" s="41"/>
      <c r="BI93" s="41"/>
      <c r="BJ93" s="69"/>
      <c r="BK93" s="46"/>
      <c r="BL93" s="41"/>
      <c r="BM93" s="68"/>
      <c r="BN93" s="41"/>
      <c r="BO93" s="41"/>
      <c r="BP93" s="69"/>
      <c r="BQ93" s="41"/>
      <c r="BR93" s="41"/>
      <c r="BS93" s="68"/>
      <c r="BT93" s="41"/>
      <c r="BU93" s="41"/>
      <c r="BV93" s="69"/>
      <c r="BW93" s="46"/>
      <c r="BX93" s="41"/>
      <c r="BY93" s="68"/>
      <c r="BZ93" s="41"/>
      <c r="CA93" s="41"/>
      <c r="CB93" s="69"/>
      <c r="CC93" s="46"/>
      <c r="CD93" s="41"/>
      <c r="CE93" s="68"/>
      <c r="CF93" s="41"/>
      <c r="CG93" s="41"/>
      <c r="CH93" s="69"/>
      <c r="CI93" s="41"/>
      <c r="CJ93" s="41"/>
      <c r="CK93" s="68"/>
      <c r="CL93" s="41"/>
      <c r="CM93" s="41"/>
      <c r="CN93" s="69"/>
      <c r="CO93" s="41"/>
      <c r="CP93" s="41"/>
      <c r="CQ93" s="68"/>
      <c r="CR93" s="41"/>
      <c r="CS93" s="41"/>
      <c r="CT93" s="69"/>
      <c r="CU93" s="41"/>
      <c r="CV93" s="41"/>
      <c r="CW93" s="68"/>
      <c r="CX93" s="41"/>
      <c r="CY93" s="41"/>
      <c r="CZ93" s="69"/>
      <c r="DA93" s="41"/>
      <c r="DB93" s="41"/>
      <c r="DC93" s="68"/>
      <c r="DD93" s="41"/>
      <c r="DE93" s="41"/>
      <c r="DF93" s="69"/>
      <c r="DG93" s="41"/>
      <c r="DH93" s="86"/>
      <c r="DI93" s="69">
        <v>0</v>
      </c>
      <c r="DJ93" s="46"/>
      <c r="DK93" s="41"/>
      <c r="DL93" s="68">
        <v>0</v>
      </c>
    </row>
    <row r="94" spans="1:116">
      <c r="A94" s="53" t="s">
        <v>301</v>
      </c>
      <c r="B94" s="40">
        <v>2</v>
      </c>
      <c r="C94" s="55" t="s">
        <v>253</v>
      </c>
      <c r="D94" s="54" t="s">
        <v>227</v>
      </c>
      <c r="E94" s="54">
        <v>7</v>
      </c>
      <c r="F94" s="59">
        <v>51.973080000000003</v>
      </c>
      <c r="G94" s="68">
        <f t="shared" si="1"/>
        <v>98.777190000000004</v>
      </c>
      <c r="H94" s="47">
        <v>51.973080000000003</v>
      </c>
      <c r="I94" s="69">
        <v>106.85</v>
      </c>
      <c r="J94" s="41"/>
      <c r="K94" s="41"/>
      <c r="L94" s="41"/>
      <c r="M94" s="69"/>
      <c r="N94" s="41"/>
      <c r="O94" s="41"/>
      <c r="P94" s="41"/>
      <c r="Q94" s="68"/>
      <c r="R94" s="41"/>
      <c r="S94" s="41"/>
      <c r="T94" s="41"/>
      <c r="U94" s="69"/>
      <c r="V94" s="41"/>
      <c r="W94" s="41"/>
      <c r="X94" s="68"/>
      <c r="Y94" s="41"/>
      <c r="Z94" s="41"/>
      <c r="AA94" s="41"/>
      <c r="AB94" s="69"/>
      <c r="AC94" s="41"/>
      <c r="AD94" s="41"/>
      <c r="AE94" s="41"/>
      <c r="AF94" s="68"/>
      <c r="AG94" s="41" t="s">
        <v>406</v>
      </c>
      <c r="AH94" s="41" t="s">
        <v>308</v>
      </c>
      <c r="AI94" s="98">
        <v>123.6</v>
      </c>
      <c r="AJ94" s="41"/>
      <c r="AK94" s="69">
        <v>98880</v>
      </c>
      <c r="AL94" s="46" t="s">
        <v>402</v>
      </c>
      <c r="AM94" s="41">
        <v>123</v>
      </c>
      <c r="AN94" s="41"/>
      <c r="AO94" s="68">
        <v>98777.19</v>
      </c>
      <c r="AP94" s="41"/>
      <c r="AQ94" s="41"/>
      <c r="AR94" s="69"/>
      <c r="AS94" s="46"/>
      <c r="AT94" s="41"/>
      <c r="AU94" s="68"/>
      <c r="AV94" s="41"/>
      <c r="AW94" s="41"/>
      <c r="AX94" s="69"/>
      <c r="AY94" s="41"/>
      <c r="AZ94" s="41"/>
      <c r="BA94" s="68"/>
      <c r="BB94" s="41"/>
      <c r="BC94" s="41"/>
      <c r="BD94" s="69"/>
      <c r="BE94" s="46"/>
      <c r="BF94" s="41"/>
      <c r="BG94" s="68"/>
      <c r="BH94" s="41"/>
      <c r="BI94" s="41"/>
      <c r="BJ94" s="69"/>
      <c r="BK94" s="46"/>
      <c r="BL94" s="41"/>
      <c r="BM94" s="68"/>
      <c r="BN94" s="41"/>
      <c r="BO94" s="41"/>
      <c r="BP94" s="69"/>
      <c r="BQ94" s="41"/>
      <c r="BR94" s="41"/>
      <c r="BS94" s="68"/>
      <c r="BT94" s="41"/>
      <c r="BU94" s="41"/>
      <c r="BV94" s="69"/>
      <c r="BW94" s="46"/>
      <c r="BX94" s="41"/>
      <c r="BY94" s="68"/>
      <c r="BZ94" s="41"/>
      <c r="CA94" s="41"/>
      <c r="CB94" s="69"/>
      <c r="CC94" s="46"/>
      <c r="CD94" s="41"/>
      <c r="CE94" s="68"/>
      <c r="CF94" s="41"/>
      <c r="CG94" s="41"/>
      <c r="CH94" s="69"/>
      <c r="CI94" s="41"/>
      <c r="CJ94" s="41"/>
      <c r="CK94" s="68"/>
      <c r="CL94" s="41"/>
      <c r="CM94" s="41"/>
      <c r="CN94" s="69"/>
      <c r="CO94" s="41"/>
      <c r="CP94" s="41"/>
      <c r="CQ94" s="68"/>
      <c r="CR94" s="41"/>
      <c r="CS94" s="41"/>
      <c r="CT94" s="69"/>
      <c r="CU94" s="41"/>
      <c r="CV94" s="41"/>
      <c r="CW94" s="68"/>
      <c r="CX94" s="41"/>
      <c r="CY94" s="41"/>
      <c r="CZ94" s="69"/>
      <c r="DA94" s="41"/>
      <c r="DB94" s="41"/>
      <c r="DC94" s="68"/>
      <c r="DD94" s="41"/>
      <c r="DE94" s="41"/>
      <c r="DF94" s="69"/>
      <c r="DG94" s="41" t="s">
        <v>407</v>
      </c>
      <c r="DH94" s="86" t="s">
        <v>371</v>
      </c>
      <c r="DI94" s="69">
        <v>7970</v>
      </c>
      <c r="DJ94" s="46"/>
      <c r="DK94" s="41"/>
      <c r="DL94" s="68">
        <v>0</v>
      </c>
    </row>
    <row r="95" spans="1:116">
      <c r="A95" s="53" t="s">
        <v>301</v>
      </c>
      <c r="B95" s="40">
        <v>2</v>
      </c>
      <c r="C95" s="55" t="s">
        <v>253</v>
      </c>
      <c r="D95" s="54" t="s">
        <v>248</v>
      </c>
      <c r="E95" s="54">
        <v>7</v>
      </c>
      <c r="F95" s="59">
        <v>37.601958000000003</v>
      </c>
      <c r="G95" s="68">
        <f t="shared" si="1"/>
        <v>0</v>
      </c>
      <c r="H95" s="47">
        <v>37.601958000000003</v>
      </c>
      <c r="I95" s="69">
        <v>37.6</v>
      </c>
      <c r="J95" s="41"/>
      <c r="K95" s="41"/>
      <c r="L95" s="41"/>
      <c r="M95" s="69"/>
      <c r="N95" s="41"/>
      <c r="O95" s="41"/>
      <c r="P95" s="41"/>
      <c r="Q95" s="68"/>
      <c r="R95" s="41"/>
      <c r="S95" s="41"/>
      <c r="T95" s="41"/>
      <c r="U95" s="69"/>
      <c r="V95" s="41"/>
      <c r="W95" s="41"/>
      <c r="X95" s="68"/>
      <c r="Y95" s="41"/>
      <c r="Z95" s="41"/>
      <c r="AA95" s="41"/>
      <c r="AB95" s="69"/>
      <c r="AC95" s="41"/>
      <c r="AD95" s="41"/>
      <c r="AE95" s="41"/>
      <c r="AF95" s="68"/>
      <c r="AG95" s="41" t="s">
        <v>406</v>
      </c>
      <c r="AH95" s="41" t="s">
        <v>308</v>
      </c>
      <c r="AI95" s="41">
        <v>47</v>
      </c>
      <c r="AJ95" s="41"/>
      <c r="AK95" s="69">
        <v>37600</v>
      </c>
      <c r="AL95" s="46"/>
      <c r="AM95" s="41"/>
      <c r="AN95" s="41"/>
      <c r="AO95" s="68"/>
      <c r="AP95" s="41"/>
      <c r="AQ95" s="41"/>
      <c r="AR95" s="69"/>
      <c r="AS95" s="46"/>
      <c r="AT95" s="41"/>
      <c r="AU95" s="68"/>
      <c r="AV95" s="41"/>
      <c r="AW95" s="41"/>
      <c r="AX95" s="69"/>
      <c r="AY95" s="41"/>
      <c r="AZ95" s="41"/>
      <c r="BA95" s="68"/>
      <c r="BB95" s="41"/>
      <c r="BC95" s="41"/>
      <c r="BD95" s="69"/>
      <c r="BE95" s="46"/>
      <c r="BF95" s="41"/>
      <c r="BG95" s="68"/>
      <c r="BH95" s="41"/>
      <c r="BI95" s="41"/>
      <c r="BJ95" s="69"/>
      <c r="BK95" s="46"/>
      <c r="BL95" s="41"/>
      <c r="BM95" s="68"/>
      <c r="BN95" s="41"/>
      <c r="BO95" s="41"/>
      <c r="BP95" s="69"/>
      <c r="BQ95" s="41"/>
      <c r="BR95" s="41"/>
      <c r="BS95" s="68"/>
      <c r="BT95" s="41"/>
      <c r="BU95" s="41"/>
      <c r="BV95" s="69"/>
      <c r="BW95" s="46"/>
      <c r="BX95" s="41"/>
      <c r="BY95" s="68"/>
      <c r="BZ95" s="41"/>
      <c r="CA95" s="41"/>
      <c r="CB95" s="69"/>
      <c r="CC95" s="46"/>
      <c r="CD95" s="41"/>
      <c r="CE95" s="68"/>
      <c r="CF95" s="41"/>
      <c r="CG95" s="41"/>
      <c r="CH95" s="69"/>
      <c r="CI95" s="41"/>
      <c r="CJ95" s="41"/>
      <c r="CK95" s="68"/>
      <c r="CL95" s="41"/>
      <c r="CM95" s="41"/>
      <c r="CN95" s="69"/>
      <c r="CO95" s="41"/>
      <c r="CP95" s="41"/>
      <c r="CQ95" s="68"/>
      <c r="CR95" s="41"/>
      <c r="CS95" s="41"/>
      <c r="CT95" s="69"/>
      <c r="CU95" s="41"/>
      <c r="CV95" s="41"/>
      <c r="CW95" s="68"/>
      <c r="CX95" s="41"/>
      <c r="CY95" s="41"/>
      <c r="CZ95" s="69"/>
      <c r="DA95" s="41"/>
      <c r="DB95" s="41"/>
      <c r="DC95" s="68"/>
      <c r="DD95" s="41"/>
      <c r="DE95" s="41"/>
      <c r="DF95" s="69"/>
      <c r="DG95" s="41"/>
      <c r="DH95" s="86"/>
      <c r="DI95" s="69">
        <v>0</v>
      </c>
      <c r="DJ95" s="46"/>
      <c r="DK95" s="41"/>
      <c r="DL95" s="68">
        <v>0</v>
      </c>
    </row>
    <row r="96" spans="1:116">
      <c r="A96" s="53" t="s">
        <v>301</v>
      </c>
      <c r="B96" s="40">
        <v>2</v>
      </c>
      <c r="C96" s="55" t="s">
        <v>253</v>
      </c>
      <c r="D96" s="54" t="s">
        <v>228</v>
      </c>
      <c r="E96" s="54">
        <v>7</v>
      </c>
      <c r="F96" s="59">
        <v>51.700162000000006</v>
      </c>
      <c r="G96" s="68">
        <f t="shared" si="1"/>
        <v>0</v>
      </c>
      <c r="H96" s="47">
        <v>51.700162000000006</v>
      </c>
      <c r="I96" s="69">
        <v>51.7</v>
      </c>
      <c r="J96" s="41"/>
      <c r="K96" s="41"/>
      <c r="L96" s="41"/>
      <c r="M96" s="69"/>
      <c r="N96" s="41"/>
      <c r="O96" s="41"/>
      <c r="P96" s="41"/>
      <c r="Q96" s="68"/>
      <c r="R96" s="41"/>
      <c r="S96" s="41"/>
      <c r="T96" s="41"/>
      <c r="U96" s="69"/>
      <c r="V96" s="41"/>
      <c r="W96" s="41"/>
      <c r="X96" s="68"/>
      <c r="Y96" s="41"/>
      <c r="Z96" s="41"/>
      <c r="AA96" s="41"/>
      <c r="AB96" s="69"/>
      <c r="AC96" s="41"/>
      <c r="AD96" s="41"/>
      <c r="AE96" s="41"/>
      <c r="AF96" s="68"/>
      <c r="AG96" s="41"/>
      <c r="AH96" s="41"/>
      <c r="AI96" s="41"/>
      <c r="AJ96" s="41"/>
      <c r="AK96" s="69"/>
      <c r="AL96" s="46"/>
      <c r="AM96" s="41"/>
      <c r="AN96" s="41"/>
      <c r="AO96" s="68"/>
      <c r="AP96" s="41"/>
      <c r="AQ96" s="41"/>
      <c r="AR96" s="69"/>
      <c r="AS96" s="46"/>
      <c r="AT96" s="41"/>
      <c r="AU96" s="68"/>
      <c r="AV96" s="41"/>
      <c r="AW96" s="41"/>
      <c r="AX96" s="69"/>
      <c r="AY96" s="41"/>
      <c r="AZ96" s="41"/>
      <c r="BA96" s="68"/>
      <c r="BB96" s="41"/>
      <c r="BC96" s="41"/>
      <c r="BD96" s="69"/>
      <c r="BE96" s="46"/>
      <c r="BF96" s="41"/>
      <c r="BG96" s="68"/>
      <c r="BH96" s="41"/>
      <c r="BI96" s="41"/>
      <c r="BJ96" s="69"/>
      <c r="BK96" s="46"/>
      <c r="BL96" s="41"/>
      <c r="BM96" s="68"/>
      <c r="BN96" s="41"/>
      <c r="BO96" s="41"/>
      <c r="BP96" s="69"/>
      <c r="BQ96" s="41"/>
      <c r="BR96" s="41"/>
      <c r="BS96" s="68"/>
      <c r="BT96" s="41"/>
      <c r="BU96" s="41"/>
      <c r="BV96" s="69"/>
      <c r="BW96" s="46"/>
      <c r="BX96" s="41"/>
      <c r="BY96" s="68"/>
      <c r="BZ96" s="41"/>
      <c r="CA96" s="41"/>
      <c r="CB96" s="69"/>
      <c r="CC96" s="46"/>
      <c r="CD96" s="41"/>
      <c r="CE96" s="68"/>
      <c r="CF96" s="41"/>
      <c r="CG96" s="41"/>
      <c r="CH96" s="69"/>
      <c r="CI96" s="41"/>
      <c r="CJ96" s="41"/>
      <c r="CK96" s="68"/>
      <c r="CL96" s="41"/>
      <c r="CM96" s="41"/>
      <c r="CN96" s="69"/>
      <c r="CO96" s="41"/>
      <c r="CP96" s="41"/>
      <c r="CQ96" s="68"/>
      <c r="CR96" s="41" t="s">
        <v>403</v>
      </c>
      <c r="CS96" s="41">
        <v>15</v>
      </c>
      <c r="CT96" s="69">
        <v>24900</v>
      </c>
      <c r="CU96" s="41"/>
      <c r="CV96" s="41"/>
      <c r="CW96" s="68"/>
      <c r="CX96" s="41"/>
      <c r="CY96" s="41"/>
      <c r="CZ96" s="69"/>
      <c r="DA96" s="41"/>
      <c r="DB96" s="41"/>
      <c r="DC96" s="68"/>
      <c r="DD96" s="41"/>
      <c r="DE96" s="41"/>
      <c r="DF96" s="69"/>
      <c r="DG96" s="41" t="s">
        <v>403</v>
      </c>
      <c r="DH96" s="86" t="s">
        <v>313</v>
      </c>
      <c r="DI96" s="69">
        <v>26800</v>
      </c>
      <c r="DJ96" s="46"/>
      <c r="DK96" s="41"/>
      <c r="DL96" s="68">
        <v>0</v>
      </c>
    </row>
    <row r="97" spans="1:116" ht="23.25">
      <c r="A97" s="53" t="s">
        <v>301</v>
      </c>
      <c r="B97" s="40">
        <v>2</v>
      </c>
      <c r="C97" s="55" t="s">
        <v>256</v>
      </c>
      <c r="D97" s="54">
        <v>3</v>
      </c>
      <c r="E97" s="54">
        <v>6</v>
      </c>
      <c r="F97" s="59">
        <v>64.8002264</v>
      </c>
      <c r="G97" s="68">
        <f t="shared" si="1"/>
        <v>5.7021300000000004</v>
      </c>
      <c r="H97" s="47">
        <v>64.8002264</v>
      </c>
      <c r="I97" s="69">
        <v>64.8</v>
      </c>
      <c r="J97" s="41"/>
      <c r="K97" s="41"/>
      <c r="L97" s="41"/>
      <c r="M97" s="69"/>
      <c r="N97" s="41"/>
      <c r="O97" s="41"/>
      <c r="P97" s="41"/>
      <c r="Q97" s="68"/>
      <c r="R97" s="41"/>
      <c r="S97" s="41"/>
      <c r="T97" s="41"/>
      <c r="U97" s="69"/>
      <c r="V97" s="41"/>
      <c r="W97" s="41"/>
      <c r="X97" s="68"/>
      <c r="Y97" s="41"/>
      <c r="Z97" s="41"/>
      <c r="AA97" s="41"/>
      <c r="AB97" s="69"/>
      <c r="AC97" s="41"/>
      <c r="AD97" s="41"/>
      <c r="AE97" s="41"/>
      <c r="AF97" s="68"/>
      <c r="AG97" s="41" t="s">
        <v>406</v>
      </c>
      <c r="AH97" s="41" t="s">
        <v>308</v>
      </c>
      <c r="AI97" s="41">
        <v>16</v>
      </c>
      <c r="AJ97" s="41" t="s">
        <v>379</v>
      </c>
      <c r="AK97" s="69">
        <v>12800</v>
      </c>
      <c r="AL97" s="46"/>
      <c r="AM97" s="41"/>
      <c r="AN97" s="41"/>
      <c r="AO97" s="68"/>
      <c r="AP97" s="41" t="s">
        <v>407</v>
      </c>
      <c r="AQ97" s="86" t="s">
        <v>355</v>
      </c>
      <c r="AR97" s="69">
        <v>14800</v>
      </c>
      <c r="AS97" s="46"/>
      <c r="AT97" s="41"/>
      <c r="AU97" s="68"/>
      <c r="AV97" s="41"/>
      <c r="AW97" s="41"/>
      <c r="AX97" s="69"/>
      <c r="AY97" s="41"/>
      <c r="AZ97" s="41"/>
      <c r="BA97" s="68"/>
      <c r="BB97" s="41"/>
      <c r="BC97" s="41"/>
      <c r="BD97" s="69"/>
      <c r="BE97" s="46"/>
      <c r="BF97" s="41"/>
      <c r="BG97" s="68"/>
      <c r="BH97" s="41"/>
      <c r="BI97" s="41"/>
      <c r="BJ97" s="69"/>
      <c r="BK97" s="46"/>
      <c r="BL97" s="41"/>
      <c r="BM97" s="68"/>
      <c r="BN97" s="41"/>
      <c r="BO97" s="41"/>
      <c r="BP97" s="69"/>
      <c r="BQ97" s="41"/>
      <c r="BR97" s="41"/>
      <c r="BS97" s="68"/>
      <c r="BT97" s="41"/>
      <c r="BU97" s="41"/>
      <c r="BV97" s="69"/>
      <c r="BW97" s="46"/>
      <c r="BX97" s="41"/>
      <c r="BY97" s="68"/>
      <c r="BZ97" s="41"/>
      <c r="CA97" s="41"/>
      <c r="CB97" s="69"/>
      <c r="CC97" s="46"/>
      <c r="CD97" s="41"/>
      <c r="CE97" s="68"/>
      <c r="CF97" s="41"/>
      <c r="CG97" s="41"/>
      <c r="CH97" s="69"/>
      <c r="CI97" s="41"/>
      <c r="CJ97" s="41"/>
      <c r="CK97" s="68"/>
      <c r="CL97" s="41"/>
      <c r="CM97" s="41"/>
      <c r="CN97" s="69"/>
      <c r="CO97" s="41"/>
      <c r="CP97" s="41"/>
      <c r="CQ97" s="68"/>
      <c r="CR97" s="41"/>
      <c r="CS97" s="41"/>
      <c r="CT97" s="69"/>
      <c r="CU97" s="41"/>
      <c r="CV97" s="41"/>
      <c r="CW97" s="68"/>
      <c r="CX97" s="41"/>
      <c r="CY97" s="41"/>
      <c r="CZ97" s="69"/>
      <c r="DA97" s="41"/>
      <c r="DB97" s="41"/>
      <c r="DC97" s="68"/>
      <c r="DD97" s="41"/>
      <c r="DE97" s="41"/>
      <c r="DF97" s="69"/>
      <c r="DG97" s="41" t="s">
        <v>404</v>
      </c>
      <c r="DH97" s="85" t="s">
        <v>380</v>
      </c>
      <c r="DI97" s="69">
        <v>37200</v>
      </c>
      <c r="DJ97" s="61" t="s">
        <v>402</v>
      </c>
      <c r="DK97" s="41" t="s">
        <v>343</v>
      </c>
      <c r="DL97" s="68">
        <v>5702.13</v>
      </c>
    </row>
    <row r="98" spans="1:116">
      <c r="A98" s="53" t="s">
        <v>301</v>
      </c>
      <c r="B98" s="40">
        <v>2</v>
      </c>
      <c r="C98" s="55" t="s">
        <v>256</v>
      </c>
      <c r="D98" s="54">
        <v>5</v>
      </c>
      <c r="E98" s="54">
        <v>6</v>
      </c>
      <c r="F98" s="59">
        <v>90.859292000000011</v>
      </c>
      <c r="G98" s="68">
        <f t="shared" si="1"/>
        <v>2.9269000000000003</v>
      </c>
      <c r="H98" s="47">
        <v>90.859292000000011</v>
      </c>
      <c r="I98" s="69">
        <v>90.86</v>
      </c>
      <c r="J98" s="41"/>
      <c r="K98" s="41"/>
      <c r="L98" s="41"/>
      <c r="M98" s="69"/>
      <c r="N98" s="41"/>
      <c r="O98" s="41"/>
      <c r="P98" s="41"/>
      <c r="Q98" s="68"/>
      <c r="R98" s="41"/>
      <c r="S98" s="41"/>
      <c r="T98" s="41"/>
      <c r="U98" s="69"/>
      <c r="V98" s="41"/>
      <c r="W98" s="41"/>
      <c r="X98" s="68"/>
      <c r="Y98" s="41"/>
      <c r="Z98" s="41"/>
      <c r="AA98" s="41"/>
      <c r="AB98" s="69"/>
      <c r="AC98" s="41"/>
      <c r="AD98" s="41"/>
      <c r="AE98" s="41"/>
      <c r="AF98" s="68"/>
      <c r="AG98" s="41" t="s">
        <v>405</v>
      </c>
      <c r="AH98" s="41" t="s">
        <v>310</v>
      </c>
      <c r="AI98" s="41">
        <v>90</v>
      </c>
      <c r="AJ98" s="41"/>
      <c r="AK98" s="69">
        <v>90860</v>
      </c>
      <c r="AL98" s="46"/>
      <c r="AM98" s="41"/>
      <c r="AN98" s="41"/>
      <c r="AO98" s="68"/>
      <c r="AP98" s="41"/>
      <c r="AQ98" s="41"/>
      <c r="AR98" s="69"/>
      <c r="AS98" s="46"/>
      <c r="AT98" s="41"/>
      <c r="AU98" s="68"/>
      <c r="AV98" s="41"/>
      <c r="AW98" s="41"/>
      <c r="AX98" s="69"/>
      <c r="AY98" s="41"/>
      <c r="AZ98" s="41"/>
      <c r="BA98" s="68"/>
      <c r="BB98" s="41"/>
      <c r="BC98" s="41"/>
      <c r="BD98" s="69"/>
      <c r="BE98" s="46"/>
      <c r="BF98" s="41"/>
      <c r="BG98" s="68"/>
      <c r="BH98" s="41"/>
      <c r="BI98" s="41"/>
      <c r="BJ98" s="69"/>
      <c r="BK98" s="46"/>
      <c r="BL98" s="41"/>
      <c r="BM98" s="68"/>
      <c r="BN98" s="41"/>
      <c r="BO98" s="41"/>
      <c r="BP98" s="69"/>
      <c r="BQ98" s="41"/>
      <c r="BR98" s="41"/>
      <c r="BS98" s="68"/>
      <c r="BT98" s="41"/>
      <c r="BU98" s="41"/>
      <c r="BV98" s="69"/>
      <c r="BW98" s="46"/>
      <c r="BX98" s="41"/>
      <c r="BY98" s="68"/>
      <c r="BZ98" s="41"/>
      <c r="CA98" s="41"/>
      <c r="CB98" s="69"/>
      <c r="CC98" s="46"/>
      <c r="CD98" s="41"/>
      <c r="CE98" s="68"/>
      <c r="CF98" s="41"/>
      <c r="CG98" s="41"/>
      <c r="CH98" s="69"/>
      <c r="CI98" s="41"/>
      <c r="CJ98" s="41"/>
      <c r="CK98" s="68"/>
      <c r="CL98" s="41"/>
      <c r="CM98" s="41"/>
      <c r="CN98" s="69"/>
      <c r="CO98" s="41"/>
      <c r="CP98" s="41"/>
      <c r="CQ98" s="68"/>
      <c r="CR98" s="41"/>
      <c r="CS98" s="41"/>
      <c r="CT98" s="69"/>
      <c r="CU98" s="41"/>
      <c r="CV98" s="41"/>
      <c r="CW98" s="68"/>
      <c r="CX98" s="41"/>
      <c r="CY98" s="41"/>
      <c r="CZ98" s="69"/>
      <c r="DA98" s="41"/>
      <c r="DB98" s="41"/>
      <c r="DC98" s="68"/>
      <c r="DD98" s="41"/>
      <c r="DE98" s="41"/>
      <c r="DF98" s="69"/>
      <c r="DG98" s="41"/>
      <c r="DH98" s="86"/>
      <c r="DI98" s="69">
        <v>0</v>
      </c>
      <c r="DJ98" s="61" t="s">
        <v>402</v>
      </c>
      <c r="DK98" s="41" t="s">
        <v>430</v>
      </c>
      <c r="DL98" s="68">
        <v>2926.9</v>
      </c>
    </row>
    <row r="99" spans="1:116">
      <c r="A99" s="53" t="s">
        <v>301</v>
      </c>
      <c r="B99" s="40">
        <v>2</v>
      </c>
      <c r="C99" s="55" t="s">
        <v>257</v>
      </c>
      <c r="D99" s="54">
        <v>21</v>
      </c>
      <c r="E99" s="54">
        <v>6</v>
      </c>
      <c r="F99" s="59">
        <v>55.815760000000004</v>
      </c>
      <c r="G99" s="68">
        <f t="shared" si="1"/>
        <v>0</v>
      </c>
      <c r="H99" s="47">
        <v>55.815760000000004</v>
      </c>
      <c r="I99" s="69">
        <v>55.82</v>
      </c>
      <c r="J99" s="41"/>
      <c r="K99" s="41"/>
      <c r="L99" s="41"/>
      <c r="M99" s="69"/>
      <c r="N99" s="41"/>
      <c r="O99" s="41"/>
      <c r="P99" s="41"/>
      <c r="Q99" s="68"/>
      <c r="R99" s="41"/>
      <c r="S99" s="41"/>
      <c r="T99" s="41"/>
      <c r="U99" s="69"/>
      <c r="V99" s="41"/>
      <c r="W99" s="41"/>
      <c r="X99" s="68"/>
      <c r="Y99" s="41"/>
      <c r="Z99" s="41"/>
      <c r="AA99" s="41"/>
      <c r="AB99" s="69"/>
      <c r="AC99" s="41"/>
      <c r="AD99" s="41"/>
      <c r="AE99" s="41"/>
      <c r="AF99" s="68"/>
      <c r="AG99" s="41" t="s">
        <v>406</v>
      </c>
      <c r="AH99" s="41" t="s">
        <v>308</v>
      </c>
      <c r="AI99" s="41">
        <v>70</v>
      </c>
      <c r="AJ99" s="41"/>
      <c r="AK99" s="69">
        <v>55820</v>
      </c>
      <c r="AL99" s="46"/>
      <c r="AM99" s="41"/>
      <c r="AN99" s="41"/>
      <c r="AO99" s="68"/>
      <c r="AP99" s="41"/>
      <c r="AQ99" s="41"/>
      <c r="AR99" s="69"/>
      <c r="AS99" s="46"/>
      <c r="AT99" s="41"/>
      <c r="AU99" s="68"/>
      <c r="AV99" s="41"/>
      <c r="AW99" s="41"/>
      <c r="AX99" s="69"/>
      <c r="AY99" s="41"/>
      <c r="AZ99" s="41"/>
      <c r="BA99" s="68"/>
      <c r="BB99" s="41"/>
      <c r="BC99" s="41"/>
      <c r="BD99" s="69"/>
      <c r="BE99" s="46"/>
      <c r="BF99" s="41"/>
      <c r="BG99" s="68"/>
      <c r="BH99" s="41"/>
      <c r="BI99" s="41"/>
      <c r="BJ99" s="69"/>
      <c r="BK99" s="46"/>
      <c r="BL99" s="41"/>
      <c r="BM99" s="68"/>
      <c r="BN99" s="41"/>
      <c r="BO99" s="41"/>
      <c r="BP99" s="69"/>
      <c r="BQ99" s="41"/>
      <c r="BR99" s="41"/>
      <c r="BS99" s="68"/>
      <c r="BT99" s="41"/>
      <c r="BU99" s="41"/>
      <c r="BV99" s="69"/>
      <c r="BW99" s="46"/>
      <c r="BX99" s="41"/>
      <c r="BY99" s="68"/>
      <c r="BZ99" s="41"/>
      <c r="CA99" s="41"/>
      <c r="CB99" s="69"/>
      <c r="CC99" s="46"/>
      <c r="CD99" s="41"/>
      <c r="CE99" s="68"/>
      <c r="CF99" s="41"/>
      <c r="CG99" s="41"/>
      <c r="CH99" s="69"/>
      <c r="CI99" s="41"/>
      <c r="CJ99" s="41"/>
      <c r="CK99" s="68"/>
      <c r="CL99" s="41"/>
      <c r="CM99" s="41"/>
      <c r="CN99" s="69"/>
      <c r="CO99" s="41"/>
      <c r="CP99" s="41"/>
      <c r="CQ99" s="68"/>
      <c r="CR99" s="41"/>
      <c r="CS99" s="41"/>
      <c r="CT99" s="69"/>
      <c r="CU99" s="41"/>
      <c r="CV99" s="41"/>
      <c r="CW99" s="68"/>
      <c r="CX99" s="41"/>
      <c r="CY99" s="41"/>
      <c r="CZ99" s="69"/>
      <c r="DA99" s="41"/>
      <c r="DB99" s="41"/>
      <c r="DC99" s="68"/>
      <c r="DD99" s="41"/>
      <c r="DE99" s="41"/>
      <c r="DF99" s="69"/>
      <c r="DG99" s="41"/>
      <c r="DH99" s="86"/>
      <c r="DI99" s="69">
        <v>0</v>
      </c>
      <c r="DJ99" s="46"/>
      <c r="DK99" s="41"/>
      <c r="DL99" s="68">
        <v>0</v>
      </c>
    </row>
    <row r="100" spans="1:116">
      <c r="A100" s="53" t="s">
        <v>301</v>
      </c>
      <c r="B100" s="40">
        <v>2</v>
      </c>
      <c r="C100" s="55" t="s">
        <v>263</v>
      </c>
      <c r="D100" s="54">
        <v>1</v>
      </c>
      <c r="E100" s="54">
        <v>6</v>
      </c>
      <c r="F100" s="59">
        <v>35.272269999999999</v>
      </c>
      <c r="G100" s="68">
        <f t="shared" si="1"/>
        <v>0</v>
      </c>
      <c r="H100" s="47">
        <v>35.272269999999999</v>
      </c>
      <c r="I100" s="69">
        <v>35.270000000000003</v>
      </c>
      <c r="J100" s="41"/>
      <c r="K100" s="41"/>
      <c r="L100" s="41"/>
      <c r="M100" s="69"/>
      <c r="N100" s="41"/>
      <c r="O100" s="41"/>
      <c r="P100" s="41"/>
      <c r="Q100" s="68"/>
      <c r="R100" s="41"/>
      <c r="S100" s="41"/>
      <c r="T100" s="41"/>
      <c r="U100" s="69"/>
      <c r="V100" s="41"/>
      <c r="W100" s="41"/>
      <c r="X100" s="68"/>
      <c r="Y100" s="41"/>
      <c r="Z100" s="41"/>
      <c r="AA100" s="41"/>
      <c r="AB100" s="69"/>
      <c r="AC100" s="41"/>
      <c r="AD100" s="41"/>
      <c r="AE100" s="41"/>
      <c r="AF100" s="68"/>
      <c r="AG100" s="41"/>
      <c r="AH100" s="41"/>
      <c r="AI100" s="41"/>
      <c r="AJ100" s="41"/>
      <c r="AK100" s="69"/>
      <c r="AL100" s="46"/>
      <c r="AM100" s="41"/>
      <c r="AN100" s="41"/>
      <c r="AO100" s="68"/>
      <c r="AP100" s="41" t="s">
        <v>411</v>
      </c>
      <c r="AQ100" s="41">
        <v>15</v>
      </c>
      <c r="AR100" s="69">
        <v>19500</v>
      </c>
      <c r="AS100" s="46"/>
      <c r="AT100" s="41"/>
      <c r="AU100" s="68"/>
      <c r="AV100" s="41"/>
      <c r="AW100" s="41"/>
      <c r="AX100" s="69"/>
      <c r="AY100" s="41"/>
      <c r="AZ100" s="41"/>
      <c r="BA100" s="68"/>
      <c r="BB100" s="41" t="s">
        <v>405</v>
      </c>
      <c r="BC100" s="41">
        <v>8</v>
      </c>
      <c r="BD100" s="69">
        <v>15770</v>
      </c>
      <c r="BE100" s="46"/>
      <c r="BF100" s="41"/>
      <c r="BG100" s="68"/>
      <c r="BH100" s="41"/>
      <c r="BI100" s="41"/>
      <c r="BJ100" s="69"/>
      <c r="BK100" s="46"/>
      <c r="BL100" s="41"/>
      <c r="BM100" s="68"/>
      <c r="BN100" s="41"/>
      <c r="BO100" s="41"/>
      <c r="BP100" s="69"/>
      <c r="BQ100" s="41"/>
      <c r="BR100" s="41"/>
      <c r="BS100" s="68"/>
      <c r="BT100" s="41"/>
      <c r="BU100" s="41"/>
      <c r="BV100" s="69"/>
      <c r="BW100" s="46"/>
      <c r="BX100" s="41"/>
      <c r="BY100" s="68"/>
      <c r="BZ100" s="41"/>
      <c r="CA100" s="41"/>
      <c r="CB100" s="69"/>
      <c r="CC100" s="46"/>
      <c r="CD100" s="41"/>
      <c r="CE100" s="68"/>
      <c r="CF100" s="41"/>
      <c r="CG100" s="41"/>
      <c r="CH100" s="69"/>
      <c r="CI100" s="41"/>
      <c r="CJ100" s="41"/>
      <c r="CK100" s="68"/>
      <c r="CL100" s="41"/>
      <c r="CM100" s="41"/>
      <c r="CN100" s="69"/>
      <c r="CO100" s="41"/>
      <c r="CP100" s="41"/>
      <c r="CQ100" s="68"/>
      <c r="CR100" s="41"/>
      <c r="CS100" s="41"/>
      <c r="CT100" s="69"/>
      <c r="CU100" s="41"/>
      <c r="CV100" s="41"/>
      <c r="CW100" s="68"/>
      <c r="CX100" s="41"/>
      <c r="CY100" s="41"/>
      <c r="CZ100" s="69"/>
      <c r="DA100" s="41"/>
      <c r="DB100" s="41"/>
      <c r="DC100" s="68"/>
      <c r="DD100" s="41"/>
      <c r="DE100" s="41"/>
      <c r="DF100" s="69"/>
      <c r="DG100" s="41"/>
      <c r="DH100" s="86"/>
      <c r="DI100" s="69">
        <v>0</v>
      </c>
      <c r="DJ100" s="46"/>
      <c r="DK100" s="41"/>
      <c r="DL100" s="68">
        <v>0</v>
      </c>
    </row>
    <row r="101" spans="1:116" ht="45">
      <c r="A101" s="53" t="s">
        <v>301</v>
      </c>
      <c r="B101" s="40">
        <v>2</v>
      </c>
      <c r="C101" s="55" t="s">
        <v>263</v>
      </c>
      <c r="D101" s="54" t="s">
        <v>264</v>
      </c>
      <c r="E101" s="54">
        <v>6</v>
      </c>
      <c r="F101" s="59">
        <v>35.761316000000008</v>
      </c>
      <c r="G101" s="68">
        <f t="shared" si="1"/>
        <v>23.329010000000004</v>
      </c>
      <c r="H101" s="47">
        <v>12.432306000000004</v>
      </c>
      <c r="I101" s="69">
        <v>35.76</v>
      </c>
      <c r="J101" s="41"/>
      <c r="K101" s="41"/>
      <c r="L101" s="41"/>
      <c r="M101" s="69"/>
      <c r="N101" s="41"/>
      <c r="O101" s="41"/>
      <c r="P101" s="41"/>
      <c r="Q101" s="68"/>
      <c r="R101" s="41"/>
      <c r="S101" s="41"/>
      <c r="T101" s="41"/>
      <c r="U101" s="69"/>
      <c r="V101" s="41"/>
      <c r="W101" s="41"/>
      <c r="X101" s="68"/>
      <c r="Y101" s="41"/>
      <c r="Z101" s="41"/>
      <c r="AA101" s="41"/>
      <c r="AB101" s="69"/>
      <c r="AC101" s="41"/>
      <c r="AD101" s="41"/>
      <c r="AE101" s="41"/>
      <c r="AF101" s="68"/>
      <c r="AG101" s="41"/>
      <c r="AH101" s="41"/>
      <c r="AI101" s="41"/>
      <c r="AJ101" s="41"/>
      <c r="AK101" s="69"/>
      <c r="AL101" s="46"/>
      <c r="AM101" s="41"/>
      <c r="AN101" s="41"/>
      <c r="AO101" s="68"/>
      <c r="AP101" s="41"/>
      <c r="AQ101" s="41"/>
      <c r="AR101" s="69"/>
      <c r="AS101" s="46"/>
      <c r="AT101" s="41"/>
      <c r="AU101" s="68"/>
      <c r="AV101" s="41"/>
      <c r="AW101" s="41"/>
      <c r="AX101" s="69"/>
      <c r="AY101" s="41"/>
      <c r="AZ101" s="41"/>
      <c r="BA101" s="68"/>
      <c r="BB101" s="41" t="s">
        <v>405</v>
      </c>
      <c r="BC101" s="41">
        <v>17</v>
      </c>
      <c r="BD101" s="69">
        <v>35760</v>
      </c>
      <c r="BE101" s="46" t="s">
        <v>409</v>
      </c>
      <c r="BF101" s="72" t="s">
        <v>433</v>
      </c>
      <c r="BG101" s="68">
        <v>23329.010000000002</v>
      </c>
      <c r="BH101" s="41"/>
      <c r="BI101" s="41"/>
      <c r="BJ101" s="69"/>
      <c r="BK101" s="46"/>
      <c r="BL101" s="41"/>
      <c r="BM101" s="68"/>
      <c r="BN101" s="41"/>
      <c r="BO101" s="41"/>
      <c r="BP101" s="69"/>
      <c r="BQ101" s="41"/>
      <c r="BR101" s="41"/>
      <c r="BS101" s="68"/>
      <c r="BT101" s="41"/>
      <c r="BU101" s="41"/>
      <c r="BV101" s="69"/>
      <c r="BW101" s="46"/>
      <c r="BX101" s="41"/>
      <c r="BY101" s="68"/>
      <c r="BZ101" s="41"/>
      <c r="CA101" s="41"/>
      <c r="CB101" s="69"/>
      <c r="CC101" s="46"/>
      <c r="CD101" s="41"/>
      <c r="CE101" s="68"/>
      <c r="CF101" s="41"/>
      <c r="CG101" s="41"/>
      <c r="CH101" s="69"/>
      <c r="CI101" s="41"/>
      <c r="CJ101" s="41"/>
      <c r="CK101" s="68"/>
      <c r="CL101" s="41"/>
      <c r="CM101" s="41"/>
      <c r="CN101" s="69"/>
      <c r="CO101" s="41"/>
      <c r="CP101" s="41"/>
      <c r="CQ101" s="68"/>
      <c r="CR101" s="41"/>
      <c r="CS101" s="41"/>
      <c r="CT101" s="69"/>
      <c r="CU101" s="41"/>
      <c r="CV101" s="41"/>
      <c r="CW101" s="68"/>
      <c r="CX101" s="41"/>
      <c r="CY101" s="41"/>
      <c r="CZ101" s="69"/>
      <c r="DA101" s="41"/>
      <c r="DB101" s="41"/>
      <c r="DC101" s="68"/>
      <c r="DD101" s="41"/>
      <c r="DE101" s="41"/>
      <c r="DF101" s="69"/>
      <c r="DG101" s="41"/>
      <c r="DH101" s="86"/>
      <c r="DI101" s="69">
        <v>0</v>
      </c>
      <c r="DJ101" s="46"/>
      <c r="DK101" s="41"/>
      <c r="DL101" s="68">
        <v>0</v>
      </c>
    </row>
    <row r="102" spans="1:116">
      <c r="A102" s="53" t="s">
        <v>301</v>
      </c>
      <c r="B102" s="40">
        <v>2</v>
      </c>
      <c r="C102" s="55" t="s">
        <v>263</v>
      </c>
      <c r="D102" s="54">
        <v>4</v>
      </c>
      <c r="E102" s="54">
        <v>6</v>
      </c>
      <c r="F102" s="59">
        <v>44.618146000000003</v>
      </c>
      <c r="G102" s="68">
        <f t="shared" si="1"/>
        <v>0</v>
      </c>
      <c r="H102" s="47">
        <v>44.618146000000003</v>
      </c>
      <c r="I102" s="69">
        <v>44.62</v>
      </c>
      <c r="J102" s="41"/>
      <c r="K102" s="41"/>
      <c r="L102" s="41"/>
      <c r="M102" s="69"/>
      <c r="N102" s="41"/>
      <c r="O102" s="41"/>
      <c r="P102" s="41"/>
      <c r="Q102" s="68"/>
      <c r="R102" s="41"/>
      <c r="S102" s="41"/>
      <c r="T102" s="41"/>
      <c r="U102" s="69"/>
      <c r="V102" s="41"/>
      <c r="W102" s="41"/>
      <c r="X102" s="68"/>
      <c r="Y102" s="41"/>
      <c r="Z102" s="41"/>
      <c r="AA102" s="41"/>
      <c r="AB102" s="69"/>
      <c r="AC102" s="41"/>
      <c r="AD102" s="41"/>
      <c r="AE102" s="41"/>
      <c r="AF102" s="68"/>
      <c r="AG102" s="41" t="s">
        <v>405</v>
      </c>
      <c r="AH102" s="41" t="s">
        <v>308</v>
      </c>
      <c r="AI102" s="41">
        <v>56</v>
      </c>
      <c r="AJ102" s="41"/>
      <c r="AK102" s="69">
        <v>44620</v>
      </c>
      <c r="AL102" s="46"/>
      <c r="AM102" s="41"/>
      <c r="AN102" s="41"/>
      <c r="AO102" s="68"/>
      <c r="AP102" s="41"/>
      <c r="AQ102" s="41"/>
      <c r="AR102" s="69"/>
      <c r="AS102" s="46"/>
      <c r="AT102" s="41"/>
      <c r="AU102" s="68"/>
      <c r="AV102" s="41"/>
      <c r="AW102" s="41"/>
      <c r="AX102" s="69"/>
      <c r="AY102" s="41"/>
      <c r="AZ102" s="41"/>
      <c r="BA102" s="68"/>
      <c r="BB102" s="41"/>
      <c r="BC102" s="41"/>
      <c r="BD102" s="69"/>
      <c r="BE102" s="46"/>
      <c r="BF102" s="41"/>
      <c r="BG102" s="68"/>
      <c r="BH102" s="41"/>
      <c r="BI102" s="41"/>
      <c r="BJ102" s="69"/>
      <c r="BK102" s="46"/>
      <c r="BL102" s="41"/>
      <c r="BM102" s="68"/>
      <c r="BN102" s="41"/>
      <c r="BO102" s="41"/>
      <c r="BP102" s="69"/>
      <c r="BQ102" s="41"/>
      <c r="BR102" s="41"/>
      <c r="BS102" s="68"/>
      <c r="BT102" s="41"/>
      <c r="BU102" s="41"/>
      <c r="BV102" s="69"/>
      <c r="BW102" s="46"/>
      <c r="BX102" s="41"/>
      <c r="BY102" s="68"/>
      <c r="BZ102" s="41"/>
      <c r="CA102" s="41"/>
      <c r="CB102" s="69"/>
      <c r="CC102" s="46"/>
      <c r="CD102" s="41"/>
      <c r="CE102" s="68"/>
      <c r="CF102" s="41"/>
      <c r="CG102" s="41"/>
      <c r="CH102" s="69"/>
      <c r="CI102" s="41"/>
      <c r="CJ102" s="41"/>
      <c r="CK102" s="68"/>
      <c r="CL102" s="41"/>
      <c r="CM102" s="41"/>
      <c r="CN102" s="69"/>
      <c r="CO102" s="41"/>
      <c r="CP102" s="41"/>
      <c r="CQ102" s="68"/>
      <c r="CR102" s="41"/>
      <c r="CS102" s="41"/>
      <c r="CT102" s="69"/>
      <c r="CU102" s="41"/>
      <c r="CV102" s="41"/>
      <c r="CW102" s="68"/>
      <c r="CX102" s="41"/>
      <c r="CY102" s="41"/>
      <c r="CZ102" s="69"/>
      <c r="DA102" s="41"/>
      <c r="DB102" s="41"/>
      <c r="DC102" s="68"/>
      <c r="DD102" s="41"/>
      <c r="DE102" s="41"/>
      <c r="DF102" s="69"/>
      <c r="DG102" s="41"/>
      <c r="DH102" s="86"/>
      <c r="DI102" s="69">
        <v>0</v>
      </c>
      <c r="DJ102" s="46"/>
      <c r="DK102" s="41"/>
      <c r="DL102" s="68">
        <v>0</v>
      </c>
    </row>
    <row r="103" spans="1:116" ht="25.5">
      <c r="A103" s="53" t="s">
        <v>301</v>
      </c>
      <c r="B103" s="40">
        <v>2</v>
      </c>
      <c r="C103" s="55" t="s">
        <v>263</v>
      </c>
      <c r="D103" s="54" t="s">
        <v>265</v>
      </c>
      <c r="E103" s="54">
        <v>6</v>
      </c>
      <c r="F103" s="59">
        <v>7.1430519999999973</v>
      </c>
      <c r="G103" s="68">
        <f t="shared" si="1"/>
        <v>0</v>
      </c>
      <c r="H103" s="47">
        <v>7.1430519999999973</v>
      </c>
      <c r="I103" s="69">
        <v>7.14</v>
      </c>
      <c r="J103" s="41"/>
      <c r="K103" s="41"/>
      <c r="L103" s="41"/>
      <c r="M103" s="69"/>
      <c r="N103" s="41"/>
      <c r="O103" s="41"/>
      <c r="P103" s="41"/>
      <c r="Q103" s="68"/>
      <c r="R103" s="41"/>
      <c r="S103" s="41"/>
      <c r="T103" s="41"/>
      <c r="U103" s="69"/>
      <c r="V103" s="41"/>
      <c r="W103" s="41"/>
      <c r="X103" s="68"/>
      <c r="Y103" s="41"/>
      <c r="Z103" s="41"/>
      <c r="AA103" s="41"/>
      <c r="AB103" s="69"/>
      <c r="AC103" s="41"/>
      <c r="AD103" s="41"/>
      <c r="AE103" s="41"/>
      <c r="AF103" s="68"/>
      <c r="AG103" s="41"/>
      <c r="AH103" s="41"/>
      <c r="AI103" s="41"/>
      <c r="AJ103" s="41"/>
      <c r="AK103" s="69"/>
      <c r="AL103" s="46"/>
      <c r="AM103" s="41"/>
      <c r="AN103" s="41"/>
      <c r="AO103" s="68"/>
      <c r="AP103" s="41"/>
      <c r="AQ103" s="41"/>
      <c r="AR103" s="69"/>
      <c r="AS103" s="46"/>
      <c r="AT103" s="41"/>
      <c r="AU103" s="68"/>
      <c r="AV103" s="41"/>
      <c r="AW103" s="41"/>
      <c r="AX103" s="69"/>
      <c r="AY103" s="41"/>
      <c r="AZ103" s="41"/>
      <c r="BA103" s="68"/>
      <c r="BB103" s="41" t="s">
        <v>405</v>
      </c>
      <c r="BC103" s="41">
        <v>5</v>
      </c>
      <c r="BD103" s="69">
        <v>7140</v>
      </c>
      <c r="BE103" s="46"/>
      <c r="BF103" s="41"/>
      <c r="BG103" s="68"/>
      <c r="BH103" s="41"/>
      <c r="BI103" s="41"/>
      <c r="BJ103" s="69"/>
      <c r="BK103" s="46"/>
      <c r="BL103" s="41"/>
      <c r="BM103" s="68"/>
      <c r="BN103" s="41"/>
      <c r="BO103" s="41"/>
      <c r="BP103" s="69"/>
      <c r="BQ103" s="41"/>
      <c r="BR103" s="41"/>
      <c r="BS103" s="68"/>
      <c r="BT103" s="41"/>
      <c r="BU103" s="41"/>
      <c r="BV103" s="69"/>
      <c r="BW103" s="46"/>
      <c r="BX103" s="41"/>
      <c r="BY103" s="68"/>
      <c r="BZ103" s="41"/>
      <c r="CA103" s="41"/>
      <c r="CB103" s="69"/>
      <c r="CC103" s="46"/>
      <c r="CD103" s="41"/>
      <c r="CE103" s="68"/>
      <c r="CF103" s="41"/>
      <c r="CG103" s="41"/>
      <c r="CH103" s="69"/>
      <c r="CI103" s="41"/>
      <c r="CJ103" s="41"/>
      <c r="CK103" s="68"/>
      <c r="CL103" s="41"/>
      <c r="CM103" s="41"/>
      <c r="CN103" s="69"/>
      <c r="CO103" s="41"/>
      <c r="CP103" s="41"/>
      <c r="CQ103" s="68"/>
      <c r="CR103" s="41"/>
      <c r="CS103" s="41"/>
      <c r="CT103" s="69"/>
      <c r="CU103" s="41"/>
      <c r="CV103" s="41"/>
      <c r="CW103" s="68"/>
      <c r="CX103" s="41"/>
      <c r="CY103" s="41"/>
      <c r="CZ103" s="69"/>
      <c r="DA103" s="41"/>
      <c r="DB103" s="41"/>
      <c r="DC103" s="68"/>
      <c r="DD103" s="41"/>
      <c r="DE103" s="41"/>
      <c r="DF103" s="69"/>
      <c r="DG103" s="41"/>
      <c r="DH103" s="86"/>
      <c r="DI103" s="69">
        <v>0</v>
      </c>
      <c r="DJ103" s="46"/>
      <c r="DK103" s="41"/>
      <c r="DL103" s="68">
        <v>0</v>
      </c>
    </row>
    <row r="104" spans="1:116">
      <c r="A104" s="53" t="s">
        <v>301</v>
      </c>
      <c r="B104" s="40">
        <v>2</v>
      </c>
      <c r="C104" s="55" t="s">
        <v>263</v>
      </c>
      <c r="D104" s="54">
        <v>6</v>
      </c>
      <c r="E104" s="54">
        <v>6</v>
      </c>
      <c r="F104" s="59">
        <v>41.031478</v>
      </c>
      <c r="G104" s="68">
        <f t="shared" si="1"/>
        <v>0</v>
      </c>
      <c r="H104" s="47">
        <v>41.031478</v>
      </c>
      <c r="I104" s="69">
        <v>41.03</v>
      </c>
      <c r="J104" s="41"/>
      <c r="K104" s="41"/>
      <c r="L104" s="41"/>
      <c r="M104" s="69"/>
      <c r="N104" s="41"/>
      <c r="O104" s="41"/>
      <c r="P104" s="41"/>
      <c r="Q104" s="68"/>
      <c r="R104" s="41"/>
      <c r="S104" s="41"/>
      <c r="T104" s="41"/>
      <c r="U104" s="69"/>
      <c r="V104" s="41"/>
      <c r="W104" s="41"/>
      <c r="X104" s="68"/>
      <c r="Y104" s="41"/>
      <c r="Z104" s="41"/>
      <c r="AA104" s="41"/>
      <c r="AB104" s="69"/>
      <c r="AC104" s="41"/>
      <c r="AD104" s="41"/>
      <c r="AE104" s="41"/>
      <c r="AF104" s="68"/>
      <c r="AG104" s="41" t="s">
        <v>405</v>
      </c>
      <c r="AH104" s="41" t="s">
        <v>308</v>
      </c>
      <c r="AI104" s="41">
        <v>50</v>
      </c>
      <c r="AJ104" s="41"/>
      <c r="AK104" s="69">
        <v>41030</v>
      </c>
      <c r="AL104" s="46"/>
      <c r="AM104" s="41"/>
      <c r="AN104" s="41"/>
      <c r="AO104" s="68"/>
      <c r="AP104" s="41"/>
      <c r="AQ104" s="41"/>
      <c r="AR104" s="69"/>
      <c r="AS104" s="46"/>
      <c r="AT104" s="41"/>
      <c r="AU104" s="68"/>
      <c r="AV104" s="41"/>
      <c r="AW104" s="41"/>
      <c r="AX104" s="69"/>
      <c r="AY104" s="41"/>
      <c r="AZ104" s="41"/>
      <c r="BA104" s="68"/>
      <c r="BB104" s="41"/>
      <c r="BC104" s="41"/>
      <c r="BD104" s="69"/>
      <c r="BE104" s="46"/>
      <c r="BF104" s="41"/>
      <c r="BG104" s="68"/>
      <c r="BH104" s="41"/>
      <c r="BI104" s="41"/>
      <c r="BJ104" s="69"/>
      <c r="BK104" s="46"/>
      <c r="BL104" s="41"/>
      <c r="BM104" s="68"/>
      <c r="BN104" s="41"/>
      <c r="BO104" s="41"/>
      <c r="BP104" s="69"/>
      <c r="BQ104" s="41"/>
      <c r="BR104" s="41"/>
      <c r="BS104" s="68"/>
      <c r="BT104" s="41"/>
      <c r="BU104" s="41"/>
      <c r="BV104" s="69"/>
      <c r="BW104" s="46"/>
      <c r="BX104" s="41"/>
      <c r="BY104" s="68"/>
      <c r="BZ104" s="41"/>
      <c r="CA104" s="41"/>
      <c r="CB104" s="69"/>
      <c r="CC104" s="46"/>
      <c r="CD104" s="41"/>
      <c r="CE104" s="68"/>
      <c r="CF104" s="41"/>
      <c r="CG104" s="41"/>
      <c r="CH104" s="69"/>
      <c r="CI104" s="41"/>
      <c r="CJ104" s="41"/>
      <c r="CK104" s="68"/>
      <c r="CL104" s="41"/>
      <c r="CM104" s="41"/>
      <c r="CN104" s="69"/>
      <c r="CO104" s="41"/>
      <c r="CP104" s="41"/>
      <c r="CQ104" s="68"/>
      <c r="CR104" s="41"/>
      <c r="CS104" s="41"/>
      <c r="CT104" s="69"/>
      <c r="CU104" s="41"/>
      <c r="CV104" s="41"/>
      <c r="CW104" s="68"/>
      <c r="CX104" s="41"/>
      <c r="CY104" s="41"/>
      <c r="CZ104" s="69"/>
      <c r="DA104" s="41"/>
      <c r="DB104" s="41"/>
      <c r="DC104" s="68"/>
      <c r="DD104" s="41"/>
      <c r="DE104" s="41"/>
      <c r="DF104" s="69"/>
      <c r="DG104" s="41"/>
      <c r="DH104" s="86"/>
      <c r="DI104" s="69">
        <v>0</v>
      </c>
      <c r="DJ104" s="46"/>
      <c r="DK104" s="41"/>
      <c r="DL104" s="68">
        <v>0</v>
      </c>
    </row>
    <row r="105" spans="1:116">
      <c r="A105" s="53" t="s">
        <v>301</v>
      </c>
      <c r="B105" s="40">
        <v>2</v>
      </c>
      <c r="C105" s="55" t="s">
        <v>263</v>
      </c>
      <c r="D105" s="54">
        <v>7</v>
      </c>
      <c r="E105" s="54">
        <v>6</v>
      </c>
      <c r="F105" s="59">
        <v>48.093136000000008</v>
      </c>
      <c r="G105" s="68">
        <f t="shared" si="1"/>
        <v>0</v>
      </c>
      <c r="H105" s="47">
        <v>48.093136000000008</v>
      </c>
      <c r="I105" s="69">
        <v>47.6</v>
      </c>
      <c r="J105" s="41"/>
      <c r="K105" s="41"/>
      <c r="L105" s="41"/>
      <c r="M105" s="69"/>
      <c r="N105" s="41"/>
      <c r="O105" s="41"/>
      <c r="P105" s="41"/>
      <c r="Q105" s="68"/>
      <c r="R105" s="41"/>
      <c r="S105" s="41"/>
      <c r="T105" s="41"/>
      <c r="U105" s="69"/>
      <c r="V105" s="41"/>
      <c r="W105" s="41"/>
      <c r="X105" s="68"/>
      <c r="Y105" s="41"/>
      <c r="Z105" s="41"/>
      <c r="AA105" s="41"/>
      <c r="AB105" s="69"/>
      <c r="AC105" s="41"/>
      <c r="AD105" s="41"/>
      <c r="AE105" s="41"/>
      <c r="AF105" s="68"/>
      <c r="AG105" s="41"/>
      <c r="AH105" s="41"/>
      <c r="AI105" s="41"/>
      <c r="AJ105" s="41"/>
      <c r="AK105" s="69"/>
      <c r="AL105" s="46"/>
      <c r="AM105" s="41"/>
      <c r="AN105" s="41"/>
      <c r="AO105" s="68"/>
      <c r="AP105" s="41"/>
      <c r="AQ105" s="41"/>
      <c r="AR105" s="69"/>
      <c r="AS105" s="46"/>
      <c r="AT105" s="41"/>
      <c r="AU105" s="68"/>
      <c r="AV105" s="41"/>
      <c r="AW105" s="41"/>
      <c r="AX105" s="69"/>
      <c r="AY105" s="41"/>
      <c r="AZ105" s="41"/>
      <c r="BA105" s="68"/>
      <c r="BB105" s="41"/>
      <c r="BC105" s="41"/>
      <c r="BD105" s="69"/>
      <c r="BE105" s="46"/>
      <c r="BF105" s="41"/>
      <c r="BG105" s="68"/>
      <c r="BH105" s="41"/>
      <c r="BI105" s="41"/>
      <c r="BJ105" s="69"/>
      <c r="BK105" s="46"/>
      <c r="BL105" s="41"/>
      <c r="BM105" s="68"/>
      <c r="BN105" s="41"/>
      <c r="BO105" s="41"/>
      <c r="BP105" s="69"/>
      <c r="BQ105" s="41"/>
      <c r="BR105" s="41"/>
      <c r="BS105" s="68"/>
      <c r="BT105" s="41"/>
      <c r="BU105" s="41"/>
      <c r="BV105" s="69"/>
      <c r="BW105" s="46"/>
      <c r="BX105" s="41"/>
      <c r="BY105" s="68"/>
      <c r="BZ105" s="41"/>
      <c r="CA105" s="41"/>
      <c r="CB105" s="69"/>
      <c r="CC105" s="46"/>
      <c r="CD105" s="41"/>
      <c r="CE105" s="68"/>
      <c r="CF105" s="41" t="s">
        <v>405</v>
      </c>
      <c r="CG105" s="41">
        <v>20</v>
      </c>
      <c r="CH105" s="69">
        <v>8000</v>
      </c>
      <c r="CI105" s="41"/>
      <c r="CJ105" s="41"/>
      <c r="CK105" s="68"/>
      <c r="CL105" s="41"/>
      <c r="CM105" s="41"/>
      <c r="CN105" s="69"/>
      <c r="CO105" s="41"/>
      <c r="CP105" s="41"/>
      <c r="CQ105" s="68"/>
      <c r="CR105" s="41"/>
      <c r="CS105" s="41"/>
      <c r="CT105" s="69"/>
      <c r="CU105" s="41"/>
      <c r="CV105" s="41"/>
      <c r="CW105" s="68"/>
      <c r="CX105" s="41"/>
      <c r="CY105" s="41"/>
      <c r="CZ105" s="69"/>
      <c r="DA105" s="41"/>
      <c r="DB105" s="41"/>
      <c r="DC105" s="68"/>
      <c r="DD105" s="41"/>
      <c r="DE105" s="41"/>
      <c r="DF105" s="69"/>
      <c r="DG105" s="41" t="s">
        <v>404</v>
      </c>
      <c r="DH105" s="86" t="s">
        <v>313</v>
      </c>
      <c r="DI105" s="69">
        <v>39600</v>
      </c>
      <c r="DJ105" s="46"/>
      <c r="DK105" s="41"/>
      <c r="DL105" s="68">
        <v>0</v>
      </c>
    </row>
    <row r="106" spans="1:116">
      <c r="A106" s="53" t="s">
        <v>301</v>
      </c>
      <c r="B106" s="40">
        <v>3</v>
      </c>
      <c r="C106" s="53" t="s">
        <v>266</v>
      </c>
      <c r="D106" s="54">
        <v>1</v>
      </c>
      <c r="E106" s="56">
        <v>7</v>
      </c>
      <c r="F106" s="59">
        <v>53.586856000000012</v>
      </c>
      <c r="G106" s="68">
        <f t="shared" si="1"/>
        <v>0</v>
      </c>
      <c r="H106" s="47">
        <v>53.586856000000012</v>
      </c>
      <c r="I106" s="69">
        <v>53.59</v>
      </c>
      <c r="J106" s="41"/>
      <c r="K106" s="41"/>
      <c r="L106" s="41"/>
      <c r="M106" s="69"/>
      <c r="N106" s="41"/>
      <c r="O106" s="41"/>
      <c r="P106" s="41"/>
      <c r="Q106" s="68"/>
      <c r="R106" s="41"/>
      <c r="S106" s="41"/>
      <c r="T106" s="41"/>
      <c r="U106" s="69"/>
      <c r="V106" s="41"/>
      <c r="W106" s="41"/>
      <c r="X106" s="68"/>
      <c r="Y106" s="41"/>
      <c r="Z106" s="41"/>
      <c r="AA106" s="41"/>
      <c r="AB106" s="69"/>
      <c r="AC106" s="41"/>
      <c r="AD106" s="41"/>
      <c r="AE106" s="41"/>
      <c r="AF106" s="68"/>
      <c r="AG106" s="41"/>
      <c r="AH106" s="41"/>
      <c r="AI106" s="41"/>
      <c r="AJ106" s="41"/>
      <c r="AK106" s="69"/>
      <c r="AL106" s="46"/>
      <c r="AM106" s="41"/>
      <c r="AN106" s="41"/>
      <c r="AO106" s="68"/>
      <c r="AP106" s="41"/>
      <c r="AQ106" s="41"/>
      <c r="AR106" s="69"/>
      <c r="AS106" s="46"/>
      <c r="AT106" s="41"/>
      <c r="AU106" s="68"/>
      <c r="AV106" s="41"/>
      <c r="AW106" s="41"/>
      <c r="AX106" s="69"/>
      <c r="AY106" s="41"/>
      <c r="AZ106" s="41"/>
      <c r="BA106" s="68"/>
      <c r="BB106" s="41"/>
      <c r="BC106" s="41"/>
      <c r="BD106" s="69"/>
      <c r="BE106" s="46"/>
      <c r="BF106" s="41"/>
      <c r="BG106" s="68"/>
      <c r="BH106" s="41"/>
      <c r="BI106" s="41"/>
      <c r="BJ106" s="69"/>
      <c r="BK106" s="46"/>
      <c r="BL106" s="41"/>
      <c r="BM106" s="68"/>
      <c r="BN106" s="41"/>
      <c r="BO106" s="41"/>
      <c r="BP106" s="69"/>
      <c r="BQ106" s="41"/>
      <c r="BR106" s="41"/>
      <c r="BS106" s="68"/>
      <c r="BT106" s="41"/>
      <c r="BU106" s="41"/>
      <c r="BV106" s="69"/>
      <c r="BW106" s="46"/>
      <c r="BX106" s="41"/>
      <c r="BY106" s="68"/>
      <c r="BZ106" s="41"/>
      <c r="CA106" s="41"/>
      <c r="CB106" s="69"/>
      <c r="CC106" s="46"/>
      <c r="CD106" s="41"/>
      <c r="CE106" s="68"/>
      <c r="CF106" s="41"/>
      <c r="CG106" s="41"/>
      <c r="CH106" s="69"/>
      <c r="CI106" s="41"/>
      <c r="CJ106" s="41"/>
      <c r="CK106" s="68"/>
      <c r="CL106" s="41"/>
      <c r="CM106" s="41"/>
      <c r="CN106" s="69"/>
      <c r="CO106" s="41"/>
      <c r="CP106" s="41"/>
      <c r="CQ106" s="68"/>
      <c r="CR106" s="41" t="s">
        <v>403</v>
      </c>
      <c r="CS106" s="41">
        <v>35</v>
      </c>
      <c r="CT106" s="69">
        <v>53590</v>
      </c>
      <c r="CU106" s="41"/>
      <c r="CV106" s="41"/>
      <c r="CW106" s="68"/>
      <c r="CX106" s="41"/>
      <c r="CY106" s="41"/>
      <c r="CZ106" s="69"/>
      <c r="DA106" s="41"/>
      <c r="DB106" s="41"/>
      <c r="DC106" s="68"/>
      <c r="DD106" s="41"/>
      <c r="DE106" s="41"/>
      <c r="DF106" s="69"/>
      <c r="DG106" s="41"/>
      <c r="DH106" s="86"/>
      <c r="DI106" s="69">
        <v>0</v>
      </c>
      <c r="DJ106" s="46"/>
      <c r="DK106" s="41"/>
      <c r="DL106" s="68">
        <v>0</v>
      </c>
    </row>
    <row r="107" spans="1:116">
      <c r="A107" s="53" t="s">
        <v>301</v>
      </c>
      <c r="B107" s="40">
        <v>3</v>
      </c>
      <c r="C107" s="53" t="s">
        <v>266</v>
      </c>
      <c r="D107" s="54">
        <v>5</v>
      </c>
      <c r="E107" s="56">
        <v>7</v>
      </c>
      <c r="F107" s="59">
        <v>33.453744</v>
      </c>
      <c r="G107" s="68">
        <f t="shared" si="1"/>
        <v>0</v>
      </c>
      <c r="H107" s="47">
        <v>33.453744</v>
      </c>
      <c r="I107" s="69">
        <v>33.450000000000003</v>
      </c>
      <c r="J107" s="41"/>
      <c r="K107" s="41"/>
      <c r="L107" s="41"/>
      <c r="M107" s="69"/>
      <c r="N107" s="41"/>
      <c r="O107" s="41"/>
      <c r="P107" s="41"/>
      <c r="Q107" s="68"/>
      <c r="R107" s="41"/>
      <c r="S107" s="41"/>
      <c r="T107" s="41"/>
      <c r="U107" s="69"/>
      <c r="V107" s="41"/>
      <c r="W107" s="41"/>
      <c r="X107" s="68"/>
      <c r="Y107" s="41"/>
      <c r="Z107" s="41"/>
      <c r="AA107" s="41"/>
      <c r="AB107" s="69"/>
      <c r="AC107" s="41"/>
      <c r="AD107" s="41"/>
      <c r="AE107" s="41"/>
      <c r="AF107" s="68"/>
      <c r="AG107" s="41" t="s">
        <v>406</v>
      </c>
      <c r="AH107" s="41" t="s">
        <v>308</v>
      </c>
      <c r="AI107" s="41">
        <v>41</v>
      </c>
      <c r="AJ107" s="41"/>
      <c r="AK107" s="69">
        <v>33450</v>
      </c>
      <c r="AL107" s="46"/>
      <c r="AM107" s="41"/>
      <c r="AN107" s="41"/>
      <c r="AO107" s="68"/>
      <c r="AP107" s="41"/>
      <c r="AQ107" s="41"/>
      <c r="AR107" s="69"/>
      <c r="AS107" s="46"/>
      <c r="AT107" s="41"/>
      <c r="AU107" s="68"/>
      <c r="AV107" s="41"/>
      <c r="AW107" s="41"/>
      <c r="AX107" s="69"/>
      <c r="AY107" s="41"/>
      <c r="AZ107" s="41"/>
      <c r="BA107" s="68"/>
      <c r="BB107" s="41"/>
      <c r="BC107" s="41"/>
      <c r="BD107" s="69"/>
      <c r="BE107" s="46"/>
      <c r="BF107" s="41"/>
      <c r="BG107" s="68"/>
      <c r="BH107" s="41"/>
      <c r="BI107" s="41"/>
      <c r="BJ107" s="69"/>
      <c r="BK107" s="46"/>
      <c r="BL107" s="41"/>
      <c r="BM107" s="68"/>
      <c r="BN107" s="41"/>
      <c r="BO107" s="41"/>
      <c r="BP107" s="69"/>
      <c r="BQ107" s="41"/>
      <c r="BR107" s="41"/>
      <c r="BS107" s="68"/>
      <c r="BT107" s="41"/>
      <c r="BU107" s="41"/>
      <c r="BV107" s="69"/>
      <c r="BW107" s="46"/>
      <c r="BX107" s="41"/>
      <c r="BY107" s="68"/>
      <c r="BZ107" s="41"/>
      <c r="CA107" s="41"/>
      <c r="CB107" s="69"/>
      <c r="CC107" s="46"/>
      <c r="CD107" s="41"/>
      <c r="CE107" s="68"/>
      <c r="CF107" s="41"/>
      <c r="CG107" s="41"/>
      <c r="CH107" s="69"/>
      <c r="CI107" s="41"/>
      <c r="CJ107" s="41"/>
      <c r="CK107" s="68"/>
      <c r="CL107" s="41"/>
      <c r="CM107" s="41"/>
      <c r="CN107" s="69"/>
      <c r="CO107" s="41"/>
      <c r="CP107" s="41"/>
      <c r="CQ107" s="68"/>
      <c r="CR107" s="41"/>
      <c r="CS107" s="41"/>
      <c r="CT107" s="69"/>
      <c r="CU107" s="41"/>
      <c r="CV107" s="41"/>
      <c r="CW107" s="68"/>
      <c r="CX107" s="41"/>
      <c r="CY107" s="41"/>
      <c r="CZ107" s="69"/>
      <c r="DA107" s="41"/>
      <c r="DB107" s="41"/>
      <c r="DC107" s="68"/>
      <c r="DD107" s="41"/>
      <c r="DE107" s="41"/>
      <c r="DF107" s="69"/>
      <c r="DG107" s="41"/>
      <c r="DH107" s="86"/>
      <c r="DI107" s="69">
        <v>0</v>
      </c>
      <c r="DJ107" s="46"/>
      <c r="DK107" s="41"/>
      <c r="DL107" s="68">
        <v>0</v>
      </c>
    </row>
    <row r="108" spans="1:116">
      <c r="A108" s="53" t="s">
        <v>301</v>
      </c>
      <c r="B108" s="40">
        <v>3</v>
      </c>
      <c r="C108" s="53" t="s">
        <v>266</v>
      </c>
      <c r="D108" s="54" t="s">
        <v>227</v>
      </c>
      <c r="E108" s="56">
        <v>7</v>
      </c>
      <c r="F108" s="59">
        <v>33.399997999999997</v>
      </c>
      <c r="G108" s="68">
        <f t="shared" si="1"/>
        <v>4.9477000000000002</v>
      </c>
      <c r="H108" s="47">
        <v>28.452297999999995</v>
      </c>
      <c r="I108" s="69">
        <v>33.4</v>
      </c>
      <c r="J108" s="41"/>
      <c r="K108" s="41"/>
      <c r="L108" s="41"/>
      <c r="M108" s="69"/>
      <c r="N108" s="41"/>
      <c r="O108" s="41"/>
      <c r="P108" s="41"/>
      <c r="Q108" s="68"/>
      <c r="R108" s="41"/>
      <c r="S108" s="41"/>
      <c r="T108" s="41"/>
      <c r="U108" s="69"/>
      <c r="V108" s="41"/>
      <c r="W108" s="41"/>
      <c r="X108" s="68"/>
      <c r="Y108" s="41"/>
      <c r="Z108" s="41"/>
      <c r="AA108" s="41"/>
      <c r="AB108" s="69"/>
      <c r="AC108" s="41"/>
      <c r="AD108" s="41"/>
      <c r="AE108" s="41"/>
      <c r="AF108" s="68"/>
      <c r="AG108" s="41"/>
      <c r="AH108" s="41"/>
      <c r="AI108" s="41"/>
      <c r="AJ108" s="41"/>
      <c r="AK108" s="69"/>
      <c r="AL108" s="46"/>
      <c r="AM108" s="41"/>
      <c r="AN108" s="41"/>
      <c r="AO108" s="68"/>
      <c r="AP108" s="41"/>
      <c r="AQ108" s="41"/>
      <c r="AR108" s="69"/>
      <c r="AS108" s="46" t="s">
        <v>323</v>
      </c>
      <c r="AT108" s="41">
        <v>3</v>
      </c>
      <c r="AU108" s="68">
        <v>4947.7</v>
      </c>
      <c r="AV108" s="41"/>
      <c r="AW108" s="41"/>
      <c r="AX108" s="69"/>
      <c r="AY108" s="41"/>
      <c r="AZ108" s="41"/>
      <c r="BA108" s="68"/>
      <c r="BB108" s="41"/>
      <c r="BC108" s="41"/>
      <c r="BD108" s="69"/>
      <c r="BE108" s="46"/>
      <c r="BF108" s="41"/>
      <c r="BG108" s="68"/>
      <c r="BH108" s="41"/>
      <c r="BI108" s="41"/>
      <c r="BJ108" s="69"/>
      <c r="BK108" s="46"/>
      <c r="BL108" s="41"/>
      <c r="BM108" s="68"/>
      <c r="BN108" s="41"/>
      <c r="BO108" s="41"/>
      <c r="BP108" s="69"/>
      <c r="BQ108" s="41"/>
      <c r="BR108" s="41"/>
      <c r="BS108" s="68"/>
      <c r="BT108" s="41"/>
      <c r="BU108" s="41"/>
      <c r="BV108" s="69"/>
      <c r="BW108" s="46"/>
      <c r="BX108" s="41"/>
      <c r="BY108" s="68"/>
      <c r="BZ108" s="41"/>
      <c r="CA108" s="41"/>
      <c r="CB108" s="69"/>
      <c r="CC108" s="46"/>
      <c r="CD108" s="41"/>
      <c r="CE108" s="68"/>
      <c r="CF108" s="41"/>
      <c r="CG108" s="41"/>
      <c r="CH108" s="69"/>
      <c r="CI108" s="41"/>
      <c r="CJ108" s="41"/>
      <c r="CK108" s="68"/>
      <c r="CL108" s="41"/>
      <c r="CM108" s="41"/>
      <c r="CN108" s="69"/>
      <c r="CO108" s="41"/>
      <c r="CP108" s="41"/>
      <c r="CQ108" s="68"/>
      <c r="CR108" s="41" t="s">
        <v>404</v>
      </c>
      <c r="CS108" s="41">
        <v>22</v>
      </c>
      <c r="CT108" s="69">
        <v>33400</v>
      </c>
      <c r="CU108" s="41"/>
      <c r="CV108" s="41"/>
      <c r="CW108" s="68"/>
      <c r="CX108" s="41"/>
      <c r="CY108" s="41"/>
      <c r="CZ108" s="69"/>
      <c r="DA108" s="41"/>
      <c r="DB108" s="41"/>
      <c r="DC108" s="68"/>
      <c r="DD108" s="41"/>
      <c r="DE108" s="41"/>
      <c r="DF108" s="69"/>
      <c r="DG108" s="41"/>
      <c r="DH108" s="86"/>
      <c r="DI108" s="69">
        <v>0</v>
      </c>
      <c r="DJ108" s="46"/>
      <c r="DK108" s="41"/>
      <c r="DL108" s="68">
        <v>0</v>
      </c>
    </row>
    <row r="109" spans="1:116">
      <c r="A109" s="53" t="s">
        <v>301</v>
      </c>
      <c r="B109" s="40">
        <v>3</v>
      </c>
      <c r="C109" s="53" t="s">
        <v>266</v>
      </c>
      <c r="D109" s="54" t="s">
        <v>228</v>
      </c>
      <c r="E109" s="56">
        <v>7</v>
      </c>
      <c r="F109" s="59">
        <v>30.702228000000005</v>
      </c>
      <c r="G109" s="68">
        <f t="shared" si="1"/>
        <v>5.3679199999999998</v>
      </c>
      <c r="H109" s="47">
        <v>30.702228000000005</v>
      </c>
      <c r="I109" s="69">
        <v>30.4</v>
      </c>
      <c r="J109" s="41"/>
      <c r="K109" s="41"/>
      <c r="L109" s="41"/>
      <c r="M109" s="69"/>
      <c r="N109" s="41"/>
      <c r="O109" s="41"/>
      <c r="P109" s="41"/>
      <c r="Q109" s="68"/>
      <c r="R109" s="41"/>
      <c r="S109" s="41"/>
      <c r="T109" s="41"/>
      <c r="U109" s="69"/>
      <c r="V109" s="41"/>
      <c r="W109" s="41"/>
      <c r="X109" s="68"/>
      <c r="Y109" s="41"/>
      <c r="Z109" s="41"/>
      <c r="AA109" s="41"/>
      <c r="AB109" s="69"/>
      <c r="AC109" s="41"/>
      <c r="AD109" s="41"/>
      <c r="AE109" s="41"/>
      <c r="AF109" s="68"/>
      <c r="AG109" s="41"/>
      <c r="AH109" s="41"/>
      <c r="AI109" s="41"/>
      <c r="AJ109" s="41"/>
      <c r="AK109" s="69"/>
      <c r="AL109" s="46" t="s">
        <v>408</v>
      </c>
      <c r="AM109" s="41">
        <v>7.92</v>
      </c>
      <c r="AN109" s="41"/>
      <c r="AO109" s="68">
        <v>5367.92</v>
      </c>
      <c r="AP109" s="41"/>
      <c r="AQ109" s="41"/>
      <c r="AR109" s="69"/>
      <c r="AS109" s="46"/>
      <c r="AT109" s="41"/>
      <c r="AU109" s="68"/>
      <c r="AV109" s="41"/>
      <c r="AW109" s="41"/>
      <c r="AX109" s="69"/>
      <c r="AY109" s="41"/>
      <c r="AZ109" s="41"/>
      <c r="BA109" s="68"/>
      <c r="BB109" s="41"/>
      <c r="BC109" s="41"/>
      <c r="BD109" s="69"/>
      <c r="BE109" s="46"/>
      <c r="BF109" s="41"/>
      <c r="BG109" s="68"/>
      <c r="BH109" s="41"/>
      <c r="BI109" s="41"/>
      <c r="BJ109" s="69"/>
      <c r="BK109" s="46"/>
      <c r="BL109" s="41"/>
      <c r="BM109" s="68"/>
      <c r="BN109" s="41"/>
      <c r="BO109" s="41"/>
      <c r="BP109" s="69"/>
      <c r="BQ109" s="41"/>
      <c r="BR109" s="41"/>
      <c r="BS109" s="68"/>
      <c r="BT109" s="41"/>
      <c r="BU109" s="41"/>
      <c r="BV109" s="69"/>
      <c r="BW109" s="46"/>
      <c r="BX109" s="41"/>
      <c r="BY109" s="68"/>
      <c r="BZ109" s="41"/>
      <c r="CA109" s="41"/>
      <c r="CB109" s="69"/>
      <c r="CC109" s="46"/>
      <c r="CD109" s="41"/>
      <c r="CE109" s="68"/>
      <c r="CF109" s="41"/>
      <c r="CG109" s="41"/>
      <c r="CH109" s="69"/>
      <c r="CI109" s="41"/>
      <c r="CJ109" s="41"/>
      <c r="CK109" s="68"/>
      <c r="CL109" s="41"/>
      <c r="CM109" s="41"/>
      <c r="CN109" s="69"/>
      <c r="CO109" s="41"/>
      <c r="CP109" s="41"/>
      <c r="CQ109" s="68"/>
      <c r="CR109" s="41"/>
      <c r="CS109" s="41"/>
      <c r="CT109" s="69"/>
      <c r="CU109" s="41"/>
      <c r="CV109" s="41"/>
      <c r="CW109" s="68"/>
      <c r="CX109" s="41"/>
      <c r="CY109" s="41"/>
      <c r="CZ109" s="69"/>
      <c r="DA109" s="41"/>
      <c r="DB109" s="41"/>
      <c r="DC109" s="68"/>
      <c r="DD109" s="41"/>
      <c r="DE109" s="41"/>
      <c r="DF109" s="69"/>
      <c r="DG109" s="41" t="s">
        <v>404</v>
      </c>
      <c r="DH109" s="86" t="s">
        <v>313</v>
      </c>
      <c r="DI109" s="69">
        <v>30400</v>
      </c>
      <c r="DJ109" s="46"/>
      <c r="DK109" s="41"/>
      <c r="DL109" s="68">
        <v>0</v>
      </c>
    </row>
    <row r="110" spans="1:116">
      <c r="A110" s="53" t="s">
        <v>301</v>
      </c>
      <c r="B110" s="40">
        <v>3</v>
      </c>
      <c r="C110" s="53" t="s">
        <v>266</v>
      </c>
      <c r="D110" s="54" t="s">
        <v>229</v>
      </c>
      <c r="E110" s="56">
        <v>7</v>
      </c>
      <c r="F110" s="59">
        <v>6.739175000000003</v>
      </c>
      <c r="G110" s="68">
        <f t="shared" si="1"/>
        <v>0</v>
      </c>
      <c r="H110" s="47">
        <v>6.739175000000003</v>
      </c>
      <c r="I110" s="69">
        <v>6.74</v>
      </c>
      <c r="J110" s="41"/>
      <c r="K110" s="41"/>
      <c r="L110" s="41"/>
      <c r="M110" s="69"/>
      <c r="N110" s="41"/>
      <c r="O110" s="41"/>
      <c r="P110" s="41"/>
      <c r="Q110" s="68"/>
      <c r="R110" s="41"/>
      <c r="S110" s="41"/>
      <c r="T110" s="41"/>
      <c r="U110" s="69"/>
      <c r="V110" s="41"/>
      <c r="W110" s="41"/>
      <c r="X110" s="68"/>
      <c r="Y110" s="41"/>
      <c r="Z110" s="41"/>
      <c r="AA110" s="41"/>
      <c r="AB110" s="69"/>
      <c r="AC110" s="41"/>
      <c r="AD110" s="41"/>
      <c r="AE110" s="41"/>
      <c r="AF110" s="68"/>
      <c r="AG110" s="41"/>
      <c r="AH110" s="41"/>
      <c r="AI110" s="41"/>
      <c r="AJ110" s="41"/>
      <c r="AK110" s="69"/>
      <c r="AL110" s="46"/>
      <c r="AM110" s="41"/>
      <c r="AN110" s="41"/>
      <c r="AO110" s="68"/>
      <c r="AP110" s="41"/>
      <c r="AQ110" s="41"/>
      <c r="AR110" s="69"/>
      <c r="AS110" s="46"/>
      <c r="AT110" s="41"/>
      <c r="AU110" s="68"/>
      <c r="AV110" s="41"/>
      <c r="AW110" s="41"/>
      <c r="AX110" s="69"/>
      <c r="AY110" s="41"/>
      <c r="AZ110" s="41"/>
      <c r="BA110" s="68"/>
      <c r="BB110" s="41"/>
      <c r="BC110" s="41"/>
      <c r="BD110" s="69"/>
      <c r="BE110" s="46"/>
      <c r="BF110" s="41"/>
      <c r="BG110" s="68"/>
      <c r="BH110" s="41"/>
      <c r="BI110" s="41"/>
      <c r="BJ110" s="69"/>
      <c r="BK110" s="46"/>
      <c r="BL110" s="41"/>
      <c r="BM110" s="68"/>
      <c r="BN110" s="41"/>
      <c r="BO110" s="41"/>
      <c r="BP110" s="69"/>
      <c r="BQ110" s="41"/>
      <c r="BR110" s="41"/>
      <c r="BS110" s="68"/>
      <c r="BT110" s="41"/>
      <c r="BU110" s="41"/>
      <c r="BV110" s="69"/>
      <c r="BW110" s="46"/>
      <c r="BX110" s="41"/>
      <c r="BY110" s="68"/>
      <c r="BZ110" s="41"/>
      <c r="CA110" s="41"/>
      <c r="CB110" s="69"/>
      <c r="CC110" s="46"/>
      <c r="CD110" s="41"/>
      <c r="CE110" s="68"/>
      <c r="CF110" s="41"/>
      <c r="CG110" s="41"/>
      <c r="CH110" s="69"/>
      <c r="CI110" s="41"/>
      <c r="CJ110" s="41"/>
      <c r="CK110" s="68"/>
      <c r="CL110" s="41"/>
      <c r="CM110" s="41"/>
      <c r="CN110" s="69"/>
      <c r="CO110" s="41"/>
      <c r="CP110" s="41"/>
      <c r="CQ110" s="68"/>
      <c r="CR110" s="41"/>
      <c r="CS110" s="41"/>
      <c r="CT110" s="69"/>
      <c r="CU110" s="41"/>
      <c r="CV110" s="41"/>
      <c r="CW110" s="68"/>
      <c r="CX110" s="41"/>
      <c r="CY110" s="41"/>
      <c r="CZ110" s="69"/>
      <c r="DA110" s="41"/>
      <c r="DB110" s="41"/>
      <c r="DC110" s="68"/>
      <c r="DD110" s="41"/>
      <c r="DE110" s="41"/>
      <c r="DF110" s="69"/>
      <c r="DG110" s="41" t="s">
        <v>405</v>
      </c>
      <c r="DH110" s="85" t="s">
        <v>313</v>
      </c>
      <c r="DI110" s="69">
        <v>6740</v>
      </c>
      <c r="DJ110" s="46"/>
      <c r="DK110" s="41"/>
      <c r="DL110" s="68">
        <v>0</v>
      </c>
    </row>
    <row r="111" spans="1:116">
      <c r="A111" s="53" t="s">
        <v>301</v>
      </c>
      <c r="B111" s="40">
        <v>3</v>
      </c>
      <c r="C111" s="53" t="s">
        <v>267</v>
      </c>
      <c r="D111" s="54">
        <v>2</v>
      </c>
      <c r="E111" s="56">
        <v>7</v>
      </c>
      <c r="F111" s="59">
        <v>20.85275</v>
      </c>
      <c r="G111" s="68">
        <f t="shared" si="1"/>
        <v>0</v>
      </c>
      <c r="H111" s="47">
        <v>20.85275</v>
      </c>
      <c r="I111" s="69">
        <v>20</v>
      </c>
      <c r="J111" s="41"/>
      <c r="K111" s="41"/>
      <c r="L111" s="41"/>
      <c r="M111" s="69"/>
      <c r="N111" s="41"/>
      <c r="O111" s="41"/>
      <c r="P111" s="41"/>
      <c r="Q111" s="68"/>
      <c r="R111" s="41"/>
      <c r="S111" s="41"/>
      <c r="T111" s="41"/>
      <c r="U111" s="69"/>
      <c r="V111" s="41"/>
      <c r="W111" s="41"/>
      <c r="X111" s="68"/>
      <c r="Y111" s="41"/>
      <c r="Z111" s="41"/>
      <c r="AA111" s="41"/>
      <c r="AB111" s="69"/>
      <c r="AC111" s="41"/>
      <c r="AD111" s="41"/>
      <c r="AE111" s="41"/>
      <c r="AF111" s="68"/>
      <c r="AG111" s="41" t="s">
        <v>406</v>
      </c>
      <c r="AH111" s="41" t="s">
        <v>308</v>
      </c>
      <c r="AI111" s="41">
        <v>20</v>
      </c>
      <c r="AJ111" s="41"/>
      <c r="AK111" s="69">
        <v>20000</v>
      </c>
      <c r="AL111" s="46"/>
      <c r="AM111" s="41"/>
      <c r="AN111" s="41"/>
      <c r="AO111" s="68"/>
      <c r="AP111" s="41"/>
      <c r="AQ111" s="41"/>
      <c r="AR111" s="69"/>
      <c r="AS111" s="46"/>
      <c r="AT111" s="41"/>
      <c r="AU111" s="68"/>
      <c r="AV111" s="41"/>
      <c r="AW111" s="41"/>
      <c r="AX111" s="69"/>
      <c r="AY111" s="41"/>
      <c r="AZ111" s="41"/>
      <c r="BA111" s="68"/>
      <c r="BB111" s="41"/>
      <c r="BC111" s="41"/>
      <c r="BD111" s="69"/>
      <c r="BE111" s="46"/>
      <c r="BF111" s="41"/>
      <c r="BG111" s="68"/>
      <c r="BH111" s="41"/>
      <c r="BI111" s="41"/>
      <c r="BJ111" s="69"/>
      <c r="BK111" s="46"/>
      <c r="BL111" s="41"/>
      <c r="BM111" s="68"/>
      <c r="BN111" s="41"/>
      <c r="BO111" s="41"/>
      <c r="BP111" s="69"/>
      <c r="BQ111" s="41"/>
      <c r="BR111" s="41"/>
      <c r="BS111" s="68"/>
      <c r="BT111" s="41"/>
      <c r="BU111" s="41"/>
      <c r="BV111" s="69"/>
      <c r="BW111" s="46"/>
      <c r="BX111" s="41"/>
      <c r="BY111" s="68"/>
      <c r="BZ111" s="41"/>
      <c r="CA111" s="41"/>
      <c r="CB111" s="69"/>
      <c r="CC111" s="46"/>
      <c r="CD111" s="41"/>
      <c r="CE111" s="68"/>
      <c r="CF111" s="41"/>
      <c r="CG111" s="41"/>
      <c r="CH111" s="69"/>
      <c r="CI111" s="41"/>
      <c r="CJ111" s="41"/>
      <c r="CK111" s="68"/>
      <c r="CL111" s="41"/>
      <c r="CM111" s="41"/>
      <c r="CN111" s="69"/>
      <c r="CO111" s="41"/>
      <c r="CP111" s="41"/>
      <c r="CQ111" s="68"/>
      <c r="CR111" s="41"/>
      <c r="CS111" s="41"/>
      <c r="CT111" s="69"/>
      <c r="CU111" s="41"/>
      <c r="CV111" s="41"/>
      <c r="CW111" s="68"/>
      <c r="CX111" s="41"/>
      <c r="CY111" s="41"/>
      <c r="CZ111" s="69"/>
      <c r="DA111" s="41"/>
      <c r="DB111" s="41"/>
      <c r="DC111" s="68"/>
      <c r="DD111" s="41"/>
      <c r="DE111" s="41"/>
      <c r="DF111" s="69"/>
      <c r="DG111" s="41"/>
      <c r="DH111" s="86"/>
      <c r="DI111" s="69">
        <v>0</v>
      </c>
      <c r="DJ111" s="46"/>
      <c r="DK111" s="41"/>
      <c r="DL111" s="68">
        <v>0</v>
      </c>
    </row>
    <row r="112" spans="1:116">
      <c r="A112" s="53" t="s">
        <v>301</v>
      </c>
      <c r="B112" s="40">
        <v>3</v>
      </c>
      <c r="C112" s="53" t="s">
        <v>267</v>
      </c>
      <c r="D112" s="54" t="s">
        <v>247</v>
      </c>
      <c r="E112" s="56">
        <v>7</v>
      </c>
      <c r="F112" s="59">
        <v>26.03191</v>
      </c>
      <c r="G112" s="68">
        <f t="shared" si="1"/>
        <v>0</v>
      </c>
      <c r="H112" s="47">
        <v>26.03191</v>
      </c>
      <c r="I112" s="69">
        <v>22.5</v>
      </c>
      <c r="J112" s="41"/>
      <c r="K112" s="41"/>
      <c r="L112" s="41"/>
      <c r="M112" s="69"/>
      <c r="N112" s="41"/>
      <c r="O112" s="41"/>
      <c r="P112" s="41"/>
      <c r="Q112" s="68"/>
      <c r="R112" s="41"/>
      <c r="S112" s="41"/>
      <c r="T112" s="41"/>
      <c r="U112" s="69"/>
      <c r="V112" s="41"/>
      <c r="W112" s="41"/>
      <c r="X112" s="68"/>
      <c r="Y112" s="41"/>
      <c r="Z112" s="41"/>
      <c r="AA112" s="41"/>
      <c r="AB112" s="69"/>
      <c r="AC112" s="41"/>
      <c r="AD112" s="41"/>
      <c r="AE112" s="41"/>
      <c r="AF112" s="68"/>
      <c r="AG112" s="41"/>
      <c r="AH112" s="41"/>
      <c r="AI112" s="41"/>
      <c r="AJ112" s="41"/>
      <c r="AK112" s="69"/>
      <c r="AL112" s="46"/>
      <c r="AM112" s="41"/>
      <c r="AN112" s="41"/>
      <c r="AO112" s="68"/>
      <c r="AP112" s="41"/>
      <c r="AQ112" s="41"/>
      <c r="AR112" s="69"/>
      <c r="AS112" s="46"/>
      <c r="AT112" s="41"/>
      <c r="AU112" s="68"/>
      <c r="AV112" s="41"/>
      <c r="AW112" s="41"/>
      <c r="AX112" s="69"/>
      <c r="AY112" s="41"/>
      <c r="AZ112" s="41"/>
      <c r="BA112" s="68"/>
      <c r="BB112" s="41"/>
      <c r="BC112" s="41"/>
      <c r="BD112" s="69"/>
      <c r="BE112" s="46"/>
      <c r="BF112" s="41"/>
      <c r="BG112" s="68"/>
      <c r="BH112" s="41"/>
      <c r="BI112" s="41"/>
      <c r="BJ112" s="69"/>
      <c r="BK112" s="46"/>
      <c r="BL112" s="41"/>
      <c r="BM112" s="68"/>
      <c r="BN112" s="41"/>
      <c r="BO112" s="41"/>
      <c r="BP112" s="69"/>
      <c r="BQ112" s="41"/>
      <c r="BR112" s="41"/>
      <c r="BS112" s="68"/>
      <c r="BT112" s="41"/>
      <c r="BU112" s="41"/>
      <c r="BV112" s="69"/>
      <c r="BW112" s="46"/>
      <c r="BX112" s="41"/>
      <c r="BY112" s="68"/>
      <c r="BZ112" s="41"/>
      <c r="CA112" s="41"/>
      <c r="CB112" s="69"/>
      <c r="CC112" s="46"/>
      <c r="CD112" s="41"/>
      <c r="CE112" s="68"/>
      <c r="CF112" s="41"/>
      <c r="CG112" s="41"/>
      <c r="CH112" s="69"/>
      <c r="CI112" s="41"/>
      <c r="CJ112" s="41"/>
      <c r="CK112" s="68"/>
      <c r="CL112" s="41"/>
      <c r="CM112" s="41"/>
      <c r="CN112" s="69"/>
      <c r="CO112" s="41"/>
      <c r="CP112" s="41"/>
      <c r="CQ112" s="68"/>
      <c r="CR112" s="41" t="s">
        <v>404</v>
      </c>
      <c r="CS112" s="41">
        <v>15</v>
      </c>
      <c r="CT112" s="69">
        <v>22500</v>
      </c>
      <c r="CU112" s="41"/>
      <c r="CV112" s="41"/>
      <c r="CW112" s="68"/>
      <c r="CX112" s="41"/>
      <c r="CY112" s="41"/>
      <c r="CZ112" s="69"/>
      <c r="DA112" s="41"/>
      <c r="DB112" s="41"/>
      <c r="DC112" s="68"/>
      <c r="DD112" s="41"/>
      <c r="DE112" s="41"/>
      <c r="DF112" s="69"/>
      <c r="DG112" s="41"/>
      <c r="DH112" s="86"/>
      <c r="DI112" s="69">
        <v>0</v>
      </c>
      <c r="DJ112" s="46"/>
      <c r="DK112" s="41"/>
      <c r="DL112" s="68">
        <v>0</v>
      </c>
    </row>
    <row r="113" spans="1:116" ht="23.25">
      <c r="A113" s="53" t="s">
        <v>301</v>
      </c>
      <c r="B113" s="40">
        <v>3</v>
      </c>
      <c r="C113" s="53" t="s">
        <v>267</v>
      </c>
      <c r="D113" s="54" t="s">
        <v>248</v>
      </c>
      <c r="E113" s="56">
        <v>7</v>
      </c>
      <c r="F113" s="59">
        <v>28.533541999999997</v>
      </c>
      <c r="G113" s="68">
        <f t="shared" si="1"/>
        <v>0</v>
      </c>
      <c r="H113" s="47">
        <v>28.533541999999997</v>
      </c>
      <c r="I113" s="69">
        <v>20</v>
      </c>
      <c r="J113" s="41"/>
      <c r="K113" s="41"/>
      <c r="L113" s="41"/>
      <c r="M113" s="69"/>
      <c r="N113" s="41"/>
      <c r="O113" s="41"/>
      <c r="P113" s="41"/>
      <c r="Q113" s="68"/>
      <c r="R113" s="41"/>
      <c r="S113" s="41"/>
      <c r="T113" s="41"/>
      <c r="U113" s="69"/>
      <c r="V113" s="41"/>
      <c r="W113" s="41"/>
      <c r="X113" s="68"/>
      <c r="Y113" s="41"/>
      <c r="Z113" s="41"/>
      <c r="AA113" s="41"/>
      <c r="AB113" s="69"/>
      <c r="AC113" s="41"/>
      <c r="AD113" s="41"/>
      <c r="AE113" s="41"/>
      <c r="AF113" s="68"/>
      <c r="AG113" s="41"/>
      <c r="AH113" s="41"/>
      <c r="AI113" s="41"/>
      <c r="AJ113" s="41"/>
      <c r="AK113" s="69"/>
      <c r="AL113" s="46"/>
      <c r="AM113" s="41"/>
      <c r="AN113" s="41"/>
      <c r="AO113" s="68"/>
      <c r="AP113" s="41"/>
      <c r="AQ113" s="41"/>
      <c r="AR113" s="69"/>
      <c r="AS113" s="46"/>
      <c r="AT113" s="41"/>
      <c r="AU113" s="68"/>
      <c r="AV113" s="41"/>
      <c r="AW113" s="41"/>
      <c r="AX113" s="69"/>
      <c r="AY113" s="41"/>
      <c r="AZ113" s="41"/>
      <c r="BA113" s="68"/>
      <c r="BB113" s="41"/>
      <c r="BC113" s="41"/>
      <c r="BD113" s="69"/>
      <c r="BE113" s="46"/>
      <c r="BF113" s="41"/>
      <c r="BG113" s="68"/>
      <c r="BH113" s="41"/>
      <c r="BI113" s="41"/>
      <c r="BJ113" s="69"/>
      <c r="BK113" s="46"/>
      <c r="BL113" s="41"/>
      <c r="BM113" s="68"/>
      <c r="BN113" s="41"/>
      <c r="BO113" s="41"/>
      <c r="BP113" s="69"/>
      <c r="BQ113" s="41"/>
      <c r="BR113" s="41"/>
      <c r="BS113" s="68"/>
      <c r="BT113" s="41"/>
      <c r="BU113" s="41"/>
      <c r="BV113" s="69"/>
      <c r="BW113" s="46"/>
      <c r="BX113" s="41"/>
      <c r="BY113" s="68"/>
      <c r="BZ113" s="41"/>
      <c r="CA113" s="41"/>
      <c r="CB113" s="69"/>
      <c r="CC113" s="46"/>
      <c r="CD113" s="41"/>
      <c r="CE113" s="68"/>
      <c r="CF113" s="41"/>
      <c r="CG113" s="41"/>
      <c r="CH113" s="69"/>
      <c r="CI113" s="41"/>
      <c r="CJ113" s="41"/>
      <c r="CK113" s="68"/>
      <c r="CL113" s="41"/>
      <c r="CM113" s="41"/>
      <c r="CN113" s="69"/>
      <c r="CO113" s="41"/>
      <c r="CP113" s="41"/>
      <c r="CQ113" s="68"/>
      <c r="CR113" s="41"/>
      <c r="CS113" s="41"/>
      <c r="CT113" s="69"/>
      <c r="CU113" s="41"/>
      <c r="CV113" s="41"/>
      <c r="CW113" s="68"/>
      <c r="CX113" s="41"/>
      <c r="CY113" s="41"/>
      <c r="CZ113" s="69"/>
      <c r="DA113" s="41"/>
      <c r="DB113" s="41"/>
      <c r="DC113" s="68"/>
      <c r="DD113" s="41"/>
      <c r="DE113" s="41"/>
      <c r="DF113" s="69"/>
      <c r="DG113" s="41" t="s">
        <v>403</v>
      </c>
      <c r="DH113" s="85" t="s">
        <v>309</v>
      </c>
      <c r="DI113" s="69">
        <v>20000</v>
      </c>
      <c r="DJ113" s="46"/>
      <c r="DK113" s="41"/>
      <c r="DL113" s="68">
        <v>0</v>
      </c>
    </row>
    <row r="114" spans="1:116" ht="23.25">
      <c r="A114" s="53" t="s">
        <v>301</v>
      </c>
      <c r="B114" s="40">
        <v>3</v>
      </c>
      <c r="C114" s="53" t="s">
        <v>267</v>
      </c>
      <c r="D114" s="54" t="s">
        <v>250</v>
      </c>
      <c r="E114" s="56">
        <v>7</v>
      </c>
      <c r="F114" s="59">
        <v>41.560316</v>
      </c>
      <c r="G114" s="68">
        <f t="shared" si="1"/>
        <v>0</v>
      </c>
      <c r="H114" s="47">
        <v>41.560316</v>
      </c>
      <c r="I114" s="69">
        <v>20</v>
      </c>
      <c r="J114" s="41"/>
      <c r="K114" s="41"/>
      <c r="L114" s="41"/>
      <c r="M114" s="69"/>
      <c r="N114" s="41"/>
      <c r="O114" s="41"/>
      <c r="P114" s="41"/>
      <c r="Q114" s="68"/>
      <c r="R114" s="41"/>
      <c r="S114" s="41"/>
      <c r="T114" s="41"/>
      <c r="U114" s="69"/>
      <c r="V114" s="41"/>
      <c r="W114" s="41"/>
      <c r="X114" s="68"/>
      <c r="Y114" s="41"/>
      <c r="Z114" s="41"/>
      <c r="AA114" s="41"/>
      <c r="AB114" s="69"/>
      <c r="AC114" s="41"/>
      <c r="AD114" s="41"/>
      <c r="AE114" s="41"/>
      <c r="AF114" s="68"/>
      <c r="AG114" s="41"/>
      <c r="AH114" s="41"/>
      <c r="AI114" s="41"/>
      <c r="AJ114" s="41"/>
      <c r="AK114" s="69"/>
      <c r="AL114" s="46"/>
      <c r="AM114" s="41"/>
      <c r="AN114" s="41"/>
      <c r="AO114" s="68"/>
      <c r="AP114" s="41"/>
      <c r="AQ114" s="41"/>
      <c r="AR114" s="69"/>
      <c r="AS114" s="46"/>
      <c r="AT114" s="41"/>
      <c r="AU114" s="68"/>
      <c r="AV114" s="41"/>
      <c r="AW114" s="41"/>
      <c r="AX114" s="69"/>
      <c r="AY114" s="41"/>
      <c r="AZ114" s="41"/>
      <c r="BA114" s="68"/>
      <c r="BB114" s="41"/>
      <c r="BC114" s="41"/>
      <c r="BD114" s="69"/>
      <c r="BE114" s="46"/>
      <c r="BF114" s="41"/>
      <c r="BG114" s="68"/>
      <c r="BH114" s="41"/>
      <c r="BI114" s="41"/>
      <c r="BJ114" s="69"/>
      <c r="BK114" s="46"/>
      <c r="BL114" s="41"/>
      <c r="BM114" s="68"/>
      <c r="BN114" s="41"/>
      <c r="BO114" s="41"/>
      <c r="BP114" s="69"/>
      <c r="BQ114" s="41"/>
      <c r="BR114" s="41"/>
      <c r="BS114" s="68"/>
      <c r="BT114" s="41"/>
      <c r="BU114" s="41"/>
      <c r="BV114" s="69"/>
      <c r="BW114" s="46"/>
      <c r="BX114" s="41"/>
      <c r="BY114" s="68"/>
      <c r="BZ114" s="41"/>
      <c r="CA114" s="41"/>
      <c r="CB114" s="69"/>
      <c r="CC114" s="46"/>
      <c r="CD114" s="41"/>
      <c r="CE114" s="68"/>
      <c r="CF114" s="41"/>
      <c r="CG114" s="41"/>
      <c r="CH114" s="69"/>
      <c r="CI114" s="41"/>
      <c r="CJ114" s="41"/>
      <c r="CK114" s="68"/>
      <c r="CL114" s="41"/>
      <c r="CM114" s="41"/>
      <c r="CN114" s="69"/>
      <c r="CO114" s="41"/>
      <c r="CP114" s="41"/>
      <c r="CQ114" s="68"/>
      <c r="CR114" s="41"/>
      <c r="CS114" s="41"/>
      <c r="CT114" s="69"/>
      <c r="CU114" s="41"/>
      <c r="CV114" s="41"/>
      <c r="CW114" s="68"/>
      <c r="CX114" s="41"/>
      <c r="CY114" s="41"/>
      <c r="CZ114" s="69"/>
      <c r="DA114" s="41"/>
      <c r="DB114" s="41"/>
      <c r="DC114" s="68"/>
      <c r="DD114" s="41"/>
      <c r="DE114" s="41"/>
      <c r="DF114" s="69"/>
      <c r="DG114" s="41" t="s">
        <v>403</v>
      </c>
      <c r="DH114" s="85" t="s">
        <v>309</v>
      </c>
      <c r="DI114" s="69">
        <v>20000</v>
      </c>
      <c r="DJ114" s="46"/>
      <c r="DK114" s="41"/>
      <c r="DL114" s="68">
        <v>0</v>
      </c>
    </row>
    <row r="115" spans="1:116" ht="23.25">
      <c r="A115" s="53" t="s">
        <v>301</v>
      </c>
      <c r="B115" s="40">
        <v>3</v>
      </c>
      <c r="C115" s="53" t="s">
        <v>267</v>
      </c>
      <c r="D115" s="54" t="s">
        <v>231</v>
      </c>
      <c r="E115" s="56">
        <v>7</v>
      </c>
      <c r="F115" s="59">
        <v>41.984001999999997</v>
      </c>
      <c r="G115" s="68">
        <f t="shared" si="1"/>
        <v>0</v>
      </c>
      <c r="H115" s="47">
        <v>41.984001999999997</v>
      </c>
      <c r="I115" s="69">
        <v>40</v>
      </c>
      <c r="J115" s="41"/>
      <c r="K115" s="41"/>
      <c r="L115" s="41"/>
      <c r="M115" s="69"/>
      <c r="N115" s="41"/>
      <c r="O115" s="41"/>
      <c r="P115" s="41"/>
      <c r="Q115" s="68"/>
      <c r="R115" s="41"/>
      <c r="S115" s="41"/>
      <c r="T115" s="41"/>
      <c r="U115" s="69"/>
      <c r="V115" s="41"/>
      <c r="W115" s="41"/>
      <c r="X115" s="68"/>
      <c r="Y115" s="41"/>
      <c r="Z115" s="41"/>
      <c r="AA115" s="41"/>
      <c r="AB115" s="69"/>
      <c r="AC115" s="41"/>
      <c r="AD115" s="41"/>
      <c r="AE115" s="41"/>
      <c r="AF115" s="68"/>
      <c r="AG115" s="41"/>
      <c r="AH115" s="41"/>
      <c r="AI115" s="41"/>
      <c r="AJ115" s="41"/>
      <c r="AK115" s="69"/>
      <c r="AL115" s="46"/>
      <c r="AM115" s="41"/>
      <c r="AN115" s="41"/>
      <c r="AO115" s="68"/>
      <c r="AP115" s="41"/>
      <c r="AQ115" s="41"/>
      <c r="AR115" s="69"/>
      <c r="AS115" s="46"/>
      <c r="AT115" s="41"/>
      <c r="AU115" s="68"/>
      <c r="AV115" s="41"/>
      <c r="AW115" s="41"/>
      <c r="AX115" s="69"/>
      <c r="AY115" s="41"/>
      <c r="AZ115" s="41"/>
      <c r="BA115" s="68"/>
      <c r="BB115" s="41"/>
      <c r="BC115" s="41"/>
      <c r="BD115" s="69"/>
      <c r="BE115" s="46"/>
      <c r="BF115" s="41"/>
      <c r="BG115" s="68"/>
      <c r="BH115" s="41"/>
      <c r="BI115" s="41"/>
      <c r="BJ115" s="69"/>
      <c r="BK115" s="46"/>
      <c r="BL115" s="41"/>
      <c r="BM115" s="68"/>
      <c r="BN115" s="41"/>
      <c r="BO115" s="41"/>
      <c r="BP115" s="69"/>
      <c r="BQ115" s="41"/>
      <c r="BR115" s="41"/>
      <c r="BS115" s="68"/>
      <c r="BT115" s="41"/>
      <c r="BU115" s="41"/>
      <c r="BV115" s="69"/>
      <c r="BW115" s="46"/>
      <c r="BX115" s="41"/>
      <c r="BY115" s="68"/>
      <c r="BZ115" s="41"/>
      <c r="CA115" s="41"/>
      <c r="CB115" s="69"/>
      <c r="CC115" s="46"/>
      <c r="CD115" s="41"/>
      <c r="CE115" s="68"/>
      <c r="CF115" s="41"/>
      <c r="CG115" s="41"/>
      <c r="CH115" s="69"/>
      <c r="CI115" s="41"/>
      <c r="CJ115" s="41"/>
      <c r="CK115" s="68"/>
      <c r="CL115" s="41"/>
      <c r="CM115" s="41"/>
      <c r="CN115" s="69"/>
      <c r="CO115" s="41"/>
      <c r="CP115" s="41"/>
      <c r="CQ115" s="68"/>
      <c r="CR115" s="41" t="s">
        <v>404</v>
      </c>
      <c r="CS115" s="41">
        <v>20</v>
      </c>
      <c r="CT115" s="69">
        <v>30000</v>
      </c>
      <c r="CU115" s="41"/>
      <c r="CV115" s="41"/>
      <c r="CW115" s="68"/>
      <c r="CX115" s="41"/>
      <c r="CY115" s="41"/>
      <c r="CZ115" s="69"/>
      <c r="DA115" s="41"/>
      <c r="DB115" s="41"/>
      <c r="DC115" s="68"/>
      <c r="DD115" s="41"/>
      <c r="DE115" s="41"/>
      <c r="DF115" s="69"/>
      <c r="DG115" s="41" t="s">
        <v>405</v>
      </c>
      <c r="DH115" s="85" t="s">
        <v>381</v>
      </c>
      <c r="DI115" s="69">
        <v>10000</v>
      </c>
      <c r="DJ115" s="46"/>
      <c r="DK115" s="41"/>
      <c r="DL115" s="68">
        <v>0</v>
      </c>
    </row>
    <row r="116" spans="1:116">
      <c r="A116" s="53" t="s">
        <v>301</v>
      </c>
      <c r="B116" s="40">
        <v>3</v>
      </c>
      <c r="C116" s="53" t="s">
        <v>268</v>
      </c>
      <c r="D116" s="54">
        <v>7</v>
      </c>
      <c r="E116" s="56">
        <v>7</v>
      </c>
      <c r="F116" s="59">
        <v>33.016795999999999</v>
      </c>
      <c r="G116" s="68">
        <f t="shared" si="1"/>
        <v>0</v>
      </c>
      <c r="H116" s="47">
        <v>33.016795999999999</v>
      </c>
      <c r="I116" s="69">
        <v>30</v>
      </c>
      <c r="J116" s="41"/>
      <c r="K116" s="41"/>
      <c r="L116" s="41"/>
      <c r="M116" s="69"/>
      <c r="N116" s="41"/>
      <c r="O116" s="41"/>
      <c r="P116" s="41"/>
      <c r="Q116" s="68"/>
      <c r="R116" s="41"/>
      <c r="S116" s="41"/>
      <c r="T116" s="41"/>
      <c r="U116" s="69"/>
      <c r="V116" s="41"/>
      <c r="W116" s="41"/>
      <c r="X116" s="68"/>
      <c r="Y116" s="41"/>
      <c r="Z116" s="41"/>
      <c r="AA116" s="41"/>
      <c r="AB116" s="69"/>
      <c r="AC116" s="41"/>
      <c r="AD116" s="41"/>
      <c r="AE116" s="41"/>
      <c r="AF116" s="68"/>
      <c r="AG116" s="41"/>
      <c r="AH116" s="41"/>
      <c r="AI116" s="41"/>
      <c r="AJ116" s="41"/>
      <c r="AK116" s="69"/>
      <c r="AL116" s="46"/>
      <c r="AM116" s="41"/>
      <c r="AN116" s="41"/>
      <c r="AO116" s="68"/>
      <c r="AP116" s="41"/>
      <c r="AQ116" s="41"/>
      <c r="AR116" s="69"/>
      <c r="AS116" s="46"/>
      <c r="AT116" s="41"/>
      <c r="AU116" s="68"/>
      <c r="AV116" s="41"/>
      <c r="AW116" s="41"/>
      <c r="AX116" s="69"/>
      <c r="AY116" s="41"/>
      <c r="AZ116" s="41"/>
      <c r="BA116" s="68"/>
      <c r="BB116" s="41"/>
      <c r="BC116" s="41"/>
      <c r="BD116" s="69"/>
      <c r="BE116" s="46"/>
      <c r="BF116" s="41"/>
      <c r="BG116" s="68"/>
      <c r="BH116" s="41"/>
      <c r="BI116" s="41"/>
      <c r="BJ116" s="69"/>
      <c r="BK116" s="46"/>
      <c r="BL116" s="41"/>
      <c r="BM116" s="68"/>
      <c r="BN116" s="41"/>
      <c r="BO116" s="41"/>
      <c r="BP116" s="69"/>
      <c r="BQ116" s="41"/>
      <c r="BR116" s="41"/>
      <c r="BS116" s="68"/>
      <c r="BT116" s="41"/>
      <c r="BU116" s="41"/>
      <c r="BV116" s="69"/>
      <c r="BW116" s="46"/>
      <c r="BX116" s="41"/>
      <c r="BY116" s="68"/>
      <c r="BZ116" s="41"/>
      <c r="CA116" s="41"/>
      <c r="CB116" s="69"/>
      <c r="CC116" s="46"/>
      <c r="CD116" s="41"/>
      <c r="CE116" s="68"/>
      <c r="CF116" s="41"/>
      <c r="CG116" s="41"/>
      <c r="CH116" s="69"/>
      <c r="CI116" s="41"/>
      <c r="CJ116" s="41"/>
      <c r="CK116" s="68"/>
      <c r="CL116" s="41"/>
      <c r="CM116" s="41"/>
      <c r="CN116" s="69"/>
      <c r="CO116" s="41"/>
      <c r="CP116" s="41"/>
      <c r="CQ116" s="68"/>
      <c r="CR116" s="41" t="s">
        <v>404</v>
      </c>
      <c r="CS116" s="41">
        <v>20</v>
      </c>
      <c r="CT116" s="69">
        <v>30000</v>
      </c>
      <c r="CU116" s="41"/>
      <c r="CV116" s="41"/>
      <c r="CW116" s="68"/>
      <c r="CX116" s="41"/>
      <c r="CY116" s="41"/>
      <c r="CZ116" s="69"/>
      <c r="DA116" s="41"/>
      <c r="DB116" s="41"/>
      <c r="DC116" s="68"/>
      <c r="DD116" s="41"/>
      <c r="DE116" s="41"/>
      <c r="DF116" s="69"/>
      <c r="DG116" s="41"/>
      <c r="DH116" s="86"/>
      <c r="DI116" s="69">
        <v>0</v>
      </c>
      <c r="DJ116" s="46"/>
      <c r="DK116" s="41"/>
      <c r="DL116" s="68">
        <v>0</v>
      </c>
    </row>
    <row r="117" spans="1:116">
      <c r="A117" s="53" t="s">
        <v>301</v>
      </c>
      <c r="B117" s="40">
        <v>3</v>
      </c>
      <c r="C117" s="53" t="s">
        <v>268</v>
      </c>
      <c r="D117" s="54">
        <v>9</v>
      </c>
      <c r="E117" s="56">
        <v>7</v>
      </c>
      <c r="F117" s="59">
        <v>42.407688</v>
      </c>
      <c r="G117" s="68">
        <f t="shared" si="1"/>
        <v>0</v>
      </c>
      <c r="H117" s="47">
        <v>42.407688</v>
      </c>
      <c r="I117" s="69">
        <v>42.4</v>
      </c>
      <c r="J117" s="41" t="s">
        <v>404</v>
      </c>
      <c r="K117" s="41">
        <v>1</v>
      </c>
      <c r="L117" s="41">
        <v>2</v>
      </c>
      <c r="M117" s="69">
        <v>42400</v>
      </c>
      <c r="N117" s="41"/>
      <c r="O117" s="41"/>
      <c r="P117" s="41"/>
      <c r="Q117" s="68"/>
      <c r="R117" s="41"/>
      <c r="S117" s="41"/>
      <c r="T117" s="41"/>
      <c r="U117" s="69"/>
      <c r="V117" s="41"/>
      <c r="W117" s="41"/>
      <c r="X117" s="68"/>
      <c r="Y117" s="41"/>
      <c r="Z117" s="41"/>
      <c r="AA117" s="41"/>
      <c r="AB117" s="69"/>
      <c r="AC117" s="41"/>
      <c r="AD117" s="41"/>
      <c r="AE117" s="41"/>
      <c r="AF117" s="68"/>
      <c r="AG117" s="41"/>
      <c r="AH117" s="41"/>
      <c r="AI117" s="41"/>
      <c r="AJ117" s="41"/>
      <c r="AK117" s="69"/>
      <c r="AL117" s="46"/>
      <c r="AM117" s="41"/>
      <c r="AN117" s="41"/>
      <c r="AO117" s="68"/>
      <c r="AP117" s="41"/>
      <c r="AQ117" s="41"/>
      <c r="AR117" s="69"/>
      <c r="AS117" s="46"/>
      <c r="AT117" s="41"/>
      <c r="AU117" s="68"/>
      <c r="AV117" s="41"/>
      <c r="AW117" s="41"/>
      <c r="AX117" s="69"/>
      <c r="AY117" s="41"/>
      <c r="AZ117" s="41"/>
      <c r="BA117" s="68"/>
      <c r="BB117" s="41"/>
      <c r="BC117" s="41"/>
      <c r="BD117" s="69"/>
      <c r="BE117" s="46"/>
      <c r="BF117" s="41"/>
      <c r="BG117" s="68"/>
      <c r="BH117" s="41"/>
      <c r="BI117" s="41"/>
      <c r="BJ117" s="69"/>
      <c r="BK117" s="46"/>
      <c r="BL117" s="41"/>
      <c r="BM117" s="68"/>
      <c r="BN117" s="41"/>
      <c r="BO117" s="41"/>
      <c r="BP117" s="69"/>
      <c r="BQ117" s="41"/>
      <c r="BR117" s="41"/>
      <c r="BS117" s="68"/>
      <c r="BT117" s="41"/>
      <c r="BU117" s="41"/>
      <c r="BV117" s="69"/>
      <c r="BW117" s="46"/>
      <c r="BX117" s="41"/>
      <c r="BY117" s="68"/>
      <c r="BZ117" s="41"/>
      <c r="CA117" s="41"/>
      <c r="CB117" s="69"/>
      <c r="CC117" s="46"/>
      <c r="CD117" s="41"/>
      <c r="CE117" s="68"/>
      <c r="CF117" s="41"/>
      <c r="CG117" s="41"/>
      <c r="CH117" s="69"/>
      <c r="CI117" s="41"/>
      <c r="CJ117" s="41"/>
      <c r="CK117" s="68"/>
      <c r="CL117" s="41"/>
      <c r="CM117" s="41"/>
      <c r="CN117" s="69"/>
      <c r="CO117" s="41"/>
      <c r="CP117" s="41"/>
      <c r="CQ117" s="68"/>
      <c r="CR117" s="41"/>
      <c r="CS117" s="41"/>
      <c r="CT117" s="69"/>
      <c r="CU117" s="41"/>
      <c r="CV117" s="41"/>
      <c r="CW117" s="68"/>
      <c r="CX117" s="41"/>
      <c r="CY117" s="41"/>
      <c r="CZ117" s="69"/>
      <c r="DA117" s="41"/>
      <c r="DB117" s="41"/>
      <c r="DC117" s="68"/>
      <c r="DD117" s="41"/>
      <c r="DE117" s="41"/>
      <c r="DF117" s="69"/>
      <c r="DG117" s="41"/>
      <c r="DH117" s="86"/>
      <c r="DI117" s="69">
        <v>0</v>
      </c>
      <c r="DJ117" s="46"/>
      <c r="DK117" s="41"/>
      <c r="DL117" s="68">
        <v>0</v>
      </c>
    </row>
    <row r="118" spans="1:116" ht="23.25">
      <c r="A118" s="53" t="s">
        <v>301</v>
      </c>
      <c r="B118" s="40">
        <v>3</v>
      </c>
      <c r="C118" s="53" t="s">
        <v>274</v>
      </c>
      <c r="D118" s="57" t="s">
        <v>275</v>
      </c>
      <c r="E118" s="56">
        <v>6</v>
      </c>
      <c r="F118" s="59">
        <v>72.567297999999994</v>
      </c>
      <c r="G118" s="68">
        <f t="shared" si="1"/>
        <v>0</v>
      </c>
      <c r="H118" s="47">
        <v>72.567297999999994</v>
      </c>
      <c r="I118" s="69">
        <v>53.2</v>
      </c>
      <c r="J118" s="41"/>
      <c r="K118" s="41"/>
      <c r="L118" s="41"/>
      <c r="M118" s="69"/>
      <c r="N118" s="41"/>
      <c r="O118" s="41"/>
      <c r="P118" s="41"/>
      <c r="Q118" s="68"/>
      <c r="R118" s="41" t="s">
        <v>406</v>
      </c>
      <c r="S118" s="41">
        <v>24</v>
      </c>
      <c r="T118" s="41">
        <v>9</v>
      </c>
      <c r="U118" s="69">
        <v>43200</v>
      </c>
      <c r="V118" s="41"/>
      <c r="W118" s="41"/>
      <c r="X118" s="68"/>
      <c r="Y118" s="41"/>
      <c r="Z118" s="41"/>
      <c r="AA118" s="41"/>
      <c r="AB118" s="69"/>
      <c r="AC118" s="41"/>
      <c r="AD118" s="41"/>
      <c r="AE118" s="41"/>
      <c r="AF118" s="68"/>
      <c r="AG118" s="41"/>
      <c r="AH118" s="41"/>
      <c r="AI118" s="41"/>
      <c r="AJ118" s="41"/>
      <c r="AK118" s="69"/>
      <c r="AL118" s="46"/>
      <c r="AM118" s="41"/>
      <c r="AN118" s="41"/>
      <c r="AO118" s="68"/>
      <c r="AP118" s="41"/>
      <c r="AQ118" s="41"/>
      <c r="AR118" s="69"/>
      <c r="AS118" s="46"/>
      <c r="AT118" s="41"/>
      <c r="AU118" s="68"/>
      <c r="AV118" s="41"/>
      <c r="AW118" s="41"/>
      <c r="AX118" s="69"/>
      <c r="AY118" s="41"/>
      <c r="AZ118" s="41"/>
      <c r="BA118" s="68"/>
      <c r="BB118" s="41"/>
      <c r="BC118" s="41"/>
      <c r="BD118" s="69"/>
      <c r="BE118" s="46"/>
      <c r="BF118" s="41"/>
      <c r="BG118" s="68"/>
      <c r="BH118" s="41"/>
      <c r="BI118" s="41"/>
      <c r="BJ118" s="69"/>
      <c r="BK118" s="46"/>
      <c r="BL118" s="41"/>
      <c r="BM118" s="68"/>
      <c r="BN118" s="41"/>
      <c r="BO118" s="41"/>
      <c r="BP118" s="69"/>
      <c r="BQ118" s="41"/>
      <c r="BR118" s="41"/>
      <c r="BS118" s="68"/>
      <c r="BT118" s="41"/>
      <c r="BU118" s="41"/>
      <c r="BV118" s="69"/>
      <c r="BW118" s="46"/>
      <c r="BX118" s="41"/>
      <c r="BY118" s="68"/>
      <c r="BZ118" s="41"/>
      <c r="CA118" s="41"/>
      <c r="CB118" s="69"/>
      <c r="CC118" s="46"/>
      <c r="CD118" s="41"/>
      <c r="CE118" s="68"/>
      <c r="CF118" s="41"/>
      <c r="CG118" s="41"/>
      <c r="CH118" s="69"/>
      <c r="CI118" s="41"/>
      <c r="CJ118" s="41"/>
      <c r="CK118" s="68"/>
      <c r="CL118" s="41"/>
      <c r="CM118" s="41"/>
      <c r="CN118" s="69"/>
      <c r="CO118" s="41"/>
      <c r="CP118" s="41"/>
      <c r="CQ118" s="68"/>
      <c r="CR118" s="41"/>
      <c r="CS118" s="41"/>
      <c r="CT118" s="69"/>
      <c r="CU118" s="41"/>
      <c r="CV118" s="41"/>
      <c r="CW118" s="68"/>
      <c r="CX118" s="41"/>
      <c r="CY118" s="41"/>
      <c r="CZ118" s="69"/>
      <c r="DA118" s="41"/>
      <c r="DB118" s="41"/>
      <c r="DC118" s="68"/>
      <c r="DD118" s="41"/>
      <c r="DE118" s="41"/>
      <c r="DF118" s="69"/>
      <c r="DG118" s="41" t="s">
        <v>407</v>
      </c>
      <c r="DH118" s="85" t="s">
        <v>381</v>
      </c>
      <c r="DI118" s="69">
        <v>10000</v>
      </c>
      <c r="DJ118" s="46"/>
      <c r="DK118" s="41"/>
      <c r="DL118" s="68">
        <v>0</v>
      </c>
    </row>
    <row r="119" spans="1:116" ht="23.25">
      <c r="A119" s="53" t="s">
        <v>301</v>
      </c>
      <c r="B119" s="40">
        <v>3</v>
      </c>
      <c r="C119" s="53" t="s">
        <v>274</v>
      </c>
      <c r="D119" s="54">
        <v>3</v>
      </c>
      <c r="E119" s="56">
        <v>7</v>
      </c>
      <c r="F119" s="59">
        <v>40.606150000000007</v>
      </c>
      <c r="G119" s="68">
        <f t="shared" si="1"/>
        <v>0</v>
      </c>
      <c r="H119" s="47">
        <v>40.606150000000007</v>
      </c>
      <c r="I119" s="69">
        <v>40.61</v>
      </c>
      <c r="J119" s="41"/>
      <c r="K119" s="41"/>
      <c r="L119" s="41"/>
      <c r="M119" s="69"/>
      <c r="N119" s="41"/>
      <c r="O119" s="41"/>
      <c r="P119" s="41"/>
      <c r="Q119" s="68"/>
      <c r="R119" s="41"/>
      <c r="S119" s="41"/>
      <c r="T119" s="41"/>
      <c r="U119" s="69"/>
      <c r="V119" s="41"/>
      <c r="W119" s="41"/>
      <c r="X119" s="68"/>
      <c r="Y119" s="41"/>
      <c r="Z119" s="41"/>
      <c r="AA119" s="41"/>
      <c r="AB119" s="69"/>
      <c r="AC119" s="41"/>
      <c r="AD119" s="41"/>
      <c r="AE119" s="41"/>
      <c r="AF119" s="68"/>
      <c r="AG119" s="41"/>
      <c r="AH119" s="41"/>
      <c r="AI119" s="41"/>
      <c r="AJ119" s="41"/>
      <c r="AK119" s="69"/>
      <c r="AL119" s="46"/>
      <c r="AM119" s="41"/>
      <c r="AN119" s="41"/>
      <c r="AO119" s="68"/>
      <c r="AP119" s="41"/>
      <c r="AQ119" s="41"/>
      <c r="AR119" s="69"/>
      <c r="AS119" s="46"/>
      <c r="AT119" s="41"/>
      <c r="AU119" s="68"/>
      <c r="AV119" s="41"/>
      <c r="AW119" s="41"/>
      <c r="AX119" s="69"/>
      <c r="AY119" s="41"/>
      <c r="AZ119" s="41"/>
      <c r="BA119" s="68"/>
      <c r="BB119" s="41"/>
      <c r="BC119" s="41"/>
      <c r="BD119" s="69"/>
      <c r="BE119" s="46"/>
      <c r="BF119" s="41"/>
      <c r="BG119" s="68"/>
      <c r="BH119" s="41"/>
      <c r="BI119" s="41"/>
      <c r="BJ119" s="69"/>
      <c r="BK119" s="46"/>
      <c r="BL119" s="41"/>
      <c r="BM119" s="68"/>
      <c r="BN119" s="41"/>
      <c r="BO119" s="41"/>
      <c r="BP119" s="69"/>
      <c r="BQ119" s="41"/>
      <c r="BR119" s="41"/>
      <c r="BS119" s="68"/>
      <c r="BT119" s="41"/>
      <c r="BU119" s="41"/>
      <c r="BV119" s="69"/>
      <c r="BW119" s="46"/>
      <c r="BX119" s="41"/>
      <c r="BY119" s="68"/>
      <c r="BZ119" s="41"/>
      <c r="CA119" s="41"/>
      <c r="CB119" s="69"/>
      <c r="CC119" s="46"/>
      <c r="CD119" s="41"/>
      <c r="CE119" s="68"/>
      <c r="CF119" s="41"/>
      <c r="CG119" s="41"/>
      <c r="CH119" s="69"/>
      <c r="CI119" s="41"/>
      <c r="CJ119" s="41"/>
      <c r="CK119" s="68"/>
      <c r="CL119" s="41"/>
      <c r="CM119" s="41"/>
      <c r="CN119" s="69"/>
      <c r="CO119" s="41"/>
      <c r="CP119" s="41"/>
      <c r="CQ119" s="68"/>
      <c r="CR119" s="41"/>
      <c r="CS119" s="41"/>
      <c r="CT119" s="69"/>
      <c r="CU119" s="41"/>
      <c r="CV119" s="41"/>
      <c r="CW119" s="68"/>
      <c r="CX119" s="41"/>
      <c r="CY119" s="41"/>
      <c r="CZ119" s="69"/>
      <c r="DA119" s="41"/>
      <c r="DB119" s="41"/>
      <c r="DC119" s="68"/>
      <c r="DD119" s="41"/>
      <c r="DE119" s="41"/>
      <c r="DF119" s="69"/>
      <c r="DG119" s="41" t="s">
        <v>405</v>
      </c>
      <c r="DH119" s="85" t="s">
        <v>382</v>
      </c>
      <c r="DI119" s="69">
        <v>40610</v>
      </c>
      <c r="DJ119" s="46"/>
      <c r="DK119" s="41"/>
      <c r="DL119" s="68">
        <v>0</v>
      </c>
    </row>
    <row r="120" spans="1:116">
      <c r="A120" s="91" t="s">
        <v>301</v>
      </c>
      <c r="B120" s="90">
        <v>3</v>
      </c>
      <c r="C120" s="91" t="s">
        <v>274</v>
      </c>
      <c r="D120" s="92" t="s">
        <v>226</v>
      </c>
      <c r="E120" s="96">
        <v>7</v>
      </c>
      <c r="F120" s="94">
        <v>-40.037315999999997</v>
      </c>
      <c r="G120" s="68">
        <f t="shared" si="1"/>
        <v>0</v>
      </c>
      <c r="H120" s="93">
        <v>-40.037315999999997</v>
      </c>
      <c r="I120" s="93">
        <v>0</v>
      </c>
      <c r="J120" s="93"/>
      <c r="K120" s="93"/>
      <c r="L120" s="93"/>
      <c r="M120" s="93"/>
      <c r="N120" s="41"/>
      <c r="O120" s="41"/>
      <c r="P120" s="41"/>
      <c r="Q120" s="68"/>
      <c r="R120" s="93"/>
      <c r="S120" s="93"/>
      <c r="T120" s="93"/>
      <c r="U120" s="93"/>
      <c r="V120" s="41"/>
      <c r="W120" s="41"/>
      <c r="X120" s="68"/>
      <c r="Y120" s="93"/>
      <c r="Z120" s="93"/>
      <c r="AA120" s="93"/>
      <c r="AB120" s="93"/>
      <c r="AC120" s="41"/>
      <c r="AD120" s="41"/>
      <c r="AE120" s="41"/>
      <c r="AF120" s="68"/>
      <c r="AG120" s="93"/>
      <c r="AH120" s="93"/>
      <c r="AI120" s="93"/>
      <c r="AJ120" s="93"/>
      <c r="AK120" s="93"/>
      <c r="AL120" s="46"/>
      <c r="AM120" s="41"/>
      <c r="AN120" s="41"/>
      <c r="AO120" s="68"/>
      <c r="AP120" s="93"/>
      <c r="AQ120" s="93"/>
      <c r="AR120" s="93"/>
      <c r="AS120" s="46"/>
      <c r="AT120" s="41"/>
      <c r="AU120" s="68"/>
      <c r="AV120" s="93"/>
      <c r="AW120" s="93"/>
      <c r="AX120" s="93"/>
      <c r="AY120" s="41"/>
      <c r="AZ120" s="41"/>
      <c r="BA120" s="68"/>
      <c r="BB120" s="93"/>
      <c r="BC120" s="93"/>
      <c r="BD120" s="93"/>
      <c r="BE120" s="46"/>
      <c r="BF120" s="41"/>
      <c r="BG120" s="68"/>
      <c r="BH120" s="93"/>
      <c r="BI120" s="93"/>
      <c r="BJ120" s="93"/>
      <c r="BK120" s="46"/>
      <c r="BL120" s="41"/>
      <c r="BM120" s="68"/>
      <c r="BN120" s="41"/>
      <c r="BO120" s="41"/>
      <c r="BP120" s="69"/>
      <c r="BQ120" s="41"/>
      <c r="BR120" s="41"/>
      <c r="BS120" s="68"/>
      <c r="BT120" s="41"/>
      <c r="BU120" s="41"/>
      <c r="BV120" s="69"/>
      <c r="BW120" s="46"/>
      <c r="BX120" s="41"/>
      <c r="BY120" s="68"/>
      <c r="BZ120" s="93"/>
      <c r="CA120" s="93"/>
      <c r="CB120" s="93"/>
      <c r="CC120" s="46"/>
      <c r="CD120" s="41"/>
      <c r="CE120" s="68"/>
      <c r="CF120" s="93"/>
      <c r="CG120" s="93"/>
      <c r="CH120" s="93"/>
      <c r="CI120" s="41"/>
      <c r="CJ120" s="41"/>
      <c r="CK120" s="68"/>
      <c r="CL120" s="93"/>
      <c r="CM120" s="93"/>
      <c r="CN120" s="93"/>
      <c r="CO120" s="41"/>
      <c r="CP120" s="41"/>
      <c r="CQ120" s="68"/>
      <c r="CR120" s="93"/>
      <c r="CS120" s="93"/>
      <c r="CT120" s="93"/>
      <c r="CU120" s="41"/>
      <c r="CV120" s="41"/>
      <c r="CW120" s="68"/>
      <c r="CX120" s="41"/>
      <c r="CY120" s="41"/>
      <c r="CZ120" s="69"/>
      <c r="DA120" s="41"/>
      <c r="DB120" s="41"/>
      <c r="DC120" s="68"/>
      <c r="DD120" s="41"/>
      <c r="DE120" s="41"/>
      <c r="DF120" s="69"/>
      <c r="DG120" s="93"/>
      <c r="DH120" s="97"/>
      <c r="DI120" s="93">
        <v>0</v>
      </c>
      <c r="DJ120" s="46"/>
      <c r="DK120" s="41"/>
      <c r="DL120" s="68">
        <v>0</v>
      </c>
    </row>
    <row r="121" spans="1:116" ht="23.25">
      <c r="A121" s="53" t="s">
        <v>301</v>
      </c>
      <c r="B121" s="40">
        <v>3</v>
      </c>
      <c r="C121" s="53" t="s">
        <v>274</v>
      </c>
      <c r="D121" s="54" t="s">
        <v>276</v>
      </c>
      <c r="E121" s="56">
        <v>7</v>
      </c>
      <c r="F121" s="59">
        <v>47.714122000000003</v>
      </c>
      <c r="G121" s="68">
        <f t="shared" si="1"/>
        <v>6.0438799999999997</v>
      </c>
      <c r="H121" s="47">
        <v>47.714122000000003</v>
      </c>
      <c r="I121" s="69">
        <v>37.71</v>
      </c>
      <c r="J121" s="41"/>
      <c r="K121" s="41"/>
      <c r="L121" s="41"/>
      <c r="M121" s="69"/>
      <c r="N121" s="41"/>
      <c r="O121" s="41"/>
      <c r="P121" s="41"/>
      <c r="Q121" s="68"/>
      <c r="R121" s="41"/>
      <c r="S121" s="41"/>
      <c r="T121" s="41"/>
      <c r="U121" s="69"/>
      <c r="V121" s="41"/>
      <c r="W121" s="41"/>
      <c r="X121" s="68"/>
      <c r="Y121" s="41"/>
      <c r="Z121" s="41"/>
      <c r="AA121" s="41"/>
      <c r="AB121" s="69"/>
      <c r="AC121" s="41"/>
      <c r="AD121" s="41"/>
      <c r="AE121" s="41"/>
      <c r="AF121" s="68"/>
      <c r="AG121" s="41"/>
      <c r="AH121" s="41"/>
      <c r="AI121" s="41"/>
      <c r="AJ121" s="41"/>
      <c r="AK121" s="69"/>
      <c r="AL121" s="46" t="s">
        <v>402</v>
      </c>
      <c r="AM121" s="41">
        <v>5.28</v>
      </c>
      <c r="AN121" s="41">
        <v>8</v>
      </c>
      <c r="AO121" s="68">
        <v>6043.88</v>
      </c>
      <c r="AP121" s="41"/>
      <c r="AQ121" s="41"/>
      <c r="AR121" s="69"/>
      <c r="AS121" s="46"/>
      <c r="AT121" s="41"/>
      <c r="AU121" s="68"/>
      <c r="AV121" s="41"/>
      <c r="AW121" s="41"/>
      <c r="AX121" s="69"/>
      <c r="AY121" s="41"/>
      <c r="AZ121" s="41"/>
      <c r="BA121" s="68"/>
      <c r="BB121" s="41"/>
      <c r="BC121" s="41"/>
      <c r="BD121" s="69"/>
      <c r="BE121" s="46"/>
      <c r="BF121" s="41"/>
      <c r="BG121" s="68"/>
      <c r="BH121" s="41"/>
      <c r="BI121" s="41"/>
      <c r="BJ121" s="69"/>
      <c r="BK121" s="46"/>
      <c r="BL121" s="41"/>
      <c r="BM121" s="68"/>
      <c r="BN121" s="41"/>
      <c r="BO121" s="41"/>
      <c r="BP121" s="69"/>
      <c r="BQ121" s="41"/>
      <c r="BR121" s="41"/>
      <c r="BS121" s="68"/>
      <c r="BT121" s="41"/>
      <c r="BU121" s="41"/>
      <c r="BV121" s="69"/>
      <c r="BW121" s="46"/>
      <c r="BX121" s="41"/>
      <c r="BY121" s="68"/>
      <c r="BZ121" s="41"/>
      <c r="CA121" s="41"/>
      <c r="CB121" s="69"/>
      <c r="CC121" s="46"/>
      <c r="CD121" s="41"/>
      <c r="CE121" s="68"/>
      <c r="CF121" s="41"/>
      <c r="CG121" s="41"/>
      <c r="CH121" s="69"/>
      <c r="CI121" s="41"/>
      <c r="CJ121" s="41"/>
      <c r="CK121" s="68"/>
      <c r="CL121" s="41"/>
      <c r="CM121" s="41"/>
      <c r="CN121" s="69"/>
      <c r="CO121" s="41"/>
      <c r="CP121" s="41"/>
      <c r="CQ121" s="68"/>
      <c r="CR121" s="41" t="s">
        <v>405</v>
      </c>
      <c r="CS121" s="41">
        <v>16</v>
      </c>
      <c r="CT121" s="69">
        <v>25710</v>
      </c>
      <c r="CU121" s="41"/>
      <c r="CV121" s="41"/>
      <c r="CW121" s="68"/>
      <c r="CX121" s="41"/>
      <c r="CY121" s="41"/>
      <c r="CZ121" s="69"/>
      <c r="DA121" s="41"/>
      <c r="DB121" s="41"/>
      <c r="DC121" s="68"/>
      <c r="DD121" s="41"/>
      <c r="DE121" s="41"/>
      <c r="DF121" s="69"/>
      <c r="DG121" s="41" t="s">
        <v>405</v>
      </c>
      <c r="DH121" s="85" t="s">
        <v>314</v>
      </c>
      <c r="DI121" s="69">
        <v>12000</v>
      </c>
      <c r="DJ121" s="46"/>
      <c r="DK121" s="41"/>
      <c r="DL121" s="68">
        <v>0</v>
      </c>
    </row>
    <row r="122" spans="1:116" ht="68.25">
      <c r="A122" s="53" t="s">
        <v>301</v>
      </c>
      <c r="B122" s="40">
        <v>3</v>
      </c>
      <c r="C122" s="53" t="s">
        <v>274</v>
      </c>
      <c r="D122" s="54" t="s">
        <v>277</v>
      </c>
      <c r="E122" s="56">
        <v>7</v>
      </c>
      <c r="F122" s="59">
        <v>71.315358000000003</v>
      </c>
      <c r="G122" s="68">
        <f t="shared" si="1"/>
        <v>0</v>
      </c>
      <c r="H122" s="47">
        <v>71.315358000000003</v>
      </c>
      <c r="I122" s="69">
        <v>71.319999999999993</v>
      </c>
      <c r="J122" s="41"/>
      <c r="K122" s="41"/>
      <c r="L122" s="41"/>
      <c r="M122" s="69"/>
      <c r="N122" s="41"/>
      <c r="O122" s="41"/>
      <c r="P122" s="41"/>
      <c r="Q122" s="68"/>
      <c r="R122" s="41"/>
      <c r="S122" s="41"/>
      <c r="T122" s="41"/>
      <c r="U122" s="69"/>
      <c r="V122" s="41"/>
      <c r="W122" s="41"/>
      <c r="X122" s="68"/>
      <c r="Y122" s="41"/>
      <c r="Z122" s="41"/>
      <c r="AA122" s="41"/>
      <c r="AB122" s="69"/>
      <c r="AC122" s="41"/>
      <c r="AD122" s="41"/>
      <c r="AE122" s="41"/>
      <c r="AF122" s="68"/>
      <c r="AG122" s="41"/>
      <c r="AH122" s="41"/>
      <c r="AI122" s="41"/>
      <c r="AJ122" s="41"/>
      <c r="AK122" s="69"/>
      <c r="AL122" s="46"/>
      <c r="AM122" s="41"/>
      <c r="AN122" s="41"/>
      <c r="AO122" s="68"/>
      <c r="AP122" s="41"/>
      <c r="AQ122" s="41"/>
      <c r="AR122" s="69"/>
      <c r="AS122" s="46"/>
      <c r="AT122" s="41"/>
      <c r="AU122" s="68"/>
      <c r="AV122" s="41"/>
      <c r="AW122" s="41"/>
      <c r="AX122" s="69"/>
      <c r="AY122" s="41"/>
      <c r="AZ122" s="41"/>
      <c r="BA122" s="68"/>
      <c r="BB122" s="41"/>
      <c r="BC122" s="41"/>
      <c r="BD122" s="69"/>
      <c r="BE122" s="46"/>
      <c r="BF122" s="41"/>
      <c r="BG122" s="68"/>
      <c r="BH122" s="41"/>
      <c r="BI122" s="41"/>
      <c r="BJ122" s="69"/>
      <c r="BK122" s="46"/>
      <c r="BL122" s="41"/>
      <c r="BM122" s="68"/>
      <c r="BN122" s="41"/>
      <c r="BO122" s="41"/>
      <c r="BP122" s="69"/>
      <c r="BQ122" s="41"/>
      <c r="BR122" s="41"/>
      <c r="BS122" s="68"/>
      <c r="BT122" s="41"/>
      <c r="BU122" s="41"/>
      <c r="BV122" s="69"/>
      <c r="BW122" s="46"/>
      <c r="BX122" s="41"/>
      <c r="BY122" s="68"/>
      <c r="BZ122" s="41"/>
      <c r="CA122" s="41"/>
      <c r="CB122" s="69"/>
      <c r="CC122" s="46"/>
      <c r="CD122" s="41"/>
      <c r="CE122" s="68"/>
      <c r="CF122" s="41"/>
      <c r="CG122" s="41"/>
      <c r="CH122" s="69"/>
      <c r="CI122" s="41"/>
      <c r="CJ122" s="41"/>
      <c r="CK122" s="68"/>
      <c r="CL122" s="41"/>
      <c r="CM122" s="41"/>
      <c r="CN122" s="69"/>
      <c r="CO122" s="41"/>
      <c r="CP122" s="41"/>
      <c r="CQ122" s="68"/>
      <c r="CR122" s="41"/>
      <c r="CS122" s="41"/>
      <c r="CT122" s="69"/>
      <c r="CU122" s="41"/>
      <c r="CV122" s="41"/>
      <c r="CW122" s="68"/>
      <c r="CX122" s="41"/>
      <c r="CY122" s="41"/>
      <c r="CZ122" s="69"/>
      <c r="DA122" s="41"/>
      <c r="DB122" s="41"/>
      <c r="DC122" s="68"/>
      <c r="DD122" s="41"/>
      <c r="DE122" s="41"/>
      <c r="DF122" s="69"/>
      <c r="DG122" s="41" t="s">
        <v>407</v>
      </c>
      <c r="DH122" s="85" t="s">
        <v>418</v>
      </c>
      <c r="DI122" s="69">
        <v>71320</v>
      </c>
      <c r="DJ122" s="46"/>
      <c r="DK122" s="41"/>
      <c r="DL122" s="68">
        <v>0</v>
      </c>
    </row>
    <row r="123" spans="1:116" ht="23.25">
      <c r="A123" s="53" t="s">
        <v>301</v>
      </c>
      <c r="B123" s="40">
        <v>3</v>
      </c>
      <c r="C123" s="53" t="s">
        <v>274</v>
      </c>
      <c r="D123" s="54">
        <v>10</v>
      </c>
      <c r="E123" s="56">
        <v>7</v>
      </c>
      <c r="F123" s="59">
        <v>27.095662000000004</v>
      </c>
      <c r="G123" s="68">
        <f t="shared" si="1"/>
        <v>0</v>
      </c>
      <c r="H123" s="47">
        <v>27.095662000000004</v>
      </c>
      <c r="I123" s="69">
        <v>17</v>
      </c>
      <c r="J123" s="41"/>
      <c r="K123" s="41"/>
      <c r="L123" s="41"/>
      <c r="M123" s="69"/>
      <c r="N123" s="41"/>
      <c r="O123" s="41"/>
      <c r="P123" s="41"/>
      <c r="Q123" s="68"/>
      <c r="R123" s="41"/>
      <c r="S123" s="41"/>
      <c r="T123" s="41"/>
      <c r="U123" s="69"/>
      <c r="V123" s="41"/>
      <c r="W123" s="41"/>
      <c r="X123" s="68"/>
      <c r="Y123" s="41"/>
      <c r="Z123" s="41"/>
      <c r="AA123" s="41"/>
      <c r="AB123" s="69"/>
      <c r="AC123" s="41"/>
      <c r="AD123" s="41"/>
      <c r="AE123" s="41"/>
      <c r="AF123" s="68"/>
      <c r="AG123" s="41"/>
      <c r="AH123" s="41"/>
      <c r="AI123" s="41"/>
      <c r="AJ123" s="41"/>
      <c r="AK123" s="69"/>
      <c r="AL123" s="46"/>
      <c r="AM123" s="41"/>
      <c r="AN123" s="41"/>
      <c r="AO123" s="68"/>
      <c r="AP123" s="41"/>
      <c r="AQ123" s="41"/>
      <c r="AR123" s="69"/>
      <c r="AS123" s="46"/>
      <c r="AT123" s="41"/>
      <c r="AU123" s="68"/>
      <c r="AV123" s="41"/>
      <c r="AW123" s="41"/>
      <c r="AX123" s="69"/>
      <c r="AY123" s="41"/>
      <c r="AZ123" s="41"/>
      <c r="BA123" s="68"/>
      <c r="BB123" s="41"/>
      <c r="BC123" s="41"/>
      <c r="BD123" s="69"/>
      <c r="BE123" s="46"/>
      <c r="BF123" s="41"/>
      <c r="BG123" s="68"/>
      <c r="BH123" s="41"/>
      <c r="BI123" s="41"/>
      <c r="BJ123" s="69"/>
      <c r="BK123" s="46"/>
      <c r="BL123" s="41"/>
      <c r="BM123" s="68"/>
      <c r="BN123" s="41"/>
      <c r="BO123" s="41"/>
      <c r="BP123" s="69"/>
      <c r="BQ123" s="41"/>
      <c r="BR123" s="41"/>
      <c r="BS123" s="68"/>
      <c r="BT123" s="41"/>
      <c r="BU123" s="41"/>
      <c r="BV123" s="69"/>
      <c r="BW123" s="46"/>
      <c r="BX123" s="41"/>
      <c r="BY123" s="68"/>
      <c r="BZ123" s="41"/>
      <c r="CA123" s="41"/>
      <c r="CB123" s="69"/>
      <c r="CC123" s="46"/>
      <c r="CD123" s="41"/>
      <c r="CE123" s="68"/>
      <c r="CF123" s="41"/>
      <c r="CG123" s="41"/>
      <c r="CH123" s="69"/>
      <c r="CI123" s="41"/>
      <c r="CJ123" s="41"/>
      <c r="CK123" s="68"/>
      <c r="CL123" s="41"/>
      <c r="CM123" s="41"/>
      <c r="CN123" s="69"/>
      <c r="CO123" s="41"/>
      <c r="CP123" s="41"/>
      <c r="CQ123" s="68"/>
      <c r="CR123" s="41"/>
      <c r="CS123" s="41"/>
      <c r="CT123" s="69"/>
      <c r="CU123" s="41"/>
      <c r="CV123" s="41"/>
      <c r="CW123" s="68"/>
      <c r="CX123" s="41"/>
      <c r="CY123" s="41"/>
      <c r="CZ123" s="69"/>
      <c r="DA123" s="41"/>
      <c r="DB123" s="41"/>
      <c r="DC123" s="68"/>
      <c r="DD123" s="41"/>
      <c r="DE123" s="41"/>
      <c r="DF123" s="69"/>
      <c r="DG123" s="41" t="s">
        <v>405</v>
      </c>
      <c r="DH123" s="85" t="s">
        <v>314</v>
      </c>
      <c r="DI123" s="69">
        <v>17000</v>
      </c>
      <c r="DJ123" s="46"/>
      <c r="DK123" s="41"/>
      <c r="DL123" s="68">
        <v>0</v>
      </c>
    </row>
    <row r="124" spans="1:116">
      <c r="A124" s="53" t="s">
        <v>301</v>
      </c>
      <c r="B124" s="40">
        <v>3</v>
      </c>
      <c r="C124" s="53" t="s">
        <v>274</v>
      </c>
      <c r="D124" s="54">
        <v>12</v>
      </c>
      <c r="E124" s="56">
        <v>6</v>
      </c>
      <c r="F124" s="59">
        <v>38.277345999999994</v>
      </c>
      <c r="G124" s="68">
        <f t="shared" si="1"/>
        <v>0</v>
      </c>
      <c r="H124" s="47">
        <v>38.277345999999994</v>
      </c>
      <c r="I124" s="69">
        <v>38.28</v>
      </c>
      <c r="J124" s="41"/>
      <c r="K124" s="41"/>
      <c r="L124" s="41"/>
      <c r="M124" s="69"/>
      <c r="N124" s="41"/>
      <c r="O124" s="41"/>
      <c r="P124" s="41"/>
      <c r="Q124" s="68"/>
      <c r="R124" s="41"/>
      <c r="S124" s="41"/>
      <c r="T124" s="41"/>
      <c r="U124" s="69"/>
      <c r="V124" s="41"/>
      <c r="W124" s="41"/>
      <c r="X124" s="68"/>
      <c r="Y124" s="41"/>
      <c r="Z124" s="41"/>
      <c r="AA124" s="41"/>
      <c r="AB124" s="69"/>
      <c r="AC124" s="41"/>
      <c r="AD124" s="41"/>
      <c r="AE124" s="41"/>
      <c r="AF124" s="68"/>
      <c r="AG124" s="41"/>
      <c r="AH124" s="41"/>
      <c r="AI124" s="41"/>
      <c r="AJ124" s="41"/>
      <c r="AK124" s="69"/>
      <c r="AL124" s="46"/>
      <c r="AM124" s="41"/>
      <c r="AN124" s="41"/>
      <c r="AO124" s="68"/>
      <c r="AP124" s="41"/>
      <c r="AQ124" s="41"/>
      <c r="AR124" s="69"/>
      <c r="AS124" s="46"/>
      <c r="AT124" s="41"/>
      <c r="AU124" s="68"/>
      <c r="AV124" s="41"/>
      <c r="AW124" s="41"/>
      <c r="AX124" s="69"/>
      <c r="AY124" s="41"/>
      <c r="AZ124" s="41"/>
      <c r="BA124" s="68"/>
      <c r="BB124" s="41"/>
      <c r="BC124" s="41"/>
      <c r="BD124" s="69"/>
      <c r="BE124" s="46"/>
      <c r="BF124" s="41"/>
      <c r="BG124" s="68"/>
      <c r="BH124" s="41"/>
      <c r="BI124" s="41"/>
      <c r="BJ124" s="69"/>
      <c r="BK124" s="46"/>
      <c r="BL124" s="41"/>
      <c r="BM124" s="68"/>
      <c r="BN124" s="41"/>
      <c r="BO124" s="41"/>
      <c r="BP124" s="69"/>
      <c r="BQ124" s="41"/>
      <c r="BR124" s="41"/>
      <c r="BS124" s="68"/>
      <c r="BT124" s="41"/>
      <c r="BU124" s="41"/>
      <c r="BV124" s="69"/>
      <c r="BW124" s="46"/>
      <c r="BX124" s="41"/>
      <c r="BY124" s="68"/>
      <c r="BZ124" s="41"/>
      <c r="CA124" s="41"/>
      <c r="CB124" s="69"/>
      <c r="CC124" s="46"/>
      <c r="CD124" s="41"/>
      <c r="CE124" s="68"/>
      <c r="CF124" s="41"/>
      <c r="CG124" s="41"/>
      <c r="CH124" s="69"/>
      <c r="CI124" s="41"/>
      <c r="CJ124" s="41"/>
      <c r="CK124" s="68"/>
      <c r="CL124" s="41"/>
      <c r="CM124" s="41"/>
      <c r="CN124" s="69"/>
      <c r="CO124" s="41"/>
      <c r="CP124" s="41"/>
      <c r="CQ124" s="68"/>
      <c r="CR124" s="41" t="s">
        <v>405</v>
      </c>
      <c r="CS124" s="41">
        <v>10</v>
      </c>
      <c r="CT124" s="69">
        <v>14280</v>
      </c>
      <c r="CU124" s="41"/>
      <c r="CV124" s="41"/>
      <c r="CW124" s="68"/>
      <c r="CX124" s="41"/>
      <c r="CY124" s="41"/>
      <c r="CZ124" s="69"/>
      <c r="DA124" s="41"/>
      <c r="DB124" s="41"/>
      <c r="DC124" s="68"/>
      <c r="DD124" s="41"/>
      <c r="DE124" s="41"/>
      <c r="DF124" s="69"/>
      <c r="DG124" s="41" t="s">
        <v>405</v>
      </c>
      <c r="DH124" s="85" t="s">
        <v>313</v>
      </c>
      <c r="DI124" s="69">
        <v>24000</v>
      </c>
      <c r="DJ124" s="46"/>
      <c r="DK124" s="41"/>
      <c r="DL124" s="68">
        <v>0</v>
      </c>
    </row>
    <row r="125" spans="1:116">
      <c r="A125" s="53" t="s">
        <v>301</v>
      </c>
      <c r="B125" s="40">
        <v>3</v>
      </c>
      <c r="C125" s="53" t="s">
        <v>274</v>
      </c>
      <c r="D125" s="54" t="s">
        <v>231</v>
      </c>
      <c r="E125" s="56">
        <v>7</v>
      </c>
      <c r="F125" s="59">
        <v>39.649191999999999</v>
      </c>
      <c r="G125" s="68">
        <f t="shared" si="1"/>
        <v>0</v>
      </c>
      <c r="H125" s="47">
        <v>39.649191999999999</v>
      </c>
      <c r="I125" s="69">
        <v>39.65</v>
      </c>
      <c r="J125" s="41"/>
      <c r="K125" s="41"/>
      <c r="L125" s="41"/>
      <c r="M125" s="69"/>
      <c r="N125" s="41"/>
      <c r="O125" s="41"/>
      <c r="P125" s="41"/>
      <c r="Q125" s="68"/>
      <c r="R125" s="41"/>
      <c r="S125" s="41"/>
      <c r="T125" s="41"/>
      <c r="U125" s="69"/>
      <c r="V125" s="41"/>
      <c r="W125" s="41"/>
      <c r="X125" s="68"/>
      <c r="Y125" s="41"/>
      <c r="Z125" s="41"/>
      <c r="AA125" s="41"/>
      <c r="AB125" s="69"/>
      <c r="AC125" s="41"/>
      <c r="AD125" s="41"/>
      <c r="AE125" s="41"/>
      <c r="AF125" s="68"/>
      <c r="AG125" s="41" t="s">
        <v>405</v>
      </c>
      <c r="AH125" s="41" t="s">
        <v>308</v>
      </c>
      <c r="AI125" s="41">
        <v>37</v>
      </c>
      <c r="AJ125" s="41"/>
      <c r="AK125" s="69">
        <v>24650</v>
      </c>
      <c r="AL125" s="46"/>
      <c r="AM125" s="41"/>
      <c r="AN125" s="41"/>
      <c r="AO125" s="68"/>
      <c r="AP125" s="41"/>
      <c r="AQ125" s="41"/>
      <c r="AR125" s="69"/>
      <c r="AS125" s="46"/>
      <c r="AT125" s="41"/>
      <c r="AU125" s="68"/>
      <c r="AV125" s="41"/>
      <c r="AW125" s="41"/>
      <c r="AX125" s="69"/>
      <c r="AY125" s="41"/>
      <c r="AZ125" s="41"/>
      <c r="BA125" s="68"/>
      <c r="BB125" s="41"/>
      <c r="BC125" s="41"/>
      <c r="BD125" s="69"/>
      <c r="BE125" s="46"/>
      <c r="BF125" s="41"/>
      <c r="BG125" s="68"/>
      <c r="BH125" s="41"/>
      <c r="BI125" s="41"/>
      <c r="BJ125" s="69"/>
      <c r="BK125" s="46"/>
      <c r="BL125" s="41"/>
      <c r="BM125" s="68"/>
      <c r="BN125" s="41"/>
      <c r="BO125" s="41"/>
      <c r="BP125" s="69"/>
      <c r="BQ125" s="41"/>
      <c r="BR125" s="41"/>
      <c r="BS125" s="68"/>
      <c r="BT125" s="41"/>
      <c r="BU125" s="41"/>
      <c r="BV125" s="69"/>
      <c r="BW125" s="46"/>
      <c r="BX125" s="41"/>
      <c r="BY125" s="68"/>
      <c r="BZ125" s="41" t="s">
        <v>409</v>
      </c>
      <c r="CA125" s="41">
        <v>10</v>
      </c>
      <c r="CB125" s="69">
        <v>15000</v>
      </c>
      <c r="CC125" s="46"/>
      <c r="CD125" s="41"/>
      <c r="CE125" s="68"/>
      <c r="CF125" s="41"/>
      <c r="CG125" s="41"/>
      <c r="CH125" s="69"/>
      <c r="CI125" s="41"/>
      <c r="CJ125" s="41"/>
      <c r="CK125" s="68"/>
      <c r="CL125" s="41"/>
      <c r="CM125" s="41"/>
      <c r="CN125" s="69"/>
      <c r="CO125" s="41"/>
      <c r="CP125" s="41"/>
      <c r="CQ125" s="68"/>
      <c r="CR125" s="41"/>
      <c r="CS125" s="41"/>
      <c r="CT125" s="69"/>
      <c r="CU125" s="41"/>
      <c r="CV125" s="41"/>
      <c r="CW125" s="68"/>
      <c r="CX125" s="41"/>
      <c r="CY125" s="41"/>
      <c r="CZ125" s="69"/>
      <c r="DA125" s="41"/>
      <c r="DB125" s="41"/>
      <c r="DC125" s="68"/>
      <c r="DD125" s="41"/>
      <c r="DE125" s="41"/>
      <c r="DF125" s="69"/>
      <c r="DG125" s="41"/>
      <c r="DH125" s="85"/>
      <c r="DI125" s="69"/>
      <c r="DJ125" s="46"/>
      <c r="DK125" s="41"/>
      <c r="DL125" s="68">
        <v>0</v>
      </c>
    </row>
    <row r="126" spans="1:116">
      <c r="A126" s="91" t="s">
        <v>301</v>
      </c>
      <c r="B126" s="90">
        <v>3</v>
      </c>
      <c r="C126" s="91" t="s">
        <v>274</v>
      </c>
      <c r="D126" s="92">
        <v>20</v>
      </c>
      <c r="E126" s="96">
        <v>7</v>
      </c>
      <c r="F126" s="94">
        <v>-5.6784879999999918</v>
      </c>
      <c r="G126" s="68">
        <f t="shared" si="1"/>
        <v>14.22608</v>
      </c>
      <c r="H126" s="93">
        <v>-5.6784879999999918</v>
      </c>
      <c r="I126" s="93">
        <v>0</v>
      </c>
      <c r="J126" s="93"/>
      <c r="K126" s="93"/>
      <c r="L126" s="93"/>
      <c r="M126" s="93"/>
      <c r="N126" s="41"/>
      <c r="O126" s="41"/>
      <c r="P126" s="41"/>
      <c r="Q126" s="68"/>
      <c r="R126" s="93"/>
      <c r="S126" s="93"/>
      <c r="T126" s="93"/>
      <c r="U126" s="93"/>
      <c r="V126" s="41"/>
      <c r="W126" s="41"/>
      <c r="X126" s="68"/>
      <c r="Y126" s="93"/>
      <c r="Z126" s="93"/>
      <c r="AA126" s="93"/>
      <c r="AB126" s="93"/>
      <c r="AC126" s="41"/>
      <c r="AD126" s="41"/>
      <c r="AE126" s="41"/>
      <c r="AF126" s="68"/>
      <c r="AG126" s="93"/>
      <c r="AH126" s="93"/>
      <c r="AI126" s="93"/>
      <c r="AJ126" s="93"/>
      <c r="AK126" s="93"/>
      <c r="AL126" s="46" t="s">
        <v>408</v>
      </c>
      <c r="AM126" s="41">
        <v>7.92</v>
      </c>
      <c r="AN126" s="41">
        <v>3.4</v>
      </c>
      <c r="AO126" s="68">
        <v>14226.08</v>
      </c>
      <c r="AP126" s="93"/>
      <c r="AQ126" s="93"/>
      <c r="AR126" s="93"/>
      <c r="AS126" s="46"/>
      <c r="AT126" s="41"/>
      <c r="AU126" s="68"/>
      <c r="AV126" s="93"/>
      <c r="AW126" s="93"/>
      <c r="AX126" s="93"/>
      <c r="AY126" s="41"/>
      <c r="AZ126" s="41"/>
      <c r="BA126" s="68"/>
      <c r="BB126" s="93"/>
      <c r="BC126" s="93"/>
      <c r="BD126" s="93"/>
      <c r="BE126" s="46"/>
      <c r="BF126" s="41"/>
      <c r="BG126" s="68"/>
      <c r="BH126" s="93"/>
      <c r="BI126" s="93"/>
      <c r="BJ126" s="93"/>
      <c r="BK126" s="46"/>
      <c r="BL126" s="41"/>
      <c r="BM126" s="68"/>
      <c r="BN126" s="41"/>
      <c r="BO126" s="41"/>
      <c r="BP126" s="69"/>
      <c r="BQ126" s="41"/>
      <c r="BR126" s="41"/>
      <c r="BS126" s="68"/>
      <c r="BT126" s="41"/>
      <c r="BU126" s="41"/>
      <c r="BV126" s="69"/>
      <c r="BW126" s="46"/>
      <c r="BX126" s="41"/>
      <c r="BY126" s="68"/>
      <c r="BZ126" s="93"/>
      <c r="CA126" s="93"/>
      <c r="CB126" s="93"/>
      <c r="CC126" s="46"/>
      <c r="CD126" s="41"/>
      <c r="CE126" s="68"/>
      <c r="CF126" s="93"/>
      <c r="CG126" s="93"/>
      <c r="CH126" s="93"/>
      <c r="CI126" s="41"/>
      <c r="CJ126" s="41"/>
      <c r="CK126" s="68"/>
      <c r="CL126" s="93"/>
      <c r="CM126" s="93"/>
      <c r="CN126" s="93"/>
      <c r="CO126" s="41"/>
      <c r="CP126" s="41"/>
      <c r="CQ126" s="68"/>
      <c r="CR126" s="93"/>
      <c r="CS126" s="93"/>
      <c r="CT126" s="93"/>
      <c r="CU126" s="41"/>
      <c r="CV126" s="41"/>
      <c r="CW126" s="68"/>
      <c r="CX126" s="41"/>
      <c r="CY126" s="41"/>
      <c r="CZ126" s="69"/>
      <c r="DA126" s="41"/>
      <c r="DB126" s="41"/>
      <c r="DC126" s="68"/>
      <c r="DD126" s="41"/>
      <c r="DE126" s="41"/>
      <c r="DF126" s="69"/>
      <c r="DG126" s="93"/>
      <c r="DH126" s="97"/>
      <c r="DI126" s="93">
        <v>0</v>
      </c>
      <c r="DJ126" s="46"/>
      <c r="DK126" s="41"/>
      <c r="DL126" s="68">
        <v>0</v>
      </c>
    </row>
    <row r="127" spans="1:116">
      <c r="A127" s="53" t="s">
        <v>301</v>
      </c>
      <c r="B127" s="40">
        <v>3</v>
      </c>
      <c r="C127" s="53" t="s">
        <v>274</v>
      </c>
      <c r="D127" s="54" t="s">
        <v>278</v>
      </c>
      <c r="E127" s="56">
        <v>7</v>
      </c>
      <c r="F127" s="59">
        <v>57.004370000000002</v>
      </c>
      <c r="G127" s="68">
        <f t="shared" si="1"/>
        <v>0</v>
      </c>
      <c r="H127" s="47">
        <v>57.004370000000002</v>
      </c>
      <c r="I127" s="69">
        <v>52.5</v>
      </c>
      <c r="J127" s="41"/>
      <c r="K127" s="41"/>
      <c r="L127" s="41"/>
      <c r="M127" s="69"/>
      <c r="N127" s="41"/>
      <c r="O127" s="41"/>
      <c r="P127" s="41"/>
      <c r="Q127" s="68"/>
      <c r="R127" s="41"/>
      <c r="S127" s="41"/>
      <c r="T127" s="41"/>
      <c r="U127" s="69"/>
      <c r="V127" s="41"/>
      <c r="W127" s="41"/>
      <c r="X127" s="68"/>
      <c r="Y127" s="41"/>
      <c r="Z127" s="41"/>
      <c r="AA127" s="41"/>
      <c r="AB127" s="69"/>
      <c r="AC127" s="41"/>
      <c r="AD127" s="41"/>
      <c r="AE127" s="41"/>
      <c r="AF127" s="68"/>
      <c r="AG127" s="41"/>
      <c r="AH127" s="41"/>
      <c r="AI127" s="41"/>
      <c r="AJ127" s="41"/>
      <c r="AK127" s="69"/>
      <c r="AL127" s="46"/>
      <c r="AM127" s="41"/>
      <c r="AN127" s="41"/>
      <c r="AO127" s="68"/>
      <c r="AP127" s="41"/>
      <c r="AQ127" s="41"/>
      <c r="AR127" s="69"/>
      <c r="AS127" s="46"/>
      <c r="AT127" s="41"/>
      <c r="AU127" s="68"/>
      <c r="AV127" s="41"/>
      <c r="AW127" s="41"/>
      <c r="AX127" s="69"/>
      <c r="AY127" s="41"/>
      <c r="AZ127" s="41"/>
      <c r="BA127" s="68"/>
      <c r="BB127" s="41"/>
      <c r="BC127" s="41"/>
      <c r="BD127" s="69"/>
      <c r="BE127" s="46"/>
      <c r="BF127" s="41"/>
      <c r="BG127" s="68"/>
      <c r="BH127" s="41"/>
      <c r="BI127" s="41"/>
      <c r="BJ127" s="69"/>
      <c r="BK127" s="46"/>
      <c r="BL127" s="41"/>
      <c r="BM127" s="68"/>
      <c r="BN127" s="41"/>
      <c r="BO127" s="41"/>
      <c r="BP127" s="69"/>
      <c r="BQ127" s="41"/>
      <c r="BR127" s="41"/>
      <c r="BS127" s="68"/>
      <c r="BT127" s="41"/>
      <c r="BU127" s="41"/>
      <c r="BV127" s="69"/>
      <c r="BW127" s="46"/>
      <c r="BX127" s="41"/>
      <c r="BY127" s="68"/>
      <c r="BZ127" s="41"/>
      <c r="CA127" s="41"/>
      <c r="CB127" s="69"/>
      <c r="CC127" s="46"/>
      <c r="CD127" s="41"/>
      <c r="CE127" s="68"/>
      <c r="CF127" s="41"/>
      <c r="CG127" s="41"/>
      <c r="CH127" s="69"/>
      <c r="CI127" s="41"/>
      <c r="CJ127" s="41"/>
      <c r="CK127" s="68"/>
      <c r="CL127" s="41"/>
      <c r="CM127" s="41"/>
      <c r="CN127" s="69"/>
      <c r="CO127" s="41"/>
      <c r="CP127" s="41"/>
      <c r="CQ127" s="68"/>
      <c r="CR127" s="41" t="s">
        <v>405</v>
      </c>
      <c r="CS127" s="41">
        <v>35</v>
      </c>
      <c r="CT127" s="69">
        <v>52500</v>
      </c>
      <c r="CU127" s="41"/>
      <c r="CV127" s="41"/>
      <c r="CW127" s="68"/>
      <c r="CX127" s="41"/>
      <c r="CY127" s="41"/>
      <c r="CZ127" s="69"/>
      <c r="DA127" s="41"/>
      <c r="DB127" s="41"/>
      <c r="DC127" s="68"/>
      <c r="DD127" s="41"/>
      <c r="DE127" s="41"/>
      <c r="DF127" s="69"/>
      <c r="DG127" s="41"/>
      <c r="DH127" s="85"/>
      <c r="DI127" s="69">
        <v>0</v>
      </c>
      <c r="DJ127" s="46"/>
      <c r="DK127" s="41"/>
      <c r="DL127" s="68">
        <v>0</v>
      </c>
    </row>
    <row r="128" spans="1:116">
      <c r="A128" s="53" t="s">
        <v>301</v>
      </c>
      <c r="B128" s="40">
        <v>3</v>
      </c>
      <c r="C128" s="53" t="s">
        <v>284</v>
      </c>
      <c r="D128" s="54">
        <v>8</v>
      </c>
      <c r="E128" s="56">
        <v>7</v>
      </c>
      <c r="F128" s="59">
        <v>51.60453600000001</v>
      </c>
      <c r="G128" s="68">
        <f t="shared" si="1"/>
        <v>0</v>
      </c>
      <c r="H128" s="47">
        <v>51.60453600000001</v>
      </c>
      <c r="I128" s="69">
        <v>51.6</v>
      </c>
      <c r="J128" s="41"/>
      <c r="K128" s="41"/>
      <c r="L128" s="41"/>
      <c r="M128" s="69"/>
      <c r="N128" s="41"/>
      <c r="O128" s="41"/>
      <c r="P128" s="41"/>
      <c r="Q128" s="68"/>
      <c r="R128" s="41"/>
      <c r="S128" s="41"/>
      <c r="T128" s="41"/>
      <c r="U128" s="69"/>
      <c r="V128" s="41"/>
      <c r="W128" s="41"/>
      <c r="X128" s="68"/>
      <c r="Y128" s="41"/>
      <c r="Z128" s="41"/>
      <c r="AA128" s="41"/>
      <c r="AB128" s="69"/>
      <c r="AC128" s="41"/>
      <c r="AD128" s="41"/>
      <c r="AE128" s="41"/>
      <c r="AF128" s="68"/>
      <c r="AG128" s="41" t="s">
        <v>407</v>
      </c>
      <c r="AH128" s="41" t="s">
        <v>308</v>
      </c>
      <c r="AI128" s="41">
        <v>64.5</v>
      </c>
      <c r="AJ128" s="41" t="s">
        <v>322</v>
      </c>
      <c r="AK128" s="69">
        <v>51600</v>
      </c>
      <c r="AL128" s="46"/>
      <c r="AM128" s="41"/>
      <c r="AN128" s="41"/>
      <c r="AO128" s="68"/>
      <c r="AP128" s="41"/>
      <c r="AQ128" s="41"/>
      <c r="AR128" s="69"/>
      <c r="AS128" s="46"/>
      <c r="AT128" s="41"/>
      <c r="AU128" s="68"/>
      <c r="AV128" s="41"/>
      <c r="AW128" s="41"/>
      <c r="AX128" s="69"/>
      <c r="AY128" s="41"/>
      <c r="AZ128" s="41"/>
      <c r="BA128" s="68"/>
      <c r="BB128" s="41"/>
      <c r="BC128" s="41"/>
      <c r="BD128" s="69"/>
      <c r="BE128" s="46"/>
      <c r="BF128" s="41"/>
      <c r="BG128" s="68"/>
      <c r="BH128" s="41"/>
      <c r="BI128" s="41"/>
      <c r="BJ128" s="69"/>
      <c r="BK128" s="46"/>
      <c r="BL128" s="41"/>
      <c r="BM128" s="68"/>
      <c r="BN128" s="41"/>
      <c r="BO128" s="41"/>
      <c r="BP128" s="69"/>
      <c r="BQ128" s="41"/>
      <c r="BR128" s="41"/>
      <c r="BS128" s="68"/>
      <c r="BT128" s="41"/>
      <c r="BU128" s="41"/>
      <c r="BV128" s="69"/>
      <c r="BW128" s="46"/>
      <c r="BX128" s="41"/>
      <c r="BY128" s="68"/>
      <c r="BZ128" s="41"/>
      <c r="CA128" s="41"/>
      <c r="CB128" s="69"/>
      <c r="CC128" s="46"/>
      <c r="CD128" s="41"/>
      <c r="CE128" s="68"/>
      <c r="CF128" s="41"/>
      <c r="CG128" s="41"/>
      <c r="CH128" s="69"/>
      <c r="CI128" s="41"/>
      <c r="CJ128" s="41"/>
      <c r="CK128" s="68"/>
      <c r="CL128" s="41"/>
      <c r="CM128" s="41"/>
      <c r="CN128" s="69"/>
      <c r="CO128" s="41"/>
      <c r="CP128" s="41"/>
      <c r="CQ128" s="68"/>
      <c r="CR128" s="41"/>
      <c r="CS128" s="41"/>
      <c r="CT128" s="69"/>
      <c r="CU128" s="41"/>
      <c r="CV128" s="41"/>
      <c r="CW128" s="68"/>
      <c r="CX128" s="41"/>
      <c r="CY128" s="41"/>
      <c r="CZ128" s="69"/>
      <c r="DA128" s="41"/>
      <c r="DB128" s="41"/>
      <c r="DC128" s="68"/>
      <c r="DD128" s="41"/>
      <c r="DE128" s="41"/>
      <c r="DF128" s="69"/>
      <c r="DG128" s="41"/>
      <c r="DH128" s="85"/>
      <c r="DI128" s="69">
        <v>0</v>
      </c>
      <c r="DJ128" s="46"/>
      <c r="DK128" s="41"/>
      <c r="DL128" s="68">
        <v>0</v>
      </c>
    </row>
    <row r="129" spans="1:116">
      <c r="A129" s="53" t="s">
        <v>301</v>
      </c>
      <c r="B129" s="40">
        <v>3</v>
      </c>
      <c r="C129" s="53" t="s">
        <v>284</v>
      </c>
      <c r="D129" s="54" t="s">
        <v>249</v>
      </c>
      <c r="E129" s="56">
        <v>6</v>
      </c>
      <c r="F129" s="59">
        <v>60.033133999999997</v>
      </c>
      <c r="G129" s="68">
        <f t="shared" si="1"/>
        <v>0</v>
      </c>
      <c r="H129" s="47">
        <v>60.033133999999997</v>
      </c>
      <c r="I129" s="69">
        <v>60.03</v>
      </c>
      <c r="J129" s="41"/>
      <c r="K129" s="41"/>
      <c r="L129" s="41"/>
      <c r="M129" s="69"/>
      <c r="N129" s="41"/>
      <c r="O129" s="41"/>
      <c r="P129" s="41"/>
      <c r="Q129" s="68"/>
      <c r="R129" s="41"/>
      <c r="S129" s="41"/>
      <c r="T129" s="41"/>
      <c r="U129" s="69"/>
      <c r="V129" s="41"/>
      <c r="W129" s="41"/>
      <c r="X129" s="68"/>
      <c r="Y129" s="41"/>
      <c r="Z129" s="41"/>
      <c r="AA129" s="41"/>
      <c r="AB129" s="69"/>
      <c r="AC129" s="41"/>
      <c r="AD129" s="41"/>
      <c r="AE129" s="41"/>
      <c r="AF129" s="68"/>
      <c r="AG129" s="41" t="s">
        <v>406</v>
      </c>
      <c r="AH129" s="41" t="s">
        <v>308</v>
      </c>
      <c r="AI129" s="41">
        <v>40</v>
      </c>
      <c r="AJ129" s="41" t="s">
        <v>322</v>
      </c>
      <c r="AK129" s="69">
        <v>32000</v>
      </c>
      <c r="AL129" s="46"/>
      <c r="AM129" s="41"/>
      <c r="AN129" s="41"/>
      <c r="AO129" s="68"/>
      <c r="AP129" s="41"/>
      <c r="AQ129" s="41"/>
      <c r="AR129" s="69"/>
      <c r="AS129" s="46"/>
      <c r="AT129" s="41"/>
      <c r="AU129" s="68"/>
      <c r="AV129" s="41"/>
      <c r="AW129" s="41"/>
      <c r="AX129" s="69"/>
      <c r="AY129" s="41"/>
      <c r="AZ129" s="41"/>
      <c r="BA129" s="68"/>
      <c r="BB129" s="41"/>
      <c r="BC129" s="41"/>
      <c r="BD129" s="69"/>
      <c r="BE129" s="46"/>
      <c r="BF129" s="41"/>
      <c r="BG129" s="68"/>
      <c r="BH129" s="41"/>
      <c r="BI129" s="41"/>
      <c r="BJ129" s="69"/>
      <c r="BK129" s="46"/>
      <c r="BL129" s="41"/>
      <c r="BM129" s="68"/>
      <c r="BN129" s="41"/>
      <c r="BO129" s="41"/>
      <c r="BP129" s="69"/>
      <c r="BQ129" s="41"/>
      <c r="BR129" s="41"/>
      <c r="BS129" s="68"/>
      <c r="BT129" s="41"/>
      <c r="BU129" s="41"/>
      <c r="BV129" s="69"/>
      <c r="BW129" s="46"/>
      <c r="BX129" s="41"/>
      <c r="BY129" s="68"/>
      <c r="BZ129" s="41"/>
      <c r="CA129" s="41"/>
      <c r="CB129" s="69"/>
      <c r="CC129" s="46"/>
      <c r="CD129" s="41"/>
      <c r="CE129" s="68"/>
      <c r="CF129" s="41"/>
      <c r="CG129" s="41"/>
      <c r="CH129" s="69"/>
      <c r="CI129" s="41"/>
      <c r="CJ129" s="41"/>
      <c r="CK129" s="68"/>
      <c r="CL129" s="41"/>
      <c r="CM129" s="41"/>
      <c r="CN129" s="69"/>
      <c r="CO129" s="41"/>
      <c r="CP129" s="41"/>
      <c r="CQ129" s="68"/>
      <c r="CR129" s="41" t="s">
        <v>405</v>
      </c>
      <c r="CS129" s="41">
        <v>19</v>
      </c>
      <c r="CT129" s="69">
        <v>28030</v>
      </c>
      <c r="CU129" s="41"/>
      <c r="CV129" s="41"/>
      <c r="CW129" s="68"/>
      <c r="CX129" s="41"/>
      <c r="CY129" s="41"/>
      <c r="CZ129" s="69"/>
      <c r="DA129" s="41"/>
      <c r="DB129" s="41"/>
      <c r="DC129" s="68"/>
      <c r="DD129" s="41"/>
      <c r="DE129" s="41"/>
      <c r="DF129" s="69"/>
      <c r="DG129" s="41"/>
      <c r="DH129" s="85"/>
      <c r="DI129" s="69">
        <v>0</v>
      </c>
      <c r="DJ129" s="46"/>
      <c r="DK129" s="41"/>
      <c r="DL129" s="68">
        <v>0</v>
      </c>
    </row>
    <row r="130" spans="1:116">
      <c r="A130" s="53" t="s">
        <v>301</v>
      </c>
      <c r="B130" s="40">
        <v>3</v>
      </c>
      <c r="C130" s="53" t="s">
        <v>284</v>
      </c>
      <c r="D130" s="54" t="s">
        <v>229</v>
      </c>
      <c r="E130" s="56">
        <v>6</v>
      </c>
      <c r="F130" s="59">
        <v>33.381681</v>
      </c>
      <c r="G130" s="68">
        <f t="shared" si="1"/>
        <v>24.271690000000003</v>
      </c>
      <c r="H130" s="47">
        <v>15.805661000000001</v>
      </c>
      <c r="I130" s="69">
        <v>33.380000000000003</v>
      </c>
      <c r="J130" s="41"/>
      <c r="K130" s="41"/>
      <c r="L130" s="41"/>
      <c r="M130" s="69"/>
      <c r="N130" s="41"/>
      <c r="O130" s="41"/>
      <c r="P130" s="41"/>
      <c r="Q130" s="68"/>
      <c r="R130" s="41"/>
      <c r="S130" s="41"/>
      <c r="T130" s="41"/>
      <c r="U130" s="69"/>
      <c r="V130" s="41"/>
      <c r="W130" s="41"/>
      <c r="X130" s="68"/>
      <c r="Y130" s="41"/>
      <c r="Z130" s="41"/>
      <c r="AA130" s="41"/>
      <c r="AB130" s="69"/>
      <c r="AC130" s="41"/>
      <c r="AD130" s="41"/>
      <c r="AE130" s="41"/>
      <c r="AF130" s="68"/>
      <c r="AG130" s="41"/>
      <c r="AH130" s="41"/>
      <c r="AI130" s="41"/>
      <c r="AJ130" s="41"/>
      <c r="AK130" s="69"/>
      <c r="AL130" s="46" t="s">
        <v>402</v>
      </c>
      <c r="AM130" s="41">
        <v>6.6</v>
      </c>
      <c r="AN130" s="41">
        <v>2</v>
      </c>
      <c r="AO130" s="68">
        <v>6695.67</v>
      </c>
      <c r="AP130" s="41"/>
      <c r="AQ130" s="41"/>
      <c r="AR130" s="69"/>
      <c r="AS130" s="46"/>
      <c r="AT130" s="41"/>
      <c r="AU130" s="68"/>
      <c r="AV130" s="41"/>
      <c r="AW130" s="41"/>
      <c r="AX130" s="69"/>
      <c r="AY130" s="41"/>
      <c r="AZ130" s="41"/>
      <c r="BA130" s="68"/>
      <c r="BB130" s="41"/>
      <c r="BC130" s="41"/>
      <c r="BD130" s="69"/>
      <c r="BE130" s="46"/>
      <c r="BF130" s="41"/>
      <c r="BG130" s="68"/>
      <c r="BH130" s="41"/>
      <c r="BI130" s="41"/>
      <c r="BJ130" s="69"/>
      <c r="BK130" s="46"/>
      <c r="BL130" s="41"/>
      <c r="BM130" s="68"/>
      <c r="BN130" s="41"/>
      <c r="BO130" s="41"/>
      <c r="BP130" s="69"/>
      <c r="BQ130" s="41"/>
      <c r="BR130" s="41"/>
      <c r="BS130" s="68"/>
      <c r="BT130" s="41"/>
      <c r="BU130" s="41"/>
      <c r="BV130" s="69"/>
      <c r="BW130" s="46"/>
      <c r="BX130" s="41"/>
      <c r="BY130" s="68"/>
      <c r="BZ130" s="41"/>
      <c r="CA130" s="41"/>
      <c r="CB130" s="69"/>
      <c r="CC130" s="46" t="s">
        <v>362</v>
      </c>
      <c r="CD130" s="41">
        <v>6</v>
      </c>
      <c r="CE130" s="68">
        <v>17576.02</v>
      </c>
      <c r="CF130" s="41"/>
      <c r="CG130" s="41"/>
      <c r="CH130" s="69"/>
      <c r="CI130" s="41"/>
      <c r="CJ130" s="41"/>
      <c r="CK130" s="68"/>
      <c r="CL130" s="41"/>
      <c r="CM130" s="41"/>
      <c r="CN130" s="69"/>
      <c r="CO130" s="41"/>
      <c r="CP130" s="41"/>
      <c r="CQ130" s="68"/>
      <c r="CR130" s="41" t="s">
        <v>405</v>
      </c>
      <c r="CS130" s="41">
        <v>15</v>
      </c>
      <c r="CT130" s="69">
        <v>21380</v>
      </c>
      <c r="CU130" s="41"/>
      <c r="CV130" s="41"/>
      <c r="CW130" s="68"/>
      <c r="CX130" s="41"/>
      <c r="CY130" s="41"/>
      <c r="CZ130" s="69"/>
      <c r="DA130" s="41"/>
      <c r="DB130" s="41"/>
      <c r="DC130" s="68"/>
      <c r="DD130" s="41"/>
      <c r="DE130" s="41"/>
      <c r="DF130" s="69"/>
      <c r="DG130" s="41" t="s">
        <v>405</v>
      </c>
      <c r="DH130" s="85" t="s">
        <v>305</v>
      </c>
      <c r="DI130" s="69">
        <v>12000</v>
      </c>
      <c r="DJ130" s="46"/>
      <c r="DK130" s="41"/>
      <c r="DL130" s="68">
        <v>0</v>
      </c>
    </row>
    <row r="131" spans="1:116">
      <c r="A131" s="53" t="s">
        <v>301</v>
      </c>
      <c r="B131" s="40">
        <v>3</v>
      </c>
      <c r="C131" s="55" t="s">
        <v>284</v>
      </c>
      <c r="D131" s="54" t="s">
        <v>285</v>
      </c>
      <c r="E131" s="56">
        <v>7</v>
      </c>
      <c r="F131" s="59">
        <v>29.597992000000005</v>
      </c>
      <c r="G131" s="68">
        <f t="shared" si="1"/>
        <v>0</v>
      </c>
      <c r="H131" s="47">
        <v>29.597992000000005</v>
      </c>
      <c r="I131" s="69">
        <v>29.6</v>
      </c>
      <c r="J131" s="41"/>
      <c r="K131" s="41"/>
      <c r="L131" s="41"/>
      <c r="M131" s="69"/>
      <c r="N131" s="41"/>
      <c r="O131" s="41"/>
      <c r="P131" s="41"/>
      <c r="Q131" s="68"/>
      <c r="R131" s="41"/>
      <c r="S131" s="41"/>
      <c r="T131" s="41"/>
      <c r="U131" s="69"/>
      <c r="V131" s="41"/>
      <c r="W131" s="41"/>
      <c r="X131" s="68"/>
      <c r="Y131" s="41"/>
      <c r="Z131" s="41"/>
      <c r="AA131" s="41"/>
      <c r="AB131" s="69"/>
      <c r="AC131" s="41"/>
      <c r="AD131" s="41"/>
      <c r="AE131" s="41"/>
      <c r="AF131" s="68"/>
      <c r="AG131" s="41" t="s">
        <v>407</v>
      </c>
      <c r="AH131" s="41" t="s">
        <v>308</v>
      </c>
      <c r="AI131" s="41">
        <v>37</v>
      </c>
      <c r="AJ131" s="41">
        <v>7</v>
      </c>
      <c r="AK131" s="69">
        <v>29600</v>
      </c>
      <c r="AL131" s="46"/>
      <c r="AM131" s="41"/>
      <c r="AN131" s="41"/>
      <c r="AO131" s="68"/>
      <c r="AP131" s="41"/>
      <c r="AQ131" s="41"/>
      <c r="AR131" s="69"/>
      <c r="AS131" s="46"/>
      <c r="AT131" s="41"/>
      <c r="AU131" s="68"/>
      <c r="AV131" s="41"/>
      <c r="AW131" s="41"/>
      <c r="AX131" s="69"/>
      <c r="AY131" s="41"/>
      <c r="AZ131" s="41"/>
      <c r="BA131" s="68"/>
      <c r="BB131" s="41"/>
      <c r="BC131" s="41"/>
      <c r="BD131" s="69"/>
      <c r="BE131" s="46"/>
      <c r="BF131" s="41"/>
      <c r="BG131" s="68"/>
      <c r="BH131" s="41"/>
      <c r="BI131" s="41"/>
      <c r="BJ131" s="69"/>
      <c r="BK131" s="46"/>
      <c r="BL131" s="41"/>
      <c r="BM131" s="68"/>
      <c r="BN131" s="41"/>
      <c r="BO131" s="41"/>
      <c r="BP131" s="69"/>
      <c r="BQ131" s="41"/>
      <c r="BR131" s="41"/>
      <c r="BS131" s="68"/>
      <c r="BT131" s="41"/>
      <c r="BU131" s="41"/>
      <c r="BV131" s="69"/>
      <c r="BW131" s="46"/>
      <c r="BX131" s="41"/>
      <c r="BY131" s="68"/>
      <c r="BZ131" s="41"/>
      <c r="CA131" s="41"/>
      <c r="CB131" s="69"/>
      <c r="CC131" s="46"/>
      <c r="CD131" s="41"/>
      <c r="CE131" s="68"/>
      <c r="CF131" s="41"/>
      <c r="CG131" s="41"/>
      <c r="CH131" s="69"/>
      <c r="CI131" s="41"/>
      <c r="CJ131" s="41"/>
      <c r="CK131" s="68"/>
      <c r="CL131" s="41"/>
      <c r="CM131" s="41"/>
      <c r="CN131" s="69"/>
      <c r="CO131" s="41"/>
      <c r="CP131" s="41"/>
      <c r="CQ131" s="68"/>
      <c r="CR131" s="41"/>
      <c r="CS131" s="41"/>
      <c r="CT131" s="69"/>
      <c r="CU131" s="41"/>
      <c r="CV131" s="41"/>
      <c r="CW131" s="68"/>
      <c r="CX131" s="41"/>
      <c r="CY131" s="41"/>
      <c r="CZ131" s="69"/>
      <c r="DA131" s="41"/>
      <c r="DB131" s="41"/>
      <c r="DC131" s="68"/>
      <c r="DD131" s="41"/>
      <c r="DE131" s="41"/>
      <c r="DF131" s="69"/>
      <c r="DG131" s="41"/>
      <c r="DH131" s="85"/>
      <c r="DI131" s="69">
        <v>0</v>
      </c>
      <c r="DJ131" s="46"/>
      <c r="DK131" s="41"/>
      <c r="DL131" s="68">
        <v>0</v>
      </c>
    </row>
    <row r="132" spans="1:116">
      <c r="A132" s="53" t="s">
        <v>301</v>
      </c>
      <c r="B132" s="40">
        <v>3</v>
      </c>
      <c r="C132" s="53" t="s">
        <v>284</v>
      </c>
      <c r="D132" s="54">
        <v>14</v>
      </c>
      <c r="E132" s="56">
        <v>7</v>
      </c>
      <c r="F132" s="59">
        <v>27.289242000000005</v>
      </c>
      <c r="G132" s="68">
        <f t="shared" si="1"/>
        <v>0</v>
      </c>
      <c r="H132" s="47">
        <v>27.289242000000005</v>
      </c>
      <c r="I132" s="69">
        <v>27.29</v>
      </c>
      <c r="J132" s="41"/>
      <c r="K132" s="41"/>
      <c r="L132" s="41"/>
      <c r="M132" s="69"/>
      <c r="N132" s="41"/>
      <c r="O132" s="41"/>
      <c r="P132" s="41"/>
      <c r="Q132" s="68"/>
      <c r="R132" s="41"/>
      <c r="S132" s="41"/>
      <c r="T132" s="41"/>
      <c r="U132" s="69"/>
      <c r="V132" s="41"/>
      <c r="W132" s="41"/>
      <c r="X132" s="68"/>
      <c r="Y132" s="41"/>
      <c r="Z132" s="41"/>
      <c r="AA132" s="41"/>
      <c r="AB132" s="69"/>
      <c r="AC132" s="41"/>
      <c r="AD132" s="41"/>
      <c r="AE132" s="41"/>
      <c r="AF132" s="68"/>
      <c r="AG132" s="41" t="s">
        <v>407</v>
      </c>
      <c r="AH132" s="41" t="s">
        <v>308</v>
      </c>
      <c r="AI132" s="41">
        <v>35</v>
      </c>
      <c r="AJ132" s="41">
        <v>5</v>
      </c>
      <c r="AK132" s="69">
        <v>27290</v>
      </c>
      <c r="AL132" s="46"/>
      <c r="AM132" s="41"/>
      <c r="AN132" s="41"/>
      <c r="AO132" s="68"/>
      <c r="AP132" s="41"/>
      <c r="AQ132" s="41"/>
      <c r="AR132" s="69"/>
      <c r="AS132" s="46"/>
      <c r="AT132" s="41"/>
      <c r="AU132" s="68"/>
      <c r="AV132" s="41"/>
      <c r="AW132" s="41"/>
      <c r="AX132" s="69"/>
      <c r="AY132" s="41"/>
      <c r="AZ132" s="41"/>
      <c r="BA132" s="68"/>
      <c r="BB132" s="41"/>
      <c r="BC132" s="41"/>
      <c r="BD132" s="69"/>
      <c r="BE132" s="46"/>
      <c r="BF132" s="41"/>
      <c r="BG132" s="68"/>
      <c r="BH132" s="41"/>
      <c r="BI132" s="41"/>
      <c r="BJ132" s="69"/>
      <c r="BK132" s="46"/>
      <c r="BL132" s="41"/>
      <c r="BM132" s="68"/>
      <c r="BN132" s="41"/>
      <c r="BO132" s="41"/>
      <c r="BP132" s="69"/>
      <c r="BQ132" s="41"/>
      <c r="BR132" s="41"/>
      <c r="BS132" s="68"/>
      <c r="BT132" s="41"/>
      <c r="BU132" s="41"/>
      <c r="BV132" s="69"/>
      <c r="BW132" s="46"/>
      <c r="BX132" s="41"/>
      <c r="BY132" s="68"/>
      <c r="BZ132" s="41"/>
      <c r="CA132" s="41"/>
      <c r="CB132" s="69"/>
      <c r="CC132" s="46"/>
      <c r="CD132" s="41"/>
      <c r="CE132" s="68"/>
      <c r="CF132" s="41"/>
      <c r="CG132" s="41"/>
      <c r="CH132" s="69"/>
      <c r="CI132" s="41"/>
      <c r="CJ132" s="41"/>
      <c r="CK132" s="68"/>
      <c r="CL132" s="41"/>
      <c r="CM132" s="41"/>
      <c r="CN132" s="69"/>
      <c r="CO132" s="41"/>
      <c r="CP132" s="41"/>
      <c r="CQ132" s="68"/>
      <c r="CR132" s="41"/>
      <c r="CS132" s="41"/>
      <c r="CT132" s="69"/>
      <c r="CU132" s="41"/>
      <c r="CV132" s="41"/>
      <c r="CW132" s="68"/>
      <c r="CX132" s="41"/>
      <c r="CY132" s="41"/>
      <c r="CZ132" s="69"/>
      <c r="DA132" s="41"/>
      <c r="DB132" s="41"/>
      <c r="DC132" s="68"/>
      <c r="DD132" s="41"/>
      <c r="DE132" s="41"/>
      <c r="DF132" s="69"/>
      <c r="DG132" s="41"/>
      <c r="DH132" s="85"/>
      <c r="DI132" s="69">
        <v>0</v>
      </c>
      <c r="DJ132" s="46"/>
      <c r="DK132" s="41"/>
      <c r="DL132" s="68">
        <v>0</v>
      </c>
    </row>
    <row r="133" spans="1:116" ht="23.25">
      <c r="A133" s="53" t="s">
        <v>301</v>
      </c>
      <c r="B133" s="40">
        <v>3</v>
      </c>
      <c r="C133" s="55" t="s">
        <v>284</v>
      </c>
      <c r="D133" s="54">
        <v>15</v>
      </c>
      <c r="E133" s="56">
        <v>7</v>
      </c>
      <c r="F133" s="59">
        <v>27.062855999999996</v>
      </c>
      <c r="G133" s="68">
        <f t="shared" si="1"/>
        <v>0</v>
      </c>
      <c r="H133" s="47">
        <v>27.062855999999996</v>
      </c>
      <c r="I133" s="69">
        <v>27.6</v>
      </c>
      <c r="J133" s="41"/>
      <c r="K133" s="41"/>
      <c r="L133" s="41"/>
      <c r="M133" s="69"/>
      <c r="N133" s="41"/>
      <c r="O133" s="41"/>
      <c r="P133" s="41"/>
      <c r="Q133" s="68"/>
      <c r="R133" s="41"/>
      <c r="S133" s="41"/>
      <c r="T133" s="41"/>
      <c r="U133" s="69"/>
      <c r="V133" s="41"/>
      <c r="W133" s="41"/>
      <c r="X133" s="68"/>
      <c r="Y133" s="41"/>
      <c r="Z133" s="41"/>
      <c r="AA133" s="41"/>
      <c r="AB133" s="69"/>
      <c r="AC133" s="41"/>
      <c r="AD133" s="41"/>
      <c r="AE133" s="41"/>
      <c r="AF133" s="68"/>
      <c r="AG133" s="41"/>
      <c r="AH133" s="41"/>
      <c r="AI133" s="41"/>
      <c r="AJ133" s="41"/>
      <c r="AK133" s="69"/>
      <c r="AL133" s="46"/>
      <c r="AM133" s="41"/>
      <c r="AN133" s="41"/>
      <c r="AO133" s="68"/>
      <c r="AP133" s="41"/>
      <c r="AQ133" s="41"/>
      <c r="AR133" s="69"/>
      <c r="AS133" s="46"/>
      <c r="AT133" s="41"/>
      <c r="AU133" s="68"/>
      <c r="AV133" s="41"/>
      <c r="AW133" s="41"/>
      <c r="AX133" s="69"/>
      <c r="AY133" s="41"/>
      <c r="AZ133" s="41"/>
      <c r="BA133" s="68"/>
      <c r="BB133" s="41"/>
      <c r="BC133" s="41"/>
      <c r="BD133" s="69"/>
      <c r="BE133" s="46"/>
      <c r="BF133" s="41"/>
      <c r="BG133" s="68"/>
      <c r="BH133" s="41"/>
      <c r="BI133" s="41"/>
      <c r="BJ133" s="69"/>
      <c r="BK133" s="46"/>
      <c r="BL133" s="41"/>
      <c r="BM133" s="68"/>
      <c r="BN133" s="41"/>
      <c r="BO133" s="41"/>
      <c r="BP133" s="69"/>
      <c r="BQ133" s="41"/>
      <c r="BR133" s="41"/>
      <c r="BS133" s="68"/>
      <c r="BT133" s="41"/>
      <c r="BU133" s="41"/>
      <c r="BV133" s="69"/>
      <c r="BW133" s="46"/>
      <c r="BX133" s="41"/>
      <c r="BY133" s="68"/>
      <c r="BZ133" s="41"/>
      <c r="CA133" s="41"/>
      <c r="CB133" s="69"/>
      <c r="CC133" s="46"/>
      <c r="CD133" s="41"/>
      <c r="CE133" s="68"/>
      <c r="CF133" s="41"/>
      <c r="CG133" s="41"/>
      <c r="CH133" s="69"/>
      <c r="CI133" s="41"/>
      <c r="CJ133" s="41"/>
      <c r="CK133" s="68"/>
      <c r="CL133" s="41"/>
      <c r="CM133" s="41"/>
      <c r="CN133" s="69"/>
      <c r="CO133" s="41"/>
      <c r="CP133" s="41"/>
      <c r="CQ133" s="68"/>
      <c r="CR133" s="41"/>
      <c r="CS133" s="38"/>
      <c r="CT133" s="69"/>
      <c r="CU133" s="41"/>
      <c r="CV133" s="41"/>
      <c r="CW133" s="68"/>
      <c r="CX133" s="41"/>
      <c r="CY133" s="41"/>
      <c r="CZ133" s="69"/>
      <c r="DA133" s="41"/>
      <c r="DB133" s="41"/>
      <c r="DC133" s="68"/>
      <c r="DD133" s="41"/>
      <c r="DE133" s="41"/>
      <c r="DF133" s="69"/>
      <c r="DG133" s="41" t="s">
        <v>415</v>
      </c>
      <c r="DH133" s="85" t="s">
        <v>383</v>
      </c>
      <c r="DI133" s="69">
        <v>27600</v>
      </c>
      <c r="DJ133" s="46"/>
      <c r="DK133" s="41"/>
      <c r="DL133" s="68">
        <v>0</v>
      </c>
    </row>
    <row r="134" spans="1:116">
      <c r="A134" s="53" t="s">
        <v>301</v>
      </c>
      <c r="B134" s="40">
        <v>3</v>
      </c>
      <c r="C134" s="53" t="s">
        <v>284</v>
      </c>
      <c r="D134" s="54" t="s">
        <v>233</v>
      </c>
      <c r="E134" s="56">
        <v>7</v>
      </c>
      <c r="F134" s="59">
        <v>33.268220000000007</v>
      </c>
      <c r="G134" s="68">
        <f t="shared" si="1"/>
        <v>0</v>
      </c>
      <c r="H134" s="47">
        <v>33.268220000000007</v>
      </c>
      <c r="I134" s="69">
        <v>33.270000000000003</v>
      </c>
      <c r="J134" s="41"/>
      <c r="K134" s="41"/>
      <c r="L134" s="41"/>
      <c r="M134" s="69"/>
      <c r="N134" s="41"/>
      <c r="O134" s="41"/>
      <c r="P134" s="41"/>
      <c r="Q134" s="68"/>
      <c r="R134" s="41"/>
      <c r="S134" s="41"/>
      <c r="T134" s="41"/>
      <c r="U134" s="69"/>
      <c r="V134" s="41"/>
      <c r="W134" s="41"/>
      <c r="X134" s="68"/>
      <c r="Y134" s="41"/>
      <c r="Z134" s="41"/>
      <c r="AA134" s="41"/>
      <c r="AB134" s="69"/>
      <c r="AC134" s="41"/>
      <c r="AD134" s="41"/>
      <c r="AE134" s="41"/>
      <c r="AF134" s="68"/>
      <c r="AG134" s="41"/>
      <c r="AH134" s="41"/>
      <c r="AI134" s="41"/>
      <c r="AJ134" s="41"/>
      <c r="AK134" s="69"/>
      <c r="AL134" s="46"/>
      <c r="AM134" s="41"/>
      <c r="AN134" s="41"/>
      <c r="AO134" s="68"/>
      <c r="AP134" s="41"/>
      <c r="AQ134" s="41"/>
      <c r="AR134" s="69"/>
      <c r="AS134" s="46"/>
      <c r="AT134" s="41"/>
      <c r="AU134" s="68"/>
      <c r="AV134" s="41"/>
      <c r="AW134" s="41"/>
      <c r="AX134" s="69"/>
      <c r="AY134" s="41"/>
      <c r="AZ134" s="41"/>
      <c r="BA134" s="68"/>
      <c r="BB134" s="41"/>
      <c r="BC134" s="41"/>
      <c r="BD134" s="69"/>
      <c r="BE134" s="46"/>
      <c r="BF134" s="41"/>
      <c r="BG134" s="68"/>
      <c r="BH134" s="41"/>
      <c r="BI134" s="41"/>
      <c r="BJ134" s="69"/>
      <c r="BK134" s="46"/>
      <c r="BL134" s="41"/>
      <c r="BM134" s="68"/>
      <c r="BN134" s="41"/>
      <c r="BO134" s="41"/>
      <c r="BP134" s="69"/>
      <c r="BQ134" s="41"/>
      <c r="BR134" s="41"/>
      <c r="BS134" s="68"/>
      <c r="BT134" s="41"/>
      <c r="BU134" s="41"/>
      <c r="BV134" s="69"/>
      <c r="BW134" s="46"/>
      <c r="BX134" s="41"/>
      <c r="BY134" s="68"/>
      <c r="BZ134" s="41"/>
      <c r="CA134" s="41"/>
      <c r="CB134" s="69"/>
      <c r="CC134" s="46"/>
      <c r="CD134" s="41"/>
      <c r="CE134" s="68"/>
      <c r="CF134" s="41"/>
      <c r="CG134" s="41"/>
      <c r="CH134" s="69"/>
      <c r="CI134" s="41"/>
      <c r="CJ134" s="41"/>
      <c r="CK134" s="68"/>
      <c r="CL134" s="41"/>
      <c r="CM134" s="41"/>
      <c r="CN134" s="69"/>
      <c r="CO134" s="41"/>
      <c r="CP134" s="41"/>
      <c r="CQ134" s="68"/>
      <c r="CR134" s="41" t="s">
        <v>405</v>
      </c>
      <c r="CS134" s="41">
        <v>22</v>
      </c>
      <c r="CT134" s="69">
        <v>33270</v>
      </c>
      <c r="CU134" s="41"/>
      <c r="CV134" s="41"/>
      <c r="CW134" s="68"/>
      <c r="CX134" s="41"/>
      <c r="CY134" s="41"/>
      <c r="CZ134" s="69"/>
      <c r="DA134" s="41"/>
      <c r="DB134" s="41"/>
      <c r="DC134" s="68"/>
      <c r="DD134" s="41"/>
      <c r="DE134" s="41"/>
      <c r="DF134" s="69"/>
      <c r="DG134" s="41"/>
      <c r="DH134" s="85"/>
      <c r="DI134" s="69">
        <v>0</v>
      </c>
      <c r="DJ134" s="46"/>
      <c r="DK134" s="41"/>
      <c r="DL134" s="68">
        <v>0</v>
      </c>
    </row>
    <row r="135" spans="1:116" ht="23.25">
      <c r="A135" s="53" t="s">
        <v>301</v>
      </c>
      <c r="B135" s="40">
        <v>3</v>
      </c>
      <c r="C135" s="53" t="s">
        <v>284</v>
      </c>
      <c r="D135" s="54" t="s">
        <v>251</v>
      </c>
      <c r="E135" s="56">
        <v>7</v>
      </c>
      <c r="F135" s="59">
        <v>27.990498000000002</v>
      </c>
      <c r="G135" s="68">
        <f t="shared" si="1"/>
        <v>0</v>
      </c>
      <c r="H135" s="47">
        <v>27.990498000000002</v>
      </c>
      <c r="I135" s="69">
        <v>0</v>
      </c>
      <c r="J135" s="41"/>
      <c r="K135" s="41"/>
      <c r="L135" s="41"/>
      <c r="M135" s="69"/>
      <c r="N135" s="41"/>
      <c r="O135" s="41"/>
      <c r="P135" s="41"/>
      <c r="Q135" s="68"/>
      <c r="R135" s="41"/>
      <c r="S135" s="41"/>
      <c r="T135" s="41"/>
      <c r="U135" s="69"/>
      <c r="V135" s="41"/>
      <c r="W135" s="41"/>
      <c r="X135" s="68"/>
      <c r="Y135" s="41"/>
      <c r="Z135" s="41"/>
      <c r="AA135" s="41"/>
      <c r="AB135" s="69"/>
      <c r="AC135" s="41"/>
      <c r="AD135" s="41"/>
      <c r="AE135" s="41"/>
      <c r="AF135" s="68"/>
      <c r="AG135" s="41"/>
      <c r="AH135" s="41"/>
      <c r="AI135" s="41"/>
      <c r="AJ135" s="41"/>
      <c r="AK135" s="69"/>
      <c r="AL135" s="46"/>
      <c r="AM135" s="41"/>
      <c r="AN135" s="41"/>
      <c r="AO135" s="68"/>
      <c r="AP135" s="41"/>
      <c r="AQ135" s="41"/>
      <c r="AR135" s="69"/>
      <c r="AS135" s="46"/>
      <c r="AT135" s="41"/>
      <c r="AU135" s="68"/>
      <c r="AV135" s="41"/>
      <c r="AW135" s="41"/>
      <c r="AX135" s="69"/>
      <c r="AY135" s="41"/>
      <c r="AZ135" s="41"/>
      <c r="BA135" s="68"/>
      <c r="BB135" s="41"/>
      <c r="BC135" s="41"/>
      <c r="BD135" s="69"/>
      <c r="BE135" s="46"/>
      <c r="BF135" s="41"/>
      <c r="BG135" s="68"/>
      <c r="BH135" s="41"/>
      <c r="BI135" s="41"/>
      <c r="BJ135" s="69"/>
      <c r="BK135" s="46"/>
      <c r="BL135" s="41"/>
      <c r="BM135" s="68"/>
      <c r="BN135" s="41"/>
      <c r="BO135" s="41"/>
      <c r="BP135" s="69"/>
      <c r="BQ135" s="41"/>
      <c r="BR135" s="41"/>
      <c r="BS135" s="68"/>
      <c r="BT135" s="41"/>
      <c r="BU135" s="41"/>
      <c r="BV135" s="69"/>
      <c r="BW135" s="46"/>
      <c r="BX135" s="41"/>
      <c r="BY135" s="68"/>
      <c r="BZ135" s="41"/>
      <c r="CA135" s="41"/>
      <c r="CB135" s="69"/>
      <c r="CC135" s="46"/>
      <c r="CD135" s="41"/>
      <c r="CE135" s="68"/>
      <c r="CF135" s="41"/>
      <c r="CG135" s="41"/>
      <c r="CH135" s="69"/>
      <c r="CI135" s="41"/>
      <c r="CJ135" s="41"/>
      <c r="CK135" s="68"/>
      <c r="CL135" s="41"/>
      <c r="CM135" s="41"/>
      <c r="CN135" s="69"/>
      <c r="CO135" s="41"/>
      <c r="CP135" s="41"/>
      <c r="CQ135" s="68"/>
      <c r="CR135" s="41"/>
      <c r="CS135" s="41"/>
      <c r="CT135" s="69"/>
      <c r="CU135" s="41"/>
      <c r="CV135" s="41"/>
      <c r="CW135" s="68"/>
      <c r="CX135" s="41"/>
      <c r="CY135" s="41"/>
      <c r="CZ135" s="69"/>
      <c r="DA135" s="41"/>
      <c r="DB135" s="41"/>
      <c r="DC135" s="68"/>
      <c r="DD135" s="41"/>
      <c r="DE135" s="41"/>
      <c r="DF135" s="69"/>
      <c r="DG135" s="41"/>
      <c r="DH135" s="85" t="s">
        <v>384</v>
      </c>
      <c r="DI135" s="69">
        <v>0</v>
      </c>
      <c r="DJ135" s="46"/>
      <c r="DK135" s="41"/>
      <c r="DL135" s="68">
        <v>0</v>
      </c>
    </row>
    <row r="136" spans="1:116">
      <c r="A136" s="53" t="s">
        <v>301</v>
      </c>
      <c r="B136" s="40">
        <v>3</v>
      </c>
      <c r="C136" s="53" t="s">
        <v>284</v>
      </c>
      <c r="D136" s="54" t="s">
        <v>252</v>
      </c>
      <c r="E136" s="56">
        <v>6</v>
      </c>
      <c r="F136" s="59">
        <v>56.471256000000004</v>
      </c>
      <c r="G136" s="68">
        <f t="shared" ref="G136:G176" si="2">(Q136+X136+AF136+AO136+AU136+BA136+BG136+BM136+BS136+BY136+CE136+CK136+CQ136+CW136+DC136+DL136)/1000</f>
        <v>21.96546</v>
      </c>
      <c r="H136" s="47">
        <v>56.471256000000004</v>
      </c>
      <c r="I136" s="69">
        <v>56</v>
      </c>
      <c r="J136" s="41"/>
      <c r="K136" s="41"/>
      <c r="L136" s="41"/>
      <c r="M136" s="69"/>
      <c r="N136" s="41"/>
      <c r="O136" s="41"/>
      <c r="P136" s="41"/>
      <c r="Q136" s="68"/>
      <c r="R136" s="41"/>
      <c r="S136" s="41"/>
      <c r="T136" s="41"/>
      <c r="U136" s="69"/>
      <c r="V136" s="41"/>
      <c r="W136" s="41"/>
      <c r="X136" s="68"/>
      <c r="Y136" s="41"/>
      <c r="Z136" s="41"/>
      <c r="AA136" s="41"/>
      <c r="AB136" s="69"/>
      <c r="AC136" s="41"/>
      <c r="AD136" s="41"/>
      <c r="AE136" s="41"/>
      <c r="AF136" s="68"/>
      <c r="AG136" s="41" t="s">
        <v>407</v>
      </c>
      <c r="AH136" s="41" t="s">
        <v>308</v>
      </c>
      <c r="AI136" s="41">
        <v>56</v>
      </c>
      <c r="AJ136" s="41"/>
      <c r="AK136" s="69">
        <v>56000</v>
      </c>
      <c r="AL136" s="46"/>
      <c r="AM136" s="41"/>
      <c r="AN136" s="41"/>
      <c r="AO136" s="68"/>
      <c r="AP136" s="41"/>
      <c r="AQ136" s="41"/>
      <c r="AR136" s="69"/>
      <c r="AS136" s="46"/>
      <c r="AT136" s="41"/>
      <c r="AU136" s="68"/>
      <c r="AV136" s="41"/>
      <c r="AW136" s="41"/>
      <c r="AX136" s="69"/>
      <c r="AY136" s="41"/>
      <c r="AZ136" s="41"/>
      <c r="BA136" s="68"/>
      <c r="BB136" s="41"/>
      <c r="BC136" s="41"/>
      <c r="BD136" s="69"/>
      <c r="BE136" s="46"/>
      <c r="BF136" s="41"/>
      <c r="BG136" s="68"/>
      <c r="BH136" s="41"/>
      <c r="BI136" s="41"/>
      <c r="BJ136" s="69"/>
      <c r="BK136" s="46"/>
      <c r="BL136" s="41"/>
      <c r="BM136" s="68"/>
      <c r="BN136" s="41"/>
      <c r="BO136" s="41"/>
      <c r="BP136" s="69"/>
      <c r="BQ136" s="41"/>
      <c r="BR136" s="41"/>
      <c r="BS136" s="68"/>
      <c r="BT136" s="41"/>
      <c r="BU136" s="41"/>
      <c r="BV136" s="69"/>
      <c r="BW136" s="46"/>
      <c r="BX136" s="41"/>
      <c r="BY136" s="68"/>
      <c r="BZ136" s="41"/>
      <c r="CA136" s="41"/>
      <c r="CB136" s="69"/>
      <c r="CC136" s="46"/>
      <c r="CD136" s="41"/>
      <c r="CE136" s="68"/>
      <c r="CF136" s="41"/>
      <c r="CG136" s="41"/>
      <c r="CH136" s="69"/>
      <c r="CI136" s="41"/>
      <c r="CJ136" s="41"/>
      <c r="CK136" s="68"/>
      <c r="CL136" s="41"/>
      <c r="CM136" s="41"/>
      <c r="CN136" s="69"/>
      <c r="CO136" s="41"/>
      <c r="CP136" s="41"/>
      <c r="CQ136" s="68"/>
      <c r="CR136" s="41"/>
      <c r="CS136" s="41"/>
      <c r="CT136" s="69"/>
      <c r="CU136" s="41"/>
      <c r="CV136" s="41"/>
      <c r="CW136" s="68"/>
      <c r="CX136" s="41"/>
      <c r="CY136" s="41"/>
      <c r="CZ136" s="69"/>
      <c r="DA136" s="41"/>
      <c r="DB136" s="41"/>
      <c r="DC136" s="68"/>
      <c r="DD136" s="41"/>
      <c r="DE136" s="41"/>
      <c r="DF136" s="69"/>
      <c r="DG136" s="41"/>
      <c r="DH136" s="85"/>
      <c r="DI136" s="69">
        <v>0</v>
      </c>
      <c r="DJ136" s="46" t="s">
        <v>402</v>
      </c>
      <c r="DK136" s="41" t="s">
        <v>478</v>
      </c>
      <c r="DL136" s="68">
        <v>21965.46</v>
      </c>
    </row>
    <row r="137" spans="1:116">
      <c r="A137" s="53" t="s">
        <v>301</v>
      </c>
      <c r="B137" s="40">
        <v>3</v>
      </c>
      <c r="C137" s="55" t="s">
        <v>284</v>
      </c>
      <c r="D137" s="54">
        <v>19</v>
      </c>
      <c r="E137" s="56">
        <v>6</v>
      </c>
      <c r="F137" s="59">
        <v>37.835826000000004</v>
      </c>
      <c r="G137" s="68">
        <f t="shared" si="2"/>
        <v>39.403910000000003</v>
      </c>
      <c r="H137" s="47">
        <v>37.835826000000004</v>
      </c>
      <c r="I137" s="69">
        <v>37.840000000000003</v>
      </c>
      <c r="J137" s="41"/>
      <c r="K137" s="41"/>
      <c r="L137" s="41"/>
      <c r="M137" s="69"/>
      <c r="N137" s="41"/>
      <c r="O137" s="41"/>
      <c r="P137" s="41"/>
      <c r="Q137" s="68"/>
      <c r="R137" s="41"/>
      <c r="S137" s="41"/>
      <c r="T137" s="41"/>
      <c r="U137" s="69"/>
      <c r="V137" s="41"/>
      <c r="W137" s="41"/>
      <c r="X137" s="68"/>
      <c r="Y137" s="41"/>
      <c r="Z137" s="41"/>
      <c r="AA137" s="41"/>
      <c r="AB137" s="69"/>
      <c r="AC137" s="41"/>
      <c r="AD137" s="41"/>
      <c r="AE137" s="41"/>
      <c r="AF137" s="68"/>
      <c r="AG137" s="41"/>
      <c r="AH137" s="41"/>
      <c r="AI137" s="41"/>
      <c r="AJ137" s="41"/>
      <c r="AK137" s="69"/>
      <c r="AL137" s="46" t="s">
        <v>408</v>
      </c>
      <c r="AM137" s="41">
        <v>42.22</v>
      </c>
      <c r="AN137" s="41">
        <v>4</v>
      </c>
      <c r="AO137" s="68">
        <v>39403.910000000003</v>
      </c>
      <c r="AP137" s="41"/>
      <c r="AQ137" s="41"/>
      <c r="AR137" s="69"/>
      <c r="AS137" s="46"/>
      <c r="AT137" s="41"/>
      <c r="AU137" s="68"/>
      <c r="AV137" s="41"/>
      <c r="AW137" s="41"/>
      <c r="AX137" s="69"/>
      <c r="AY137" s="41"/>
      <c r="AZ137" s="41"/>
      <c r="BA137" s="68"/>
      <c r="BB137" s="41"/>
      <c r="BC137" s="41"/>
      <c r="BD137" s="69"/>
      <c r="BE137" s="46"/>
      <c r="BF137" s="41"/>
      <c r="BG137" s="68"/>
      <c r="BH137" s="41"/>
      <c r="BI137" s="41"/>
      <c r="BJ137" s="69"/>
      <c r="BK137" s="46"/>
      <c r="BL137" s="41"/>
      <c r="BM137" s="68"/>
      <c r="BN137" s="41"/>
      <c r="BO137" s="41"/>
      <c r="BP137" s="69"/>
      <c r="BQ137" s="41"/>
      <c r="BR137" s="41"/>
      <c r="BS137" s="68"/>
      <c r="BT137" s="41"/>
      <c r="BU137" s="41"/>
      <c r="BV137" s="69"/>
      <c r="BW137" s="46"/>
      <c r="BX137" s="41"/>
      <c r="BY137" s="68"/>
      <c r="BZ137" s="41"/>
      <c r="CA137" s="41"/>
      <c r="CB137" s="69"/>
      <c r="CC137" s="46"/>
      <c r="CD137" s="41"/>
      <c r="CE137" s="68"/>
      <c r="CF137" s="41"/>
      <c r="CG137" s="41"/>
      <c r="CH137" s="69"/>
      <c r="CI137" s="41"/>
      <c r="CJ137" s="41"/>
      <c r="CK137" s="68"/>
      <c r="CL137" s="41"/>
      <c r="CM137" s="41"/>
      <c r="CN137" s="69"/>
      <c r="CO137" s="41"/>
      <c r="CP137" s="41"/>
      <c r="CQ137" s="68"/>
      <c r="CR137" s="41" t="s">
        <v>405</v>
      </c>
      <c r="CS137" s="41">
        <v>18</v>
      </c>
      <c r="CT137" s="69">
        <v>25840</v>
      </c>
      <c r="CU137" s="41"/>
      <c r="CV137" s="41"/>
      <c r="CW137" s="68"/>
      <c r="CX137" s="41"/>
      <c r="CY137" s="41"/>
      <c r="CZ137" s="69"/>
      <c r="DA137" s="41"/>
      <c r="DB137" s="41"/>
      <c r="DC137" s="68"/>
      <c r="DD137" s="41"/>
      <c r="DE137" s="41"/>
      <c r="DF137" s="69"/>
      <c r="DG137" s="41" t="s">
        <v>406</v>
      </c>
      <c r="DH137" s="85" t="s">
        <v>305</v>
      </c>
      <c r="DI137" s="69">
        <v>12000</v>
      </c>
      <c r="DJ137" s="46"/>
      <c r="DK137" s="41"/>
      <c r="DL137" s="68">
        <v>0</v>
      </c>
    </row>
    <row r="138" spans="1:116" ht="34.5">
      <c r="A138" s="53" t="s">
        <v>301</v>
      </c>
      <c r="B138" s="40">
        <v>3</v>
      </c>
      <c r="C138" s="55" t="s">
        <v>284</v>
      </c>
      <c r="D138" s="54" t="s">
        <v>286</v>
      </c>
      <c r="E138" s="56">
        <v>7</v>
      </c>
      <c r="F138" s="59">
        <v>49.633532000000002</v>
      </c>
      <c r="G138" s="68">
        <f t="shared" si="2"/>
        <v>3.5391699999999999</v>
      </c>
      <c r="H138" s="47">
        <v>49.633532000000002</v>
      </c>
      <c r="I138" s="69">
        <v>49.63</v>
      </c>
      <c r="J138" s="41"/>
      <c r="K138" s="41"/>
      <c r="L138" s="41"/>
      <c r="M138" s="69"/>
      <c r="N138" s="41"/>
      <c r="O138" s="41"/>
      <c r="P138" s="41"/>
      <c r="Q138" s="68"/>
      <c r="R138" s="41"/>
      <c r="S138" s="41"/>
      <c r="T138" s="41"/>
      <c r="U138" s="69"/>
      <c r="V138" s="41"/>
      <c r="W138" s="41"/>
      <c r="X138" s="68"/>
      <c r="Y138" s="41"/>
      <c r="Z138" s="41"/>
      <c r="AA138" s="41"/>
      <c r="AB138" s="69"/>
      <c r="AC138" s="41"/>
      <c r="AD138" s="41"/>
      <c r="AE138" s="41"/>
      <c r="AF138" s="68"/>
      <c r="AG138" s="41"/>
      <c r="AH138" s="41"/>
      <c r="AI138" s="41"/>
      <c r="AJ138" s="41"/>
      <c r="AK138" s="69"/>
      <c r="AL138" s="46"/>
      <c r="AM138" s="41"/>
      <c r="AN138" s="41"/>
      <c r="AO138" s="68"/>
      <c r="AP138" s="41"/>
      <c r="AQ138" s="41"/>
      <c r="AR138" s="69"/>
      <c r="AS138" s="46"/>
      <c r="AT138" s="41"/>
      <c r="AU138" s="68"/>
      <c r="AV138" s="41"/>
      <c r="AW138" s="41"/>
      <c r="AX138" s="69"/>
      <c r="AY138" s="41"/>
      <c r="AZ138" s="41"/>
      <c r="BA138" s="68"/>
      <c r="BB138" s="41"/>
      <c r="BC138" s="41"/>
      <c r="BD138" s="69"/>
      <c r="BE138" s="46"/>
      <c r="BF138" s="41"/>
      <c r="BG138" s="68"/>
      <c r="BH138" s="41"/>
      <c r="BI138" s="41"/>
      <c r="BJ138" s="69"/>
      <c r="BK138" s="46"/>
      <c r="BL138" s="41"/>
      <c r="BM138" s="68"/>
      <c r="BN138" s="41"/>
      <c r="BO138" s="41"/>
      <c r="BP138" s="69"/>
      <c r="BQ138" s="41"/>
      <c r="BR138" s="41"/>
      <c r="BS138" s="68"/>
      <c r="BT138" s="41"/>
      <c r="BU138" s="41"/>
      <c r="BV138" s="69"/>
      <c r="BW138" s="46"/>
      <c r="BX138" s="41"/>
      <c r="BY138" s="68"/>
      <c r="BZ138" s="41"/>
      <c r="CA138" s="41"/>
      <c r="CB138" s="69"/>
      <c r="CC138" s="46"/>
      <c r="CD138" s="41"/>
      <c r="CE138" s="68"/>
      <c r="CF138" s="41"/>
      <c r="CG138" s="41"/>
      <c r="CH138" s="69"/>
      <c r="CI138" s="41"/>
      <c r="CJ138" s="41"/>
      <c r="CK138" s="68"/>
      <c r="CL138" s="41"/>
      <c r="CM138" s="41"/>
      <c r="CN138" s="69"/>
      <c r="CO138" s="41"/>
      <c r="CP138" s="41"/>
      <c r="CQ138" s="68"/>
      <c r="CR138" s="41"/>
      <c r="CS138" s="41"/>
      <c r="CT138" s="69"/>
      <c r="CU138" s="41"/>
      <c r="CV138" s="41"/>
      <c r="CW138" s="68"/>
      <c r="CX138" s="41"/>
      <c r="CY138" s="41"/>
      <c r="CZ138" s="69"/>
      <c r="DA138" s="41"/>
      <c r="DB138" s="41"/>
      <c r="DC138" s="68"/>
      <c r="DD138" s="41"/>
      <c r="DE138" s="41"/>
      <c r="DF138" s="69"/>
      <c r="DG138" s="41" t="s">
        <v>414</v>
      </c>
      <c r="DH138" s="85" t="s">
        <v>385</v>
      </c>
      <c r="DI138" s="69">
        <v>49630</v>
      </c>
      <c r="DJ138" s="46" t="s">
        <v>408</v>
      </c>
      <c r="DK138" s="41" t="s">
        <v>465</v>
      </c>
      <c r="DL138" s="68">
        <v>3539.17</v>
      </c>
    </row>
    <row r="139" spans="1:116">
      <c r="A139" s="53" t="s">
        <v>301</v>
      </c>
      <c r="B139" s="40">
        <v>3</v>
      </c>
      <c r="C139" s="53" t="s">
        <v>287</v>
      </c>
      <c r="D139" s="54" t="s">
        <v>224</v>
      </c>
      <c r="E139" s="56">
        <v>7</v>
      </c>
      <c r="F139" s="59">
        <v>64.274631999999997</v>
      </c>
      <c r="G139" s="68">
        <f t="shared" si="2"/>
        <v>0</v>
      </c>
      <c r="H139" s="47">
        <v>64.274631999999997</v>
      </c>
      <c r="I139" s="69">
        <v>302.68</v>
      </c>
      <c r="J139" s="41"/>
      <c r="K139" s="41"/>
      <c r="L139" s="41"/>
      <c r="M139" s="69"/>
      <c r="N139" s="41"/>
      <c r="O139" s="41"/>
      <c r="P139" s="41"/>
      <c r="Q139" s="68"/>
      <c r="R139" s="41"/>
      <c r="S139" s="41"/>
      <c r="T139" s="41"/>
      <c r="U139" s="69"/>
      <c r="V139" s="41"/>
      <c r="W139" s="41"/>
      <c r="X139" s="68"/>
      <c r="Y139" s="41"/>
      <c r="Z139" s="41"/>
      <c r="AA139" s="41"/>
      <c r="AB139" s="69"/>
      <c r="AC139" s="41"/>
      <c r="AD139" s="41"/>
      <c r="AE139" s="41"/>
      <c r="AF139" s="68"/>
      <c r="AG139" s="41" t="s">
        <v>407</v>
      </c>
      <c r="AH139" s="41" t="s">
        <v>308</v>
      </c>
      <c r="AI139" s="98">
        <v>302.7</v>
      </c>
      <c r="AJ139" s="41"/>
      <c r="AK139" s="69">
        <v>302680</v>
      </c>
      <c r="AL139" s="46"/>
      <c r="AM139" s="41"/>
      <c r="AN139" s="41"/>
      <c r="AO139" s="68"/>
      <c r="AP139" s="41"/>
      <c r="AQ139" s="41"/>
      <c r="AR139" s="69"/>
      <c r="AS139" s="46"/>
      <c r="AT139" s="41"/>
      <c r="AU139" s="68"/>
      <c r="AV139" s="41"/>
      <c r="AW139" s="41"/>
      <c r="AX139" s="69"/>
      <c r="AY139" s="41"/>
      <c r="AZ139" s="41"/>
      <c r="BA139" s="68"/>
      <c r="BB139" s="41"/>
      <c r="BC139" s="41"/>
      <c r="BD139" s="69"/>
      <c r="BE139" s="46"/>
      <c r="BF139" s="41"/>
      <c r="BG139" s="68"/>
      <c r="BH139" s="41"/>
      <c r="BI139" s="41"/>
      <c r="BJ139" s="69"/>
      <c r="BK139" s="46"/>
      <c r="BL139" s="41"/>
      <c r="BM139" s="68"/>
      <c r="BN139" s="41"/>
      <c r="BO139" s="41"/>
      <c r="BP139" s="69"/>
      <c r="BQ139" s="41"/>
      <c r="BR139" s="41"/>
      <c r="BS139" s="68"/>
      <c r="BT139" s="41"/>
      <c r="BU139" s="41"/>
      <c r="BV139" s="69"/>
      <c r="BW139" s="46"/>
      <c r="BX139" s="41"/>
      <c r="BY139" s="68"/>
      <c r="BZ139" s="41"/>
      <c r="CA139" s="41"/>
      <c r="CB139" s="69"/>
      <c r="CC139" s="46"/>
      <c r="CD139" s="41"/>
      <c r="CE139" s="68"/>
      <c r="CF139" s="41"/>
      <c r="CG139" s="41"/>
      <c r="CH139" s="69"/>
      <c r="CI139" s="41"/>
      <c r="CJ139" s="41"/>
      <c r="CK139" s="68"/>
      <c r="CL139" s="41"/>
      <c r="CM139" s="41"/>
      <c r="CN139" s="69"/>
      <c r="CO139" s="41"/>
      <c r="CP139" s="41"/>
      <c r="CQ139" s="68"/>
      <c r="CR139" s="41"/>
      <c r="CS139" s="41"/>
      <c r="CT139" s="69"/>
      <c r="CU139" s="41"/>
      <c r="CV139" s="41"/>
      <c r="CW139" s="68"/>
      <c r="CX139" s="41"/>
      <c r="CY139" s="41"/>
      <c r="CZ139" s="69"/>
      <c r="DA139" s="41"/>
      <c r="DB139" s="41"/>
      <c r="DC139" s="68"/>
      <c r="DD139" s="41"/>
      <c r="DE139" s="41"/>
      <c r="DF139" s="69"/>
      <c r="DG139" s="41"/>
      <c r="DH139" s="85"/>
      <c r="DI139" s="69">
        <v>0</v>
      </c>
      <c r="DJ139" s="46"/>
      <c r="DK139" s="41"/>
      <c r="DL139" s="68">
        <v>0</v>
      </c>
    </row>
    <row r="140" spans="1:116">
      <c r="A140" s="53" t="s">
        <v>301</v>
      </c>
      <c r="B140" s="40">
        <v>3</v>
      </c>
      <c r="C140" s="53" t="s">
        <v>287</v>
      </c>
      <c r="D140" s="54" t="s">
        <v>254</v>
      </c>
      <c r="E140" s="56">
        <v>7</v>
      </c>
      <c r="F140" s="59">
        <v>41.463293999999991</v>
      </c>
      <c r="G140" s="68">
        <f t="shared" si="2"/>
        <v>0</v>
      </c>
      <c r="H140" s="47">
        <v>41.463293999999991</v>
      </c>
      <c r="I140" s="69">
        <v>41.46</v>
      </c>
      <c r="J140" s="41"/>
      <c r="K140" s="41"/>
      <c r="L140" s="41"/>
      <c r="M140" s="69"/>
      <c r="N140" s="41"/>
      <c r="O140" s="41"/>
      <c r="P140" s="41"/>
      <c r="Q140" s="68"/>
      <c r="R140" s="41"/>
      <c r="S140" s="41"/>
      <c r="T140" s="41"/>
      <c r="U140" s="69"/>
      <c r="V140" s="41"/>
      <c r="W140" s="41"/>
      <c r="X140" s="68"/>
      <c r="Y140" s="41"/>
      <c r="Z140" s="41"/>
      <c r="AA140" s="41"/>
      <c r="AB140" s="69"/>
      <c r="AC140" s="41"/>
      <c r="AD140" s="41"/>
      <c r="AE140" s="41"/>
      <c r="AF140" s="68"/>
      <c r="AG140" s="41"/>
      <c r="AH140" s="41"/>
      <c r="AI140" s="41"/>
      <c r="AJ140" s="41"/>
      <c r="AK140" s="69"/>
      <c r="AL140" s="46"/>
      <c r="AM140" s="41"/>
      <c r="AN140" s="41"/>
      <c r="AO140" s="68"/>
      <c r="AP140" s="41"/>
      <c r="AQ140" s="41"/>
      <c r="AR140" s="69"/>
      <c r="AS140" s="46"/>
      <c r="AT140" s="41"/>
      <c r="AU140" s="68"/>
      <c r="AV140" s="41"/>
      <c r="AW140" s="41"/>
      <c r="AX140" s="69"/>
      <c r="AY140" s="41"/>
      <c r="AZ140" s="41"/>
      <c r="BA140" s="68"/>
      <c r="BB140" s="41"/>
      <c r="BC140" s="41"/>
      <c r="BD140" s="69"/>
      <c r="BE140" s="46"/>
      <c r="BF140" s="41"/>
      <c r="BG140" s="68"/>
      <c r="BH140" s="41"/>
      <c r="BI140" s="41"/>
      <c r="BJ140" s="69"/>
      <c r="BK140" s="46"/>
      <c r="BL140" s="41"/>
      <c r="BM140" s="68"/>
      <c r="BN140" s="41"/>
      <c r="BO140" s="41"/>
      <c r="BP140" s="69"/>
      <c r="BQ140" s="41"/>
      <c r="BR140" s="41"/>
      <c r="BS140" s="68"/>
      <c r="BT140" s="41"/>
      <c r="BU140" s="41"/>
      <c r="BV140" s="69"/>
      <c r="BW140" s="46"/>
      <c r="BX140" s="41"/>
      <c r="BY140" s="68"/>
      <c r="BZ140" s="41" t="s">
        <v>408</v>
      </c>
      <c r="CA140" s="41">
        <v>10</v>
      </c>
      <c r="CB140" s="69">
        <v>41460</v>
      </c>
      <c r="CC140" s="46"/>
      <c r="CD140" s="41"/>
      <c r="CE140" s="68"/>
      <c r="CF140" s="41"/>
      <c r="CG140" s="41"/>
      <c r="CH140" s="69"/>
      <c r="CI140" s="41"/>
      <c r="CJ140" s="41"/>
      <c r="CK140" s="68"/>
      <c r="CL140" s="41"/>
      <c r="CM140" s="41"/>
      <c r="CN140" s="69"/>
      <c r="CO140" s="41"/>
      <c r="CP140" s="41"/>
      <c r="CQ140" s="68"/>
      <c r="CR140" s="41"/>
      <c r="CS140" s="41"/>
      <c r="CT140" s="69"/>
      <c r="CU140" s="41"/>
      <c r="CV140" s="41"/>
      <c r="CW140" s="68"/>
      <c r="CX140" s="41"/>
      <c r="CY140" s="41"/>
      <c r="CZ140" s="69"/>
      <c r="DA140" s="41"/>
      <c r="DB140" s="41"/>
      <c r="DC140" s="68"/>
      <c r="DD140" s="41"/>
      <c r="DE140" s="41"/>
      <c r="DF140" s="69"/>
      <c r="DG140" s="41"/>
      <c r="DH140" s="85"/>
      <c r="DI140" s="69">
        <v>0</v>
      </c>
      <c r="DJ140" s="46"/>
      <c r="DK140" s="41"/>
      <c r="DL140" s="68">
        <v>0</v>
      </c>
    </row>
    <row r="141" spans="1:116">
      <c r="A141" s="53" t="s">
        <v>301</v>
      </c>
      <c r="B141" s="40">
        <v>3</v>
      </c>
      <c r="C141" s="53" t="s">
        <v>287</v>
      </c>
      <c r="D141" s="54" t="s">
        <v>247</v>
      </c>
      <c r="E141" s="56">
        <v>7</v>
      </c>
      <c r="F141" s="59">
        <v>47.130356000000006</v>
      </c>
      <c r="G141" s="68">
        <f t="shared" si="2"/>
        <v>0</v>
      </c>
      <c r="H141" s="47">
        <v>47.130356000000006</v>
      </c>
      <c r="I141" s="69">
        <v>46.8</v>
      </c>
      <c r="J141" s="41"/>
      <c r="K141" s="41"/>
      <c r="L141" s="41"/>
      <c r="M141" s="69"/>
      <c r="N141" s="41"/>
      <c r="O141" s="41"/>
      <c r="P141" s="41"/>
      <c r="Q141" s="68"/>
      <c r="R141" s="41"/>
      <c r="S141" s="41"/>
      <c r="T141" s="41"/>
      <c r="U141" s="69"/>
      <c r="V141" s="41"/>
      <c r="W141" s="41"/>
      <c r="X141" s="68"/>
      <c r="Y141" s="41"/>
      <c r="Z141" s="41"/>
      <c r="AA141" s="41"/>
      <c r="AB141" s="69"/>
      <c r="AC141" s="41"/>
      <c r="AD141" s="41"/>
      <c r="AE141" s="41"/>
      <c r="AF141" s="68"/>
      <c r="AG141" s="41"/>
      <c r="AH141" s="41"/>
      <c r="AI141" s="41"/>
      <c r="AJ141" s="41"/>
      <c r="AK141" s="69"/>
      <c r="AL141" s="46"/>
      <c r="AM141" s="41"/>
      <c r="AN141" s="41"/>
      <c r="AO141" s="68"/>
      <c r="AP141" s="41"/>
      <c r="AQ141" s="41"/>
      <c r="AR141" s="69"/>
      <c r="AS141" s="46"/>
      <c r="AT141" s="41"/>
      <c r="AU141" s="68"/>
      <c r="AV141" s="41"/>
      <c r="AW141" s="41"/>
      <c r="AX141" s="69"/>
      <c r="AY141" s="41"/>
      <c r="AZ141" s="41"/>
      <c r="BA141" s="68"/>
      <c r="BB141" s="41"/>
      <c r="BC141" s="41"/>
      <c r="BD141" s="69"/>
      <c r="BE141" s="46"/>
      <c r="BF141" s="41"/>
      <c r="BG141" s="68"/>
      <c r="BH141" s="41"/>
      <c r="BI141" s="41"/>
      <c r="BJ141" s="69"/>
      <c r="BK141" s="46"/>
      <c r="BL141" s="41"/>
      <c r="BM141" s="68"/>
      <c r="BN141" s="41"/>
      <c r="BO141" s="41"/>
      <c r="BP141" s="69"/>
      <c r="BQ141" s="41"/>
      <c r="BR141" s="41"/>
      <c r="BS141" s="68"/>
      <c r="BT141" s="41"/>
      <c r="BU141" s="41"/>
      <c r="BV141" s="69"/>
      <c r="BW141" s="46"/>
      <c r="BX141" s="41"/>
      <c r="BY141" s="68"/>
      <c r="BZ141" s="41"/>
      <c r="CA141" s="41"/>
      <c r="CB141" s="69"/>
      <c r="CC141" s="46"/>
      <c r="CD141" s="41"/>
      <c r="CE141" s="68"/>
      <c r="CF141" s="41"/>
      <c r="CG141" s="41"/>
      <c r="CH141" s="69"/>
      <c r="CI141" s="41"/>
      <c r="CJ141" s="41"/>
      <c r="CK141" s="68"/>
      <c r="CL141" s="41"/>
      <c r="CM141" s="41"/>
      <c r="CN141" s="69"/>
      <c r="CO141" s="41"/>
      <c r="CP141" s="41"/>
      <c r="CQ141" s="68"/>
      <c r="CR141" s="41"/>
      <c r="CS141" s="41"/>
      <c r="CT141" s="69"/>
      <c r="CU141" s="41"/>
      <c r="CV141" s="41"/>
      <c r="CW141" s="68"/>
      <c r="CX141" s="41"/>
      <c r="CY141" s="41"/>
      <c r="CZ141" s="69"/>
      <c r="DA141" s="41"/>
      <c r="DB141" s="41"/>
      <c r="DC141" s="68"/>
      <c r="DD141" s="41"/>
      <c r="DE141" s="41"/>
      <c r="DF141" s="69"/>
      <c r="DG141" s="41" t="s">
        <v>406</v>
      </c>
      <c r="DH141" s="85" t="s">
        <v>313</v>
      </c>
      <c r="DI141" s="69">
        <v>46800</v>
      </c>
      <c r="DJ141" s="46"/>
      <c r="DK141" s="41"/>
      <c r="DL141" s="68">
        <v>0</v>
      </c>
    </row>
    <row r="142" spans="1:116">
      <c r="A142" s="53" t="s">
        <v>301</v>
      </c>
      <c r="B142" s="40">
        <v>3</v>
      </c>
      <c r="C142" s="53" t="s">
        <v>287</v>
      </c>
      <c r="D142" s="54" t="s">
        <v>248</v>
      </c>
      <c r="E142" s="56">
        <v>7</v>
      </c>
      <c r="F142" s="59">
        <v>53.418637999999994</v>
      </c>
      <c r="G142" s="68">
        <f t="shared" si="2"/>
        <v>0</v>
      </c>
      <c r="H142" s="47">
        <v>53.418637999999994</v>
      </c>
      <c r="I142" s="69">
        <v>53.42</v>
      </c>
      <c r="J142" s="41"/>
      <c r="K142" s="41"/>
      <c r="L142" s="41"/>
      <c r="M142" s="69"/>
      <c r="N142" s="41"/>
      <c r="O142" s="41"/>
      <c r="P142" s="41"/>
      <c r="Q142" s="68"/>
      <c r="R142" s="41"/>
      <c r="S142" s="41"/>
      <c r="T142" s="41"/>
      <c r="U142" s="69"/>
      <c r="V142" s="41"/>
      <c r="W142" s="41"/>
      <c r="X142" s="68"/>
      <c r="Y142" s="41"/>
      <c r="Z142" s="41"/>
      <c r="AA142" s="41"/>
      <c r="AB142" s="69"/>
      <c r="AC142" s="41"/>
      <c r="AD142" s="41"/>
      <c r="AE142" s="41"/>
      <c r="AF142" s="68"/>
      <c r="AG142" s="41"/>
      <c r="AH142" s="41"/>
      <c r="AI142" s="41"/>
      <c r="AJ142" s="41"/>
      <c r="AK142" s="69"/>
      <c r="AL142" s="46"/>
      <c r="AM142" s="41"/>
      <c r="AN142" s="41"/>
      <c r="AO142" s="68"/>
      <c r="AP142" s="41"/>
      <c r="AQ142" s="41"/>
      <c r="AR142" s="69"/>
      <c r="AS142" s="46"/>
      <c r="AT142" s="41"/>
      <c r="AU142" s="68"/>
      <c r="AV142" s="41"/>
      <c r="AW142" s="41"/>
      <c r="AX142" s="69"/>
      <c r="AY142" s="41"/>
      <c r="AZ142" s="41"/>
      <c r="BA142" s="68"/>
      <c r="BB142" s="41"/>
      <c r="BC142" s="41"/>
      <c r="BD142" s="69"/>
      <c r="BE142" s="46"/>
      <c r="BF142" s="41"/>
      <c r="BG142" s="68"/>
      <c r="BH142" s="41"/>
      <c r="BI142" s="41"/>
      <c r="BJ142" s="69"/>
      <c r="BK142" s="46"/>
      <c r="BL142" s="41"/>
      <c r="BM142" s="68"/>
      <c r="BN142" s="41"/>
      <c r="BO142" s="41"/>
      <c r="BP142" s="69"/>
      <c r="BQ142" s="41"/>
      <c r="BR142" s="41"/>
      <c r="BS142" s="68"/>
      <c r="BT142" s="41"/>
      <c r="BU142" s="41"/>
      <c r="BV142" s="69"/>
      <c r="BW142" s="46"/>
      <c r="BX142" s="41"/>
      <c r="BY142" s="68"/>
      <c r="BZ142" s="41"/>
      <c r="CA142" s="41"/>
      <c r="CB142" s="69"/>
      <c r="CC142" s="46"/>
      <c r="CD142" s="41"/>
      <c r="CE142" s="68"/>
      <c r="CF142" s="41"/>
      <c r="CG142" s="41"/>
      <c r="CH142" s="69"/>
      <c r="CI142" s="41"/>
      <c r="CJ142" s="41"/>
      <c r="CK142" s="68"/>
      <c r="CL142" s="41"/>
      <c r="CM142" s="41"/>
      <c r="CN142" s="69"/>
      <c r="CO142" s="41"/>
      <c r="CP142" s="41"/>
      <c r="CQ142" s="68"/>
      <c r="CR142" s="41" t="s">
        <v>406</v>
      </c>
      <c r="CS142" s="41">
        <v>30</v>
      </c>
      <c r="CT142" s="69">
        <v>53420</v>
      </c>
      <c r="CU142" s="41"/>
      <c r="CV142" s="41"/>
      <c r="CW142" s="68"/>
      <c r="CX142" s="41"/>
      <c r="CY142" s="41"/>
      <c r="CZ142" s="69"/>
      <c r="DA142" s="41"/>
      <c r="DB142" s="41"/>
      <c r="DC142" s="68"/>
      <c r="DD142" s="41"/>
      <c r="DE142" s="41"/>
      <c r="DF142" s="69"/>
      <c r="DG142" s="41"/>
      <c r="DH142" s="85"/>
      <c r="DI142" s="69">
        <v>0</v>
      </c>
      <c r="DJ142" s="46"/>
      <c r="DK142" s="41"/>
      <c r="DL142" s="68">
        <v>0</v>
      </c>
    </row>
    <row r="143" spans="1:116">
      <c r="A143" s="53" t="s">
        <v>301</v>
      </c>
      <c r="B143" s="40">
        <v>3</v>
      </c>
      <c r="C143" s="53" t="s">
        <v>287</v>
      </c>
      <c r="D143" s="57" t="s">
        <v>289</v>
      </c>
      <c r="E143" s="56">
        <v>7</v>
      </c>
      <c r="F143" s="59">
        <v>48.693177999999996</v>
      </c>
      <c r="G143" s="68">
        <f t="shared" si="2"/>
        <v>1.2125899999999998</v>
      </c>
      <c r="H143" s="47">
        <v>47.480587999999997</v>
      </c>
      <c r="I143" s="69">
        <v>48</v>
      </c>
      <c r="J143" s="41"/>
      <c r="K143" s="41"/>
      <c r="L143" s="41"/>
      <c r="M143" s="69"/>
      <c r="N143" s="41"/>
      <c r="O143" s="41"/>
      <c r="P143" s="41"/>
      <c r="Q143" s="68"/>
      <c r="R143" s="41"/>
      <c r="S143" s="41"/>
      <c r="T143" s="41"/>
      <c r="U143" s="69"/>
      <c r="V143" s="41"/>
      <c r="W143" s="41"/>
      <c r="X143" s="68"/>
      <c r="Y143" s="41"/>
      <c r="Z143" s="41"/>
      <c r="AA143" s="41"/>
      <c r="AB143" s="69"/>
      <c r="AC143" s="41"/>
      <c r="AD143" s="41"/>
      <c r="AE143" s="41"/>
      <c r="AF143" s="68"/>
      <c r="AG143" s="41"/>
      <c r="AH143" s="41"/>
      <c r="AI143" s="41"/>
      <c r="AJ143" s="41"/>
      <c r="AK143" s="69"/>
      <c r="AL143" s="46"/>
      <c r="AM143" s="41"/>
      <c r="AN143" s="41"/>
      <c r="AO143" s="68"/>
      <c r="AP143" s="41"/>
      <c r="AQ143" s="41"/>
      <c r="AR143" s="69"/>
      <c r="AS143" s="46" t="s">
        <v>362</v>
      </c>
      <c r="AT143" s="41">
        <v>2</v>
      </c>
      <c r="AU143" s="68">
        <v>1212.5899999999999</v>
      </c>
      <c r="AV143" s="41"/>
      <c r="AW143" s="41"/>
      <c r="AX143" s="69"/>
      <c r="AY143" s="41"/>
      <c r="AZ143" s="41"/>
      <c r="BA143" s="68"/>
      <c r="BB143" s="41"/>
      <c r="BC143" s="41"/>
      <c r="BD143" s="69"/>
      <c r="BE143" s="46"/>
      <c r="BF143" s="41"/>
      <c r="BG143" s="68"/>
      <c r="BH143" s="41"/>
      <c r="BI143" s="41"/>
      <c r="BJ143" s="69"/>
      <c r="BK143" s="46"/>
      <c r="BL143" s="41"/>
      <c r="BM143" s="68"/>
      <c r="BN143" s="41"/>
      <c r="BO143" s="41"/>
      <c r="BP143" s="69"/>
      <c r="BQ143" s="41"/>
      <c r="BR143" s="41"/>
      <c r="BS143" s="68"/>
      <c r="BT143" s="41"/>
      <c r="BU143" s="41"/>
      <c r="BV143" s="69"/>
      <c r="BW143" s="46"/>
      <c r="BX143" s="41"/>
      <c r="BY143" s="68"/>
      <c r="BZ143" s="41"/>
      <c r="CA143" s="41"/>
      <c r="CB143" s="69"/>
      <c r="CC143" s="46"/>
      <c r="CD143" s="41"/>
      <c r="CE143" s="68"/>
      <c r="CF143" s="41"/>
      <c r="CG143" s="41"/>
      <c r="CH143" s="69"/>
      <c r="CI143" s="41"/>
      <c r="CJ143" s="41"/>
      <c r="CK143" s="68"/>
      <c r="CL143" s="41"/>
      <c r="CM143" s="41"/>
      <c r="CN143" s="69"/>
      <c r="CO143" s="41"/>
      <c r="CP143" s="41"/>
      <c r="CQ143" s="68"/>
      <c r="CR143" s="41"/>
      <c r="CS143" s="41"/>
      <c r="CT143" s="69"/>
      <c r="CU143" s="41"/>
      <c r="CV143" s="41"/>
      <c r="CW143" s="68"/>
      <c r="CX143" s="41"/>
      <c r="CY143" s="41"/>
      <c r="CZ143" s="69"/>
      <c r="DA143" s="41"/>
      <c r="DB143" s="41"/>
      <c r="DC143" s="68"/>
      <c r="DD143" s="41"/>
      <c r="DE143" s="41"/>
      <c r="DF143" s="69"/>
      <c r="DG143" s="41" t="s">
        <v>406</v>
      </c>
      <c r="DH143" s="85" t="s">
        <v>313</v>
      </c>
      <c r="DI143" s="69">
        <v>48000</v>
      </c>
      <c r="DJ143" s="46"/>
      <c r="DK143" s="41"/>
      <c r="DL143" s="68">
        <v>0</v>
      </c>
    </row>
    <row r="144" spans="1:116">
      <c r="A144" s="53" t="s">
        <v>301</v>
      </c>
      <c r="B144" s="40">
        <v>3</v>
      </c>
      <c r="C144" s="53" t="s">
        <v>287</v>
      </c>
      <c r="D144" s="54" t="s">
        <v>249</v>
      </c>
      <c r="E144" s="56">
        <v>7</v>
      </c>
      <c r="F144" s="59">
        <v>8.1468880000000041</v>
      </c>
      <c r="G144" s="68">
        <f t="shared" si="2"/>
        <v>0</v>
      </c>
      <c r="H144" s="47">
        <v>8.1468880000000041</v>
      </c>
      <c r="I144" s="69">
        <v>0</v>
      </c>
      <c r="J144" s="41"/>
      <c r="K144" s="41"/>
      <c r="L144" s="41"/>
      <c r="M144" s="69"/>
      <c r="N144" s="41"/>
      <c r="O144" s="41"/>
      <c r="P144" s="41"/>
      <c r="Q144" s="68"/>
      <c r="R144" s="41"/>
      <c r="S144" s="41"/>
      <c r="T144" s="41"/>
      <c r="U144" s="69"/>
      <c r="V144" s="41"/>
      <c r="W144" s="41"/>
      <c r="X144" s="68"/>
      <c r="Y144" s="41"/>
      <c r="Z144" s="41"/>
      <c r="AA144" s="41"/>
      <c r="AB144" s="69"/>
      <c r="AC144" s="41"/>
      <c r="AD144" s="41"/>
      <c r="AE144" s="41"/>
      <c r="AF144" s="68"/>
      <c r="AG144" s="41"/>
      <c r="AH144" s="41"/>
      <c r="AI144" s="41"/>
      <c r="AJ144" s="41"/>
      <c r="AK144" s="69"/>
      <c r="AL144" s="46"/>
      <c r="AM144" s="41"/>
      <c r="AN144" s="41"/>
      <c r="AO144" s="68"/>
      <c r="AP144" s="41"/>
      <c r="AQ144" s="41"/>
      <c r="AR144" s="69"/>
      <c r="AS144" s="46"/>
      <c r="AT144" s="41"/>
      <c r="AU144" s="68"/>
      <c r="AV144" s="41"/>
      <c r="AW144" s="41"/>
      <c r="AX144" s="69"/>
      <c r="AY144" s="41"/>
      <c r="AZ144" s="41"/>
      <c r="BA144" s="68"/>
      <c r="BB144" s="41"/>
      <c r="BC144" s="41"/>
      <c r="BD144" s="69"/>
      <c r="BE144" s="46"/>
      <c r="BF144" s="41"/>
      <c r="BG144" s="68"/>
      <c r="BH144" s="41"/>
      <c r="BI144" s="41"/>
      <c r="BJ144" s="69"/>
      <c r="BK144" s="46"/>
      <c r="BL144" s="41"/>
      <c r="BM144" s="68"/>
      <c r="BN144" s="41"/>
      <c r="BO144" s="41"/>
      <c r="BP144" s="69"/>
      <c r="BQ144" s="41"/>
      <c r="BR144" s="41"/>
      <c r="BS144" s="68"/>
      <c r="BT144" s="41"/>
      <c r="BU144" s="41"/>
      <c r="BV144" s="69"/>
      <c r="BW144" s="46"/>
      <c r="BX144" s="41"/>
      <c r="BY144" s="68"/>
      <c r="BZ144" s="41"/>
      <c r="CA144" s="41"/>
      <c r="CB144" s="69"/>
      <c r="CC144" s="46"/>
      <c r="CD144" s="41"/>
      <c r="CE144" s="68"/>
      <c r="CF144" s="41"/>
      <c r="CG144" s="41"/>
      <c r="CH144" s="69"/>
      <c r="CI144" s="41"/>
      <c r="CJ144" s="41"/>
      <c r="CK144" s="68"/>
      <c r="CL144" s="41"/>
      <c r="CM144" s="41"/>
      <c r="CN144" s="69"/>
      <c r="CO144" s="41"/>
      <c r="CP144" s="41"/>
      <c r="CQ144" s="68"/>
      <c r="CR144" s="41"/>
      <c r="CS144" s="41"/>
      <c r="CT144" s="69"/>
      <c r="CU144" s="41"/>
      <c r="CV144" s="41"/>
      <c r="CW144" s="68"/>
      <c r="CX144" s="41"/>
      <c r="CY144" s="41"/>
      <c r="CZ144" s="69"/>
      <c r="DA144" s="41"/>
      <c r="DB144" s="41"/>
      <c r="DC144" s="68"/>
      <c r="DD144" s="41"/>
      <c r="DE144" s="41"/>
      <c r="DF144" s="69"/>
      <c r="DG144" s="41"/>
      <c r="DH144" s="85" t="s">
        <v>386</v>
      </c>
      <c r="DI144" s="69">
        <v>0</v>
      </c>
      <c r="DJ144" s="46"/>
      <c r="DK144" s="41"/>
      <c r="DL144" s="68">
        <v>0</v>
      </c>
    </row>
    <row r="145" spans="1:116">
      <c r="A145" s="53" t="s">
        <v>301</v>
      </c>
      <c r="B145" s="40">
        <v>3</v>
      </c>
      <c r="C145" s="53" t="s">
        <v>287</v>
      </c>
      <c r="D145" s="54" t="s">
        <v>290</v>
      </c>
      <c r="E145" s="56">
        <v>7</v>
      </c>
      <c r="F145" s="59">
        <v>30.531916000000002</v>
      </c>
      <c r="G145" s="68">
        <f t="shared" si="2"/>
        <v>0</v>
      </c>
      <c r="H145" s="47">
        <v>30.531916000000002</v>
      </c>
      <c r="I145" s="69">
        <v>30.53</v>
      </c>
      <c r="J145" s="41"/>
      <c r="K145" s="41"/>
      <c r="L145" s="41"/>
      <c r="M145" s="69"/>
      <c r="N145" s="41"/>
      <c r="O145" s="41"/>
      <c r="P145" s="41"/>
      <c r="Q145" s="68"/>
      <c r="R145" s="41"/>
      <c r="S145" s="41"/>
      <c r="T145" s="41"/>
      <c r="U145" s="69"/>
      <c r="V145" s="41"/>
      <c r="W145" s="41"/>
      <c r="X145" s="68"/>
      <c r="Y145" s="41"/>
      <c r="Z145" s="41"/>
      <c r="AA145" s="41"/>
      <c r="AB145" s="69"/>
      <c r="AC145" s="41"/>
      <c r="AD145" s="41"/>
      <c r="AE145" s="41"/>
      <c r="AF145" s="68"/>
      <c r="AG145" s="41"/>
      <c r="AH145" s="41"/>
      <c r="AI145" s="41"/>
      <c r="AJ145" s="41"/>
      <c r="AK145" s="69"/>
      <c r="AL145" s="46"/>
      <c r="AM145" s="41"/>
      <c r="AN145" s="41"/>
      <c r="AO145" s="68"/>
      <c r="AP145" s="41"/>
      <c r="AQ145" s="41"/>
      <c r="AR145" s="69"/>
      <c r="AS145" s="46"/>
      <c r="AT145" s="41"/>
      <c r="AU145" s="68"/>
      <c r="AV145" s="41"/>
      <c r="AW145" s="41"/>
      <c r="AX145" s="69"/>
      <c r="AY145" s="41"/>
      <c r="AZ145" s="41"/>
      <c r="BA145" s="68"/>
      <c r="BB145" s="41"/>
      <c r="BC145" s="41"/>
      <c r="BD145" s="69"/>
      <c r="BE145" s="46"/>
      <c r="BF145" s="41"/>
      <c r="BG145" s="68"/>
      <c r="BH145" s="41"/>
      <c r="BI145" s="41"/>
      <c r="BJ145" s="69"/>
      <c r="BK145" s="46"/>
      <c r="BL145" s="41"/>
      <c r="BM145" s="68"/>
      <c r="BN145" s="41"/>
      <c r="BO145" s="41"/>
      <c r="BP145" s="69"/>
      <c r="BQ145" s="41"/>
      <c r="BR145" s="41"/>
      <c r="BS145" s="68"/>
      <c r="BT145" s="41"/>
      <c r="BU145" s="41"/>
      <c r="BV145" s="69"/>
      <c r="BW145" s="46"/>
      <c r="BX145" s="41"/>
      <c r="BY145" s="68"/>
      <c r="BZ145" s="41"/>
      <c r="CA145" s="41"/>
      <c r="CB145" s="69"/>
      <c r="CC145" s="46"/>
      <c r="CD145" s="41"/>
      <c r="CE145" s="68"/>
      <c r="CF145" s="41"/>
      <c r="CG145" s="41"/>
      <c r="CH145" s="69"/>
      <c r="CI145" s="41"/>
      <c r="CJ145" s="41"/>
      <c r="CK145" s="68"/>
      <c r="CL145" s="41"/>
      <c r="CM145" s="41"/>
      <c r="CN145" s="69"/>
      <c r="CO145" s="41"/>
      <c r="CP145" s="41"/>
      <c r="CQ145" s="68"/>
      <c r="CR145" s="41" t="s">
        <v>406</v>
      </c>
      <c r="CS145" s="41">
        <v>20</v>
      </c>
      <c r="CT145" s="69">
        <v>30530</v>
      </c>
      <c r="CU145" s="41"/>
      <c r="CV145" s="41"/>
      <c r="CW145" s="68"/>
      <c r="CX145" s="41"/>
      <c r="CY145" s="41"/>
      <c r="CZ145" s="69"/>
      <c r="DA145" s="41"/>
      <c r="DB145" s="41"/>
      <c r="DC145" s="68"/>
      <c r="DD145" s="41"/>
      <c r="DE145" s="41"/>
      <c r="DF145" s="69"/>
      <c r="DG145" s="41"/>
      <c r="DH145" s="85"/>
      <c r="DI145" s="69">
        <v>0</v>
      </c>
      <c r="DJ145" s="46"/>
      <c r="DK145" s="41"/>
      <c r="DL145" s="68">
        <v>0</v>
      </c>
    </row>
    <row r="146" spans="1:116">
      <c r="A146" s="53" t="s">
        <v>301</v>
      </c>
      <c r="B146" s="40">
        <v>3</v>
      </c>
      <c r="C146" s="53" t="s">
        <v>287</v>
      </c>
      <c r="D146" s="54">
        <v>12</v>
      </c>
      <c r="E146" s="56">
        <v>7</v>
      </c>
      <c r="F146" s="59">
        <v>27.270860000000003</v>
      </c>
      <c r="G146" s="68">
        <f t="shared" si="2"/>
        <v>0</v>
      </c>
      <c r="H146" s="47">
        <v>27.270860000000003</v>
      </c>
      <c r="I146" s="69">
        <v>27.27</v>
      </c>
      <c r="J146" s="41"/>
      <c r="K146" s="41"/>
      <c r="L146" s="41"/>
      <c r="M146" s="69"/>
      <c r="N146" s="41"/>
      <c r="O146" s="41"/>
      <c r="P146" s="41"/>
      <c r="Q146" s="68"/>
      <c r="R146" s="41"/>
      <c r="S146" s="41"/>
      <c r="T146" s="41"/>
      <c r="U146" s="69"/>
      <c r="V146" s="41"/>
      <c r="W146" s="41"/>
      <c r="X146" s="68"/>
      <c r="Y146" s="41"/>
      <c r="Z146" s="41"/>
      <c r="AA146" s="41"/>
      <c r="AB146" s="69"/>
      <c r="AC146" s="41"/>
      <c r="AD146" s="41"/>
      <c r="AE146" s="41"/>
      <c r="AF146" s="68"/>
      <c r="AG146" s="41"/>
      <c r="AH146" s="41"/>
      <c r="AI146" s="41"/>
      <c r="AJ146" s="41"/>
      <c r="AK146" s="69"/>
      <c r="AL146" s="46"/>
      <c r="AM146" s="41"/>
      <c r="AN146" s="41"/>
      <c r="AO146" s="68"/>
      <c r="AP146" s="41"/>
      <c r="AQ146" s="41"/>
      <c r="AR146" s="69"/>
      <c r="AS146" s="46"/>
      <c r="AT146" s="41"/>
      <c r="AU146" s="68"/>
      <c r="AV146" s="41"/>
      <c r="AW146" s="41"/>
      <c r="AX146" s="69"/>
      <c r="AY146" s="41"/>
      <c r="AZ146" s="41"/>
      <c r="BA146" s="68"/>
      <c r="BB146" s="41"/>
      <c r="BC146" s="41"/>
      <c r="BD146" s="69"/>
      <c r="BE146" s="46"/>
      <c r="BF146" s="41"/>
      <c r="BG146" s="68"/>
      <c r="BH146" s="41"/>
      <c r="BI146" s="41"/>
      <c r="BJ146" s="69"/>
      <c r="BK146" s="46"/>
      <c r="BL146" s="41"/>
      <c r="BM146" s="68"/>
      <c r="BN146" s="41"/>
      <c r="BO146" s="41"/>
      <c r="BP146" s="69"/>
      <c r="BQ146" s="41"/>
      <c r="BR146" s="41"/>
      <c r="BS146" s="68"/>
      <c r="BT146" s="41"/>
      <c r="BU146" s="41"/>
      <c r="BV146" s="69"/>
      <c r="BW146" s="46"/>
      <c r="BX146" s="41"/>
      <c r="BY146" s="68"/>
      <c r="BZ146" s="41"/>
      <c r="CA146" s="41"/>
      <c r="CB146" s="69"/>
      <c r="CC146" s="46"/>
      <c r="CD146" s="41"/>
      <c r="CE146" s="68"/>
      <c r="CF146" s="41"/>
      <c r="CG146" s="41"/>
      <c r="CH146" s="69"/>
      <c r="CI146" s="41"/>
      <c r="CJ146" s="41"/>
      <c r="CK146" s="68"/>
      <c r="CL146" s="41"/>
      <c r="CM146" s="41"/>
      <c r="CN146" s="69"/>
      <c r="CO146" s="41"/>
      <c r="CP146" s="41"/>
      <c r="CQ146" s="68"/>
      <c r="CR146" s="41" t="s">
        <v>406</v>
      </c>
      <c r="CS146" s="41">
        <v>10</v>
      </c>
      <c r="CT146" s="69">
        <v>15270</v>
      </c>
      <c r="CU146" s="41"/>
      <c r="CV146" s="41"/>
      <c r="CW146" s="68"/>
      <c r="CX146" s="41"/>
      <c r="CY146" s="41"/>
      <c r="CZ146" s="69"/>
      <c r="DA146" s="41"/>
      <c r="DB146" s="41"/>
      <c r="DC146" s="68"/>
      <c r="DD146" s="41"/>
      <c r="DE146" s="41"/>
      <c r="DF146" s="69"/>
      <c r="DG146" s="41" t="s">
        <v>406</v>
      </c>
      <c r="DH146" s="85" t="s">
        <v>305</v>
      </c>
      <c r="DI146" s="69">
        <v>12000</v>
      </c>
      <c r="DJ146" s="46"/>
      <c r="DK146" s="41"/>
      <c r="DL146" s="68">
        <v>0</v>
      </c>
    </row>
    <row r="147" spans="1:116">
      <c r="A147" s="53" t="s">
        <v>301</v>
      </c>
      <c r="B147" s="40">
        <v>3</v>
      </c>
      <c r="C147" s="53" t="s">
        <v>287</v>
      </c>
      <c r="D147" s="54" t="s">
        <v>232</v>
      </c>
      <c r="E147" s="56">
        <v>7</v>
      </c>
      <c r="F147" s="59">
        <v>41.270645999999999</v>
      </c>
      <c r="G147" s="68">
        <f t="shared" si="2"/>
        <v>8.38049</v>
      </c>
      <c r="H147" s="47">
        <v>32.890155999999998</v>
      </c>
      <c r="I147" s="69">
        <v>41.27</v>
      </c>
      <c r="J147" s="41"/>
      <c r="K147" s="41"/>
      <c r="L147" s="41"/>
      <c r="M147" s="69"/>
      <c r="N147" s="41"/>
      <c r="O147" s="41"/>
      <c r="P147" s="41"/>
      <c r="Q147" s="68"/>
      <c r="R147" s="41"/>
      <c r="S147" s="41"/>
      <c r="T147" s="41"/>
      <c r="U147" s="69"/>
      <c r="V147" s="41"/>
      <c r="W147" s="41"/>
      <c r="X147" s="68"/>
      <c r="Y147" s="41"/>
      <c r="Z147" s="41"/>
      <c r="AA147" s="41"/>
      <c r="AB147" s="69"/>
      <c r="AC147" s="41"/>
      <c r="AD147" s="41"/>
      <c r="AE147" s="41"/>
      <c r="AF147" s="68"/>
      <c r="AG147" s="41"/>
      <c r="AH147" s="41"/>
      <c r="AI147" s="41"/>
      <c r="AJ147" s="41"/>
      <c r="AK147" s="69"/>
      <c r="AL147" s="46"/>
      <c r="AM147" s="41"/>
      <c r="AN147" s="41"/>
      <c r="AO147" s="68"/>
      <c r="AP147" s="41"/>
      <c r="AQ147" s="41"/>
      <c r="AR147" s="69"/>
      <c r="AS147" s="46"/>
      <c r="AT147" s="41"/>
      <c r="AU147" s="68"/>
      <c r="AV147" s="41"/>
      <c r="AW147" s="41"/>
      <c r="AX147" s="69"/>
      <c r="AY147" s="41"/>
      <c r="AZ147" s="41"/>
      <c r="BA147" s="68"/>
      <c r="BB147" s="41"/>
      <c r="BC147" s="41"/>
      <c r="BD147" s="69"/>
      <c r="BE147" s="46"/>
      <c r="BF147" s="41"/>
      <c r="BG147" s="68"/>
      <c r="BH147" s="41"/>
      <c r="BI147" s="41"/>
      <c r="BJ147" s="69"/>
      <c r="BK147" s="46"/>
      <c r="BL147" s="41"/>
      <c r="BM147" s="68"/>
      <c r="BN147" s="41"/>
      <c r="BO147" s="41"/>
      <c r="BP147" s="69"/>
      <c r="BQ147" s="41"/>
      <c r="BR147" s="41"/>
      <c r="BS147" s="68"/>
      <c r="BT147" s="41"/>
      <c r="BU147" s="41"/>
      <c r="BV147" s="69"/>
      <c r="BW147" s="46"/>
      <c r="BX147" s="41"/>
      <c r="BY147" s="68"/>
      <c r="BZ147" s="41"/>
      <c r="CA147" s="41"/>
      <c r="CB147" s="69"/>
      <c r="CC147" s="46"/>
      <c r="CD147" s="41"/>
      <c r="CE147" s="68"/>
      <c r="CF147" s="41"/>
      <c r="CG147" s="41"/>
      <c r="CH147" s="69"/>
      <c r="CI147" s="41"/>
      <c r="CJ147" s="41"/>
      <c r="CK147" s="68"/>
      <c r="CL147" s="41"/>
      <c r="CM147" s="41"/>
      <c r="CN147" s="69"/>
      <c r="CO147" s="41"/>
      <c r="CP147" s="41"/>
      <c r="CQ147" s="68"/>
      <c r="CR147" s="41" t="s">
        <v>406</v>
      </c>
      <c r="CS147" s="41">
        <v>25</v>
      </c>
      <c r="CT147" s="69">
        <v>41270</v>
      </c>
      <c r="CU147" s="41"/>
      <c r="CV147" s="41"/>
      <c r="CW147" s="68"/>
      <c r="CX147" s="41"/>
      <c r="CY147" s="41"/>
      <c r="CZ147" s="69"/>
      <c r="DA147" s="41"/>
      <c r="DB147" s="41"/>
      <c r="DC147" s="68"/>
      <c r="DD147" s="41"/>
      <c r="DE147" s="41"/>
      <c r="DF147" s="69"/>
      <c r="DG147" s="41"/>
      <c r="DH147" s="85"/>
      <c r="DI147" s="69">
        <v>0</v>
      </c>
      <c r="DJ147" s="46" t="s">
        <v>362</v>
      </c>
      <c r="DK147" s="41" t="s">
        <v>430</v>
      </c>
      <c r="DL147" s="68">
        <v>8380.49</v>
      </c>
    </row>
    <row r="148" spans="1:116">
      <c r="A148" s="53" t="s">
        <v>301</v>
      </c>
      <c r="B148" s="40">
        <v>3</v>
      </c>
      <c r="C148" s="53" t="s">
        <v>287</v>
      </c>
      <c r="D148" s="54" t="s">
        <v>251</v>
      </c>
      <c r="E148" s="56">
        <v>7</v>
      </c>
      <c r="F148" s="59">
        <v>20.76201</v>
      </c>
      <c r="G148" s="68">
        <f t="shared" si="2"/>
        <v>3.3056099999999997</v>
      </c>
      <c r="H148" s="47">
        <v>18.50216</v>
      </c>
      <c r="I148" s="69">
        <v>20.8</v>
      </c>
      <c r="J148" s="41"/>
      <c r="K148" s="41"/>
      <c r="L148" s="41"/>
      <c r="M148" s="69"/>
      <c r="N148" s="41"/>
      <c r="O148" s="41"/>
      <c r="P148" s="41"/>
      <c r="Q148" s="68"/>
      <c r="R148" s="41"/>
      <c r="S148" s="41"/>
      <c r="T148" s="41"/>
      <c r="U148" s="69"/>
      <c r="V148" s="41"/>
      <c r="W148" s="41"/>
      <c r="X148" s="68"/>
      <c r="Y148" s="41"/>
      <c r="Z148" s="41"/>
      <c r="AA148" s="41"/>
      <c r="AB148" s="69"/>
      <c r="AC148" s="41"/>
      <c r="AD148" s="41"/>
      <c r="AE148" s="41"/>
      <c r="AF148" s="68"/>
      <c r="AG148" s="41"/>
      <c r="AH148" s="41"/>
      <c r="AI148" s="41"/>
      <c r="AJ148" s="41"/>
      <c r="AK148" s="69"/>
      <c r="AL148" s="46"/>
      <c r="AM148" s="41"/>
      <c r="AN148" s="41"/>
      <c r="AO148" s="68"/>
      <c r="AP148" s="41"/>
      <c r="AQ148" s="41"/>
      <c r="AR148" s="69"/>
      <c r="AS148" s="46" t="s">
        <v>402</v>
      </c>
      <c r="AT148" s="41">
        <v>1.5</v>
      </c>
      <c r="AU148" s="68">
        <v>1045.76</v>
      </c>
      <c r="AV148" s="41"/>
      <c r="AW148" s="41"/>
      <c r="AX148" s="69"/>
      <c r="AY148" s="41"/>
      <c r="AZ148" s="41"/>
      <c r="BA148" s="68"/>
      <c r="BB148" s="41"/>
      <c r="BC148" s="41"/>
      <c r="BD148" s="69"/>
      <c r="BE148" s="46"/>
      <c r="BF148" s="41"/>
      <c r="BG148" s="68"/>
      <c r="BH148" s="41"/>
      <c r="BI148" s="41"/>
      <c r="BJ148" s="69"/>
      <c r="BK148" s="46"/>
      <c r="BL148" s="41"/>
      <c r="BM148" s="68"/>
      <c r="BN148" s="41"/>
      <c r="BO148" s="41"/>
      <c r="BP148" s="69"/>
      <c r="BQ148" s="41"/>
      <c r="BR148" s="41"/>
      <c r="BS148" s="68"/>
      <c r="BT148" s="41"/>
      <c r="BU148" s="41"/>
      <c r="BV148" s="69"/>
      <c r="BW148" s="46"/>
      <c r="BX148" s="41"/>
      <c r="BY148" s="68"/>
      <c r="BZ148" s="41"/>
      <c r="CA148" s="41"/>
      <c r="CB148" s="69"/>
      <c r="CC148" s="46"/>
      <c r="CD148" s="41"/>
      <c r="CE148" s="68"/>
      <c r="CF148" s="41"/>
      <c r="CG148" s="41"/>
      <c r="CH148" s="69"/>
      <c r="CI148" s="41"/>
      <c r="CJ148" s="41"/>
      <c r="CK148" s="68"/>
      <c r="CL148" s="41"/>
      <c r="CM148" s="41"/>
      <c r="CN148" s="69"/>
      <c r="CO148" s="41"/>
      <c r="CP148" s="41"/>
      <c r="CQ148" s="68"/>
      <c r="CR148" s="41"/>
      <c r="CS148" s="41"/>
      <c r="CT148" s="69"/>
      <c r="CU148" s="41"/>
      <c r="CV148" s="41"/>
      <c r="CW148" s="68"/>
      <c r="CX148" s="41"/>
      <c r="CY148" s="41"/>
      <c r="CZ148" s="69"/>
      <c r="DA148" s="41"/>
      <c r="DB148" s="41"/>
      <c r="DC148" s="68"/>
      <c r="DD148" s="41"/>
      <c r="DE148" s="41"/>
      <c r="DF148" s="69"/>
      <c r="DG148" s="41" t="s">
        <v>406</v>
      </c>
      <c r="DH148" s="85" t="s">
        <v>305</v>
      </c>
      <c r="DI148" s="69">
        <v>20800</v>
      </c>
      <c r="DJ148" s="46" t="s">
        <v>409</v>
      </c>
      <c r="DK148" s="41" t="s">
        <v>434</v>
      </c>
      <c r="DL148" s="68">
        <v>2259.85</v>
      </c>
    </row>
    <row r="149" spans="1:116" ht="34.5">
      <c r="A149" s="53" t="s">
        <v>301</v>
      </c>
      <c r="B149" s="40">
        <v>3</v>
      </c>
      <c r="C149" s="53" t="s">
        <v>287</v>
      </c>
      <c r="D149" s="54" t="s">
        <v>215</v>
      </c>
      <c r="E149" s="56">
        <v>7</v>
      </c>
      <c r="F149" s="59">
        <v>28.264732000000006</v>
      </c>
      <c r="G149" s="68">
        <f t="shared" si="2"/>
        <v>3.48122</v>
      </c>
      <c r="H149" s="47">
        <v>28.264732000000006</v>
      </c>
      <c r="I149" s="69">
        <v>18.260000000000002</v>
      </c>
      <c r="J149" s="41"/>
      <c r="K149" s="41"/>
      <c r="L149" s="41"/>
      <c r="M149" s="69"/>
      <c r="N149" s="41"/>
      <c r="O149" s="41"/>
      <c r="P149" s="41"/>
      <c r="Q149" s="68"/>
      <c r="R149" s="41"/>
      <c r="S149" s="41"/>
      <c r="T149" s="41"/>
      <c r="U149" s="69"/>
      <c r="V149" s="41"/>
      <c r="W149" s="41"/>
      <c r="X149" s="68"/>
      <c r="Y149" s="41"/>
      <c r="Z149" s="41"/>
      <c r="AA149" s="41"/>
      <c r="AB149" s="69"/>
      <c r="AC149" s="41"/>
      <c r="AD149" s="41"/>
      <c r="AE149" s="41"/>
      <c r="AF149" s="68"/>
      <c r="AG149" s="41"/>
      <c r="AH149" s="41"/>
      <c r="AI149" s="41"/>
      <c r="AJ149" s="41"/>
      <c r="AK149" s="69"/>
      <c r="AL149" s="46"/>
      <c r="AM149" s="41"/>
      <c r="AN149" s="41"/>
      <c r="AO149" s="68"/>
      <c r="AP149" s="41"/>
      <c r="AQ149" s="41"/>
      <c r="AR149" s="69"/>
      <c r="AS149" s="46"/>
      <c r="AT149" s="41"/>
      <c r="AU149" s="68"/>
      <c r="AV149" s="41"/>
      <c r="AW149" s="41"/>
      <c r="AX149" s="69"/>
      <c r="AY149" s="41"/>
      <c r="AZ149" s="41"/>
      <c r="BA149" s="68"/>
      <c r="BB149" s="41"/>
      <c r="BC149" s="41"/>
      <c r="BD149" s="69"/>
      <c r="BE149" s="46"/>
      <c r="BF149" s="41"/>
      <c r="BG149" s="68"/>
      <c r="BH149" s="41"/>
      <c r="BI149" s="41"/>
      <c r="BJ149" s="69"/>
      <c r="BK149" s="46"/>
      <c r="BL149" s="41"/>
      <c r="BM149" s="68"/>
      <c r="BN149" s="41"/>
      <c r="BO149" s="41"/>
      <c r="BP149" s="69"/>
      <c r="BQ149" s="41"/>
      <c r="BR149" s="41"/>
      <c r="BS149" s="68"/>
      <c r="BT149" s="41"/>
      <c r="BU149" s="41"/>
      <c r="BV149" s="69"/>
      <c r="BW149" s="46"/>
      <c r="BX149" s="41"/>
      <c r="BY149" s="68"/>
      <c r="BZ149" s="41"/>
      <c r="CA149" s="41"/>
      <c r="CB149" s="69"/>
      <c r="CC149" s="46"/>
      <c r="CD149" s="41"/>
      <c r="CE149" s="68"/>
      <c r="CF149" s="41"/>
      <c r="CG149" s="41"/>
      <c r="CH149" s="69"/>
      <c r="CI149" s="41"/>
      <c r="CJ149" s="41"/>
      <c r="CK149" s="68"/>
      <c r="CL149" s="41"/>
      <c r="CM149" s="41"/>
      <c r="CN149" s="69"/>
      <c r="CO149" s="41"/>
      <c r="CP149" s="41"/>
      <c r="CQ149" s="68"/>
      <c r="CR149" s="41"/>
      <c r="CS149" s="41"/>
      <c r="CT149" s="69"/>
      <c r="CU149" s="41"/>
      <c r="CV149" s="41"/>
      <c r="CW149" s="68"/>
      <c r="CX149" s="41"/>
      <c r="CY149" s="41"/>
      <c r="CZ149" s="69"/>
      <c r="DA149" s="41"/>
      <c r="DB149" s="41"/>
      <c r="DC149" s="68"/>
      <c r="DD149" s="41"/>
      <c r="DE149" s="41"/>
      <c r="DF149" s="69"/>
      <c r="DG149" s="41" t="s">
        <v>406</v>
      </c>
      <c r="DH149" s="85" t="s">
        <v>387</v>
      </c>
      <c r="DI149" s="69">
        <v>18260</v>
      </c>
      <c r="DJ149" s="46" t="s">
        <v>408</v>
      </c>
      <c r="DK149" s="41" t="s">
        <v>464</v>
      </c>
      <c r="DL149" s="68">
        <v>3481.22</v>
      </c>
    </row>
    <row r="150" spans="1:116">
      <c r="A150" s="53" t="s">
        <v>301</v>
      </c>
      <c r="B150" s="40">
        <v>3</v>
      </c>
      <c r="C150" s="53" t="s">
        <v>291</v>
      </c>
      <c r="D150" s="54">
        <v>7</v>
      </c>
      <c r="E150" s="56">
        <v>6</v>
      </c>
      <c r="F150" s="59">
        <v>7.3989000000000047</v>
      </c>
      <c r="G150" s="68">
        <f t="shared" si="2"/>
        <v>13.163310000000001</v>
      </c>
      <c r="H150" s="47">
        <v>7.3989000000000047</v>
      </c>
      <c r="I150" s="69">
        <v>7.4</v>
      </c>
      <c r="J150" s="41"/>
      <c r="K150" s="41"/>
      <c r="L150" s="41"/>
      <c r="M150" s="69"/>
      <c r="N150" s="41"/>
      <c r="O150" s="41"/>
      <c r="P150" s="41"/>
      <c r="Q150" s="68"/>
      <c r="R150" s="41"/>
      <c r="S150" s="41"/>
      <c r="T150" s="41"/>
      <c r="U150" s="69"/>
      <c r="V150" s="41"/>
      <c r="W150" s="41"/>
      <c r="X150" s="68"/>
      <c r="Y150" s="41"/>
      <c r="Z150" s="41"/>
      <c r="AA150" s="41"/>
      <c r="AB150" s="69"/>
      <c r="AC150" s="41"/>
      <c r="AD150" s="41"/>
      <c r="AE150" s="41"/>
      <c r="AF150" s="68"/>
      <c r="AG150" s="41"/>
      <c r="AH150" s="41"/>
      <c r="AI150" s="41"/>
      <c r="AJ150" s="41"/>
      <c r="AK150" s="69"/>
      <c r="AL150" s="46" t="s">
        <v>470</v>
      </c>
      <c r="AM150" s="41">
        <v>13.190000000000001</v>
      </c>
      <c r="AN150" s="41" t="s">
        <v>472</v>
      </c>
      <c r="AO150" s="68">
        <v>13163.310000000001</v>
      </c>
      <c r="AP150" s="41"/>
      <c r="AQ150" s="41"/>
      <c r="AR150" s="69"/>
      <c r="AS150" s="46"/>
      <c r="AT150" s="41"/>
      <c r="AU150" s="68"/>
      <c r="AV150" s="41"/>
      <c r="AW150" s="41"/>
      <c r="AX150" s="69"/>
      <c r="AY150" s="41"/>
      <c r="AZ150" s="41"/>
      <c r="BA150" s="68"/>
      <c r="BB150" s="41"/>
      <c r="BC150" s="41"/>
      <c r="BD150" s="69"/>
      <c r="BE150" s="46"/>
      <c r="BF150" s="41"/>
      <c r="BG150" s="68"/>
      <c r="BH150" s="41"/>
      <c r="BI150" s="41"/>
      <c r="BJ150" s="69"/>
      <c r="BK150" s="46"/>
      <c r="BL150" s="41"/>
      <c r="BM150" s="68"/>
      <c r="BN150" s="41"/>
      <c r="BO150" s="41"/>
      <c r="BP150" s="69"/>
      <c r="BQ150" s="41"/>
      <c r="BR150" s="41"/>
      <c r="BS150" s="68"/>
      <c r="BT150" s="41"/>
      <c r="BU150" s="41"/>
      <c r="BV150" s="69"/>
      <c r="BW150" s="46"/>
      <c r="BX150" s="41"/>
      <c r="BY150" s="68"/>
      <c r="BZ150" s="41"/>
      <c r="CA150" s="41"/>
      <c r="CB150" s="69"/>
      <c r="CC150" s="46"/>
      <c r="CD150" s="41"/>
      <c r="CE150" s="68"/>
      <c r="CF150" s="41"/>
      <c r="CG150" s="41"/>
      <c r="CH150" s="69"/>
      <c r="CI150" s="41"/>
      <c r="CJ150" s="41"/>
      <c r="CK150" s="68"/>
      <c r="CL150" s="41"/>
      <c r="CM150" s="41"/>
      <c r="CN150" s="69"/>
      <c r="CO150" s="41"/>
      <c r="CP150" s="41"/>
      <c r="CQ150" s="68"/>
      <c r="CR150" s="41"/>
      <c r="CS150" s="41"/>
      <c r="CT150" s="69"/>
      <c r="CU150" s="41"/>
      <c r="CV150" s="41"/>
      <c r="CW150" s="68"/>
      <c r="CX150" s="41"/>
      <c r="CY150" s="41"/>
      <c r="CZ150" s="69"/>
      <c r="DA150" s="41"/>
      <c r="DB150" s="41"/>
      <c r="DC150" s="68"/>
      <c r="DD150" s="41"/>
      <c r="DE150" s="41"/>
      <c r="DF150" s="69"/>
      <c r="DG150" s="41"/>
      <c r="DH150" s="85" t="s">
        <v>311</v>
      </c>
      <c r="DI150" s="69">
        <v>7400</v>
      </c>
      <c r="DJ150" s="46"/>
      <c r="DK150" s="41"/>
      <c r="DL150" s="68">
        <v>0</v>
      </c>
    </row>
    <row r="151" spans="1:116">
      <c r="A151" s="53" t="s">
        <v>301</v>
      </c>
      <c r="B151" s="40">
        <v>3</v>
      </c>
      <c r="C151" s="53" t="s">
        <v>291</v>
      </c>
      <c r="D151" s="54">
        <v>9</v>
      </c>
      <c r="E151" s="56">
        <v>7</v>
      </c>
      <c r="F151" s="59">
        <v>22.262011999999999</v>
      </c>
      <c r="G151" s="68">
        <f t="shared" si="2"/>
        <v>0</v>
      </c>
      <c r="H151" s="47">
        <v>22.262011999999999</v>
      </c>
      <c r="I151" s="69">
        <v>22.26</v>
      </c>
      <c r="J151" s="41"/>
      <c r="K151" s="41"/>
      <c r="L151" s="41"/>
      <c r="M151" s="69"/>
      <c r="N151" s="41"/>
      <c r="O151" s="41"/>
      <c r="P151" s="41"/>
      <c r="Q151" s="68"/>
      <c r="R151" s="41"/>
      <c r="S151" s="41"/>
      <c r="T151" s="41"/>
      <c r="U151" s="69"/>
      <c r="V151" s="41"/>
      <c r="W151" s="41"/>
      <c r="X151" s="68"/>
      <c r="Y151" s="41"/>
      <c r="Z151" s="41"/>
      <c r="AA151" s="41"/>
      <c r="AB151" s="69"/>
      <c r="AC151" s="41"/>
      <c r="AD151" s="41"/>
      <c r="AE151" s="41"/>
      <c r="AF151" s="68"/>
      <c r="AG151" s="41"/>
      <c r="AH151" s="41"/>
      <c r="AI151" s="41"/>
      <c r="AJ151" s="41"/>
      <c r="AK151" s="69"/>
      <c r="AL151" s="46"/>
      <c r="AM151" s="41"/>
      <c r="AN151" s="41"/>
      <c r="AO151" s="68"/>
      <c r="AP151" s="41" t="s">
        <v>408</v>
      </c>
      <c r="AQ151" s="41">
        <v>6</v>
      </c>
      <c r="AR151" s="69">
        <v>10260</v>
      </c>
      <c r="AS151" s="46"/>
      <c r="AT151" s="41"/>
      <c r="AU151" s="68"/>
      <c r="AV151" s="41"/>
      <c r="AW151" s="41"/>
      <c r="AX151" s="69"/>
      <c r="AY151" s="41"/>
      <c r="AZ151" s="41"/>
      <c r="BA151" s="68"/>
      <c r="BB151" s="41"/>
      <c r="BC151" s="41"/>
      <c r="BD151" s="69"/>
      <c r="BE151" s="46"/>
      <c r="BF151" s="41"/>
      <c r="BG151" s="68"/>
      <c r="BH151" s="41" t="s">
        <v>407</v>
      </c>
      <c r="BI151" s="41">
        <v>6</v>
      </c>
      <c r="BJ151" s="69">
        <v>12000</v>
      </c>
      <c r="BK151" s="46"/>
      <c r="BL151" s="41"/>
      <c r="BM151" s="68"/>
      <c r="BN151" s="41"/>
      <c r="BO151" s="41"/>
      <c r="BP151" s="69"/>
      <c r="BQ151" s="41"/>
      <c r="BR151" s="41"/>
      <c r="BS151" s="68"/>
      <c r="BT151" s="41"/>
      <c r="BU151" s="41"/>
      <c r="BV151" s="69"/>
      <c r="BW151" s="46"/>
      <c r="BX151" s="41"/>
      <c r="BY151" s="68"/>
      <c r="BZ151" s="41"/>
      <c r="CA151" s="41"/>
      <c r="CB151" s="69"/>
      <c r="CC151" s="46"/>
      <c r="CD151" s="41"/>
      <c r="CE151" s="68"/>
      <c r="CF151" s="41"/>
      <c r="CG151" s="41"/>
      <c r="CH151" s="69"/>
      <c r="CI151" s="41"/>
      <c r="CJ151" s="41"/>
      <c r="CK151" s="68"/>
      <c r="CL151" s="41"/>
      <c r="CM151" s="41"/>
      <c r="CN151" s="69"/>
      <c r="CO151" s="41"/>
      <c r="CP151" s="41"/>
      <c r="CQ151" s="68"/>
      <c r="CR151" s="41"/>
      <c r="CS151" s="41"/>
      <c r="CT151" s="69"/>
      <c r="CU151" s="41"/>
      <c r="CV151" s="41"/>
      <c r="CW151" s="68"/>
      <c r="CX151" s="41"/>
      <c r="CY151" s="41"/>
      <c r="CZ151" s="69"/>
      <c r="DA151" s="41"/>
      <c r="DB151" s="41"/>
      <c r="DC151" s="68"/>
      <c r="DD151" s="41"/>
      <c r="DE151" s="41"/>
      <c r="DF151" s="69"/>
      <c r="DG151" s="41"/>
      <c r="DH151" s="85"/>
      <c r="DI151" s="69">
        <v>0</v>
      </c>
      <c r="DJ151" s="46"/>
      <c r="DK151" s="41"/>
      <c r="DL151" s="68">
        <v>0</v>
      </c>
    </row>
    <row r="152" spans="1:116">
      <c r="A152" s="53" t="s">
        <v>301</v>
      </c>
      <c r="B152" s="40">
        <v>3</v>
      </c>
      <c r="C152" s="55" t="s">
        <v>292</v>
      </c>
      <c r="D152" s="54">
        <v>15</v>
      </c>
      <c r="E152" s="56">
        <v>7</v>
      </c>
      <c r="F152" s="59">
        <v>38.626186000000004</v>
      </c>
      <c r="G152" s="68">
        <f t="shared" si="2"/>
        <v>0</v>
      </c>
      <c r="H152" s="47">
        <v>38.626186000000004</v>
      </c>
      <c r="I152" s="69">
        <v>38.630000000000003</v>
      </c>
      <c r="J152" s="41"/>
      <c r="K152" s="41"/>
      <c r="L152" s="41"/>
      <c r="M152" s="69"/>
      <c r="N152" s="41"/>
      <c r="O152" s="41"/>
      <c r="P152" s="41"/>
      <c r="Q152" s="68"/>
      <c r="R152" s="41"/>
      <c r="S152" s="41"/>
      <c r="T152" s="41"/>
      <c r="U152" s="69"/>
      <c r="V152" s="41"/>
      <c r="W152" s="41"/>
      <c r="X152" s="68"/>
      <c r="Y152" s="41"/>
      <c r="Z152" s="41"/>
      <c r="AA152" s="41"/>
      <c r="AB152" s="69"/>
      <c r="AC152" s="41"/>
      <c r="AD152" s="41"/>
      <c r="AE152" s="41"/>
      <c r="AF152" s="68"/>
      <c r="AG152" s="41" t="s">
        <v>407</v>
      </c>
      <c r="AH152" s="41" t="s">
        <v>308</v>
      </c>
      <c r="AI152" s="41">
        <v>20</v>
      </c>
      <c r="AJ152" s="41">
        <v>3.4</v>
      </c>
      <c r="AK152" s="69">
        <v>16000</v>
      </c>
      <c r="AL152" s="46"/>
      <c r="AM152" s="41"/>
      <c r="AN152" s="41"/>
      <c r="AO152" s="68"/>
      <c r="AP152" s="41"/>
      <c r="AQ152" s="41"/>
      <c r="AR152" s="69"/>
      <c r="AS152" s="46"/>
      <c r="AT152" s="41"/>
      <c r="AU152" s="68"/>
      <c r="AV152" s="41"/>
      <c r="AW152" s="41"/>
      <c r="AX152" s="69"/>
      <c r="AY152" s="41"/>
      <c r="AZ152" s="41"/>
      <c r="BA152" s="68"/>
      <c r="BB152" s="41"/>
      <c r="BC152" s="41"/>
      <c r="BD152" s="69"/>
      <c r="BE152" s="46"/>
      <c r="BF152" s="41"/>
      <c r="BG152" s="68"/>
      <c r="BH152" s="41"/>
      <c r="BI152" s="41"/>
      <c r="BJ152" s="69"/>
      <c r="BK152" s="46"/>
      <c r="BL152" s="41"/>
      <c r="BM152" s="68"/>
      <c r="BN152" s="41"/>
      <c r="BO152" s="41"/>
      <c r="BP152" s="69"/>
      <c r="BQ152" s="41"/>
      <c r="BR152" s="41"/>
      <c r="BS152" s="68"/>
      <c r="BT152" s="41"/>
      <c r="BU152" s="41"/>
      <c r="BV152" s="69"/>
      <c r="BW152" s="46"/>
      <c r="BX152" s="41"/>
      <c r="BY152" s="68"/>
      <c r="BZ152" s="41"/>
      <c r="CA152" s="41"/>
      <c r="CB152" s="69"/>
      <c r="CC152" s="46"/>
      <c r="CD152" s="41"/>
      <c r="CE152" s="68"/>
      <c r="CF152" s="41"/>
      <c r="CG152" s="41"/>
      <c r="CH152" s="69"/>
      <c r="CI152" s="41"/>
      <c r="CJ152" s="41"/>
      <c r="CK152" s="68"/>
      <c r="CL152" s="41"/>
      <c r="CM152" s="41"/>
      <c r="CN152" s="69"/>
      <c r="CO152" s="41"/>
      <c r="CP152" s="41"/>
      <c r="CQ152" s="68"/>
      <c r="CR152" s="41"/>
      <c r="CS152" s="41"/>
      <c r="CT152" s="69"/>
      <c r="CU152" s="41"/>
      <c r="CV152" s="41"/>
      <c r="CW152" s="68"/>
      <c r="CX152" s="41"/>
      <c r="CY152" s="41"/>
      <c r="CZ152" s="69"/>
      <c r="DA152" s="41"/>
      <c r="DB152" s="41"/>
      <c r="DC152" s="68"/>
      <c r="DD152" s="41"/>
      <c r="DE152" s="41"/>
      <c r="DF152" s="69"/>
      <c r="DG152" s="41" t="s">
        <v>407</v>
      </c>
      <c r="DH152" s="85" t="s">
        <v>373</v>
      </c>
      <c r="DI152" s="69">
        <v>22630</v>
      </c>
      <c r="DJ152" s="46"/>
      <c r="DK152" s="41"/>
      <c r="DL152" s="68">
        <v>0</v>
      </c>
    </row>
    <row r="153" spans="1:116">
      <c r="A153" s="53" t="s">
        <v>301</v>
      </c>
      <c r="B153" s="40">
        <v>3</v>
      </c>
      <c r="C153" s="53" t="s">
        <v>293</v>
      </c>
      <c r="D153" s="54">
        <v>1</v>
      </c>
      <c r="E153" s="56">
        <v>7</v>
      </c>
      <c r="F153" s="59">
        <v>64.066272000000012</v>
      </c>
      <c r="G153" s="68">
        <f t="shared" si="2"/>
        <v>0</v>
      </c>
      <c r="H153" s="47">
        <v>64.066272000000012</v>
      </c>
      <c r="I153" s="69">
        <v>64.069999999999993</v>
      </c>
      <c r="J153" s="41"/>
      <c r="K153" s="41"/>
      <c r="L153" s="41"/>
      <c r="M153" s="69"/>
      <c r="N153" s="41"/>
      <c r="O153" s="41"/>
      <c r="P153" s="41"/>
      <c r="Q153" s="68"/>
      <c r="R153" s="41"/>
      <c r="S153" s="41"/>
      <c r="T153" s="41"/>
      <c r="U153" s="69"/>
      <c r="V153" s="41"/>
      <c r="W153" s="41"/>
      <c r="X153" s="68"/>
      <c r="Y153" s="41"/>
      <c r="Z153" s="41"/>
      <c r="AA153" s="41"/>
      <c r="AB153" s="69"/>
      <c r="AC153" s="41"/>
      <c r="AD153" s="41"/>
      <c r="AE153" s="41"/>
      <c r="AF153" s="68"/>
      <c r="AG153" s="41"/>
      <c r="AH153" s="41"/>
      <c r="AI153" s="41"/>
      <c r="AJ153" s="41"/>
      <c r="AK153" s="69"/>
      <c r="AL153" s="46"/>
      <c r="AM153" s="41"/>
      <c r="AN153" s="41"/>
      <c r="AO153" s="68"/>
      <c r="AP153" s="41"/>
      <c r="AQ153" s="41"/>
      <c r="AR153" s="69"/>
      <c r="AS153" s="46"/>
      <c r="AT153" s="41"/>
      <c r="AU153" s="68"/>
      <c r="AV153" s="41"/>
      <c r="AW153" s="41"/>
      <c r="AX153" s="69"/>
      <c r="AY153" s="41"/>
      <c r="AZ153" s="41"/>
      <c r="BA153" s="68"/>
      <c r="BB153" s="41" t="s">
        <v>403</v>
      </c>
      <c r="BC153" s="41">
        <v>28</v>
      </c>
      <c r="BD153" s="69">
        <v>64070</v>
      </c>
      <c r="BE153" s="46"/>
      <c r="BF153" s="41"/>
      <c r="BG153" s="68"/>
      <c r="BH153" s="41"/>
      <c r="BI153" s="41"/>
      <c r="BJ153" s="69"/>
      <c r="BK153" s="46"/>
      <c r="BL153" s="41"/>
      <c r="BM153" s="68"/>
      <c r="BN153" s="41"/>
      <c r="BO153" s="41"/>
      <c r="BP153" s="69"/>
      <c r="BQ153" s="41"/>
      <c r="BR153" s="41"/>
      <c r="BS153" s="68"/>
      <c r="BT153" s="41"/>
      <c r="BU153" s="41"/>
      <c r="BV153" s="69"/>
      <c r="BW153" s="46"/>
      <c r="BX153" s="41"/>
      <c r="BY153" s="68"/>
      <c r="BZ153" s="41"/>
      <c r="CA153" s="41"/>
      <c r="CB153" s="69"/>
      <c r="CC153" s="46"/>
      <c r="CD153" s="41"/>
      <c r="CE153" s="68"/>
      <c r="CF153" s="41"/>
      <c r="CG153" s="41"/>
      <c r="CH153" s="69"/>
      <c r="CI153" s="41"/>
      <c r="CJ153" s="41"/>
      <c r="CK153" s="68"/>
      <c r="CL153" s="41"/>
      <c r="CM153" s="41"/>
      <c r="CN153" s="69"/>
      <c r="CO153" s="41"/>
      <c r="CP153" s="41"/>
      <c r="CQ153" s="68"/>
      <c r="CR153" s="41"/>
      <c r="CS153" s="41"/>
      <c r="CT153" s="69"/>
      <c r="CU153" s="41"/>
      <c r="CV153" s="41"/>
      <c r="CW153" s="68"/>
      <c r="CX153" s="41"/>
      <c r="CY153" s="41"/>
      <c r="CZ153" s="69"/>
      <c r="DA153" s="41"/>
      <c r="DB153" s="41"/>
      <c r="DC153" s="68"/>
      <c r="DD153" s="41"/>
      <c r="DE153" s="41"/>
      <c r="DF153" s="69"/>
      <c r="DG153" s="41"/>
      <c r="DH153" s="85"/>
      <c r="DI153" s="69">
        <v>0</v>
      </c>
      <c r="DJ153" s="46"/>
      <c r="DK153" s="41"/>
      <c r="DL153" s="68">
        <v>0</v>
      </c>
    </row>
    <row r="154" spans="1:116">
      <c r="A154" s="53" t="s">
        <v>301</v>
      </c>
      <c r="B154" s="40">
        <v>3</v>
      </c>
      <c r="C154" s="53" t="s">
        <v>293</v>
      </c>
      <c r="D154" s="54" t="s">
        <v>225</v>
      </c>
      <c r="E154" s="56">
        <v>6</v>
      </c>
      <c r="F154" s="59">
        <v>45.429600000000008</v>
      </c>
      <c r="G154" s="68">
        <f t="shared" si="2"/>
        <v>178.601054</v>
      </c>
      <c r="H154" s="47">
        <v>45.429600000000008</v>
      </c>
      <c r="I154" s="69">
        <v>41.6</v>
      </c>
      <c r="J154" s="41"/>
      <c r="K154" s="41"/>
      <c r="L154" s="41"/>
      <c r="M154" s="69"/>
      <c r="N154" s="41"/>
      <c r="O154" s="41"/>
      <c r="P154" s="41"/>
      <c r="Q154" s="68"/>
      <c r="R154" s="41"/>
      <c r="S154" s="41"/>
      <c r="T154" s="41"/>
      <c r="U154" s="69"/>
      <c r="V154" s="41"/>
      <c r="W154" s="41"/>
      <c r="X154" s="68"/>
      <c r="Y154" s="41"/>
      <c r="Z154" s="41"/>
      <c r="AA154" s="41"/>
      <c r="AB154" s="69"/>
      <c r="AC154" s="41"/>
      <c r="AD154" s="41"/>
      <c r="AE154" s="41"/>
      <c r="AF154" s="68"/>
      <c r="AG154" s="41"/>
      <c r="AH154" s="41"/>
      <c r="AI154" s="41"/>
      <c r="AJ154" s="41"/>
      <c r="AK154" s="69"/>
      <c r="AL154" s="46" t="s">
        <v>403</v>
      </c>
      <c r="AM154" s="41">
        <v>184.69</v>
      </c>
      <c r="AN154" s="41" t="s">
        <v>484</v>
      </c>
      <c r="AO154" s="68">
        <v>178601.054</v>
      </c>
      <c r="AP154" s="41" t="s">
        <v>409</v>
      </c>
      <c r="AQ154" s="41">
        <v>32</v>
      </c>
      <c r="AR154" s="69">
        <v>41600</v>
      </c>
      <c r="AS154" s="46"/>
      <c r="AT154" s="41"/>
      <c r="AU154" s="68"/>
      <c r="AV154" s="41"/>
      <c r="AW154" s="41"/>
      <c r="AX154" s="69"/>
      <c r="AY154" s="41"/>
      <c r="AZ154" s="41"/>
      <c r="BA154" s="68"/>
      <c r="BB154" s="41"/>
      <c r="BC154" s="41"/>
      <c r="BD154" s="69"/>
      <c r="BE154" s="46"/>
      <c r="BF154" s="41"/>
      <c r="BG154" s="68"/>
      <c r="BH154" s="41"/>
      <c r="BI154" s="41"/>
      <c r="BJ154" s="69"/>
      <c r="BK154" s="46"/>
      <c r="BL154" s="41"/>
      <c r="BM154" s="68"/>
      <c r="BN154" s="41"/>
      <c r="BO154" s="41"/>
      <c r="BP154" s="69"/>
      <c r="BQ154" s="41"/>
      <c r="BR154" s="41"/>
      <c r="BS154" s="68"/>
      <c r="BT154" s="41"/>
      <c r="BU154" s="41"/>
      <c r="BV154" s="69"/>
      <c r="BW154" s="46"/>
      <c r="BX154" s="41"/>
      <c r="BY154" s="68"/>
      <c r="BZ154" s="41"/>
      <c r="CA154" s="41"/>
      <c r="CB154" s="69"/>
      <c r="CC154" s="46"/>
      <c r="CD154" s="41"/>
      <c r="CE154" s="68"/>
      <c r="CF154" s="41"/>
      <c r="CG154" s="41"/>
      <c r="CH154" s="69"/>
      <c r="CI154" s="41"/>
      <c r="CJ154" s="41"/>
      <c r="CK154" s="68"/>
      <c r="CL154" s="41"/>
      <c r="CM154" s="41"/>
      <c r="CN154" s="69"/>
      <c r="CO154" s="41"/>
      <c r="CP154" s="41"/>
      <c r="CQ154" s="68"/>
      <c r="CR154" s="41"/>
      <c r="CS154" s="41"/>
      <c r="CT154" s="69"/>
      <c r="CU154" s="41"/>
      <c r="CV154" s="41"/>
      <c r="CW154" s="68"/>
      <c r="CX154" s="41"/>
      <c r="CY154" s="41"/>
      <c r="CZ154" s="69"/>
      <c r="DA154" s="41"/>
      <c r="DB154" s="41"/>
      <c r="DC154" s="68"/>
      <c r="DD154" s="41"/>
      <c r="DE154" s="41"/>
      <c r="DF154" s="69"/>
      <c r="DG154" s="41"/>
      <c r="DH154" s="86"/>
      <c r="DI154" s="69">
        <v>0</v>
      </c>
      <c r="DJ154" s="46"/>
      <c r="DK154" s="41"/>
      <c r="DL154" s="68">
        <v>0</v>
      </c>
    </row>
    <row r="155" spans="1:116">
      <c r="A155" s="53" t="s">
        <v>301</v>
      </c>
      <c r="B155" s="40">
        <v>3</v>
      </c>
      <c r="C155" s="53" t="s">
        <v>293</v>
      </c>
      <c r="D155" s="54">
        <v>11</v>
      </c>
      <c r="E155" s="56">
        <v>7</v>
      </c>
      <c r="F155" s="59">
        <v>46.145478000000011</v>
      </c>
      <c r="G155" s="68">
        <f t="shared" si="2"/>
        <v>0</v>
      </c>
      <c r="H155" s="47">
        <v>46.145478000000011</v>
      </c>
      <c r="I155" s="69">
        <v>46.15</v>
      </c>
      <c r="J155" s="41"/>
      <c r="K155" s="41"/>
      <c r="L155" s="41"/>
      <c r="M155" s="69"/>
      <c r="N155" s="41"/>
      <c r="O155" s="41"/>
      <c r="P155" s="41"/>
      <c r="Q155" s="68"/>
      <c r="R155" s="41"/>
      <c r="S155" s="41"/>
      <c r="T155" s="41"/>
      <c r="U155" s="69"/>
      <c r="V155" s="41"/>
      <c r="W155" s="41"/>
      <c r="X155" s="68"/>
      <c r="Y155" s="41"/>
      <c r="Z155" s="41"/>
      <c r="AA155" s="41"/>
      <c r="AB155" s="69"/>
      <c r="AC155" s="41"/>
      <c r="AD155" s="41"/>
      <c r="AE155" s="41"/>
      <c r="AF155" s="68"/>
      <c r="AG155" s="41"/>
      <c r="AH155" s="41"/>
      <c r="AI155" s="41"/>
      <c r="AJ155" s="41"/>
      <c r="AK155" s="69"/>
      <c r="AL155" s="46"/>
      <c r="AM155" s="41"/>
      <c r="AN155" s="41"/>
      <c r="AO155" s="68"/>
      <c r="AP155" s="41" t="s">
        <v>407</v>
      </c>
      <c r="AQ155" s="41">
        <v>40</v>
      </c>
      <c r="AR155" s="69">
        <v>46150</v>
      </c>
      <c r="AS155" s="46"/>
      <c r="AT155" s="41"/>
      <c r="AU155" s="68"/>
      <c r="AV155" s="41"/>
      <c r="AW155" s="41"/>
      <c r="AX155" s="69"/>
      <c r="AY155" s="41"/>
      <c r="AZ155" s="41"/>
      <c r="BA155" s="68"/>
      <c r="BB155" s="41"/>
      <c r="BC155" s="41"/>
      <c r="BD155" s="69"/>
      <c r="BE155" s="46"/>
      <c r="BF155" s="41"/>
      <c r="BG155" s="68"/>
      <c r="BH155" s="41"/>
      <c r="BI155" s="41"/>
      <c r="BJ155" s="69"/>
      <c r="BK155" s="46"/>
      <c r="BL155" s="41"/>
      <c r="BM155" s="68"/>
      <c r="BN155" s="41"/>
      <c r="BO155" s="41"/>
      <c r="BP155" s="69"/>
      <c r="BQ155" s="41"/>
      <c r="BR155" s="41"/>
      <c r="BS155" s="68"/>
      <c r="BT155" s="41"/>
      <c r="BU155" s="41"/>
      <c r="BV155" s="69"/>
      <c r="BW155" s="46"/>
      <c r="BX155" s="41"/>
      <c r="BY155" s="68"/>
      <c r="BZ155" s="41"/>
      <c r="CA155" s="41"/>
      <c r="CB155" s="69"/>
      <c r="CC155" s="46"/>
      <c r="CD155" s="41"/>
      <c r="CE155" s="68"/>
      <c r="CF155" s="41"/>
      <c r="CG155" s="41"/>
      <c r="CH155" s="69"/>
      <c r="CI155" s="41"/>
      <c r="CJ155" s="41"/>
      <c r="CK155" s="68"/>
      <c r="CL155" s="41"/>
      <c r="CM155" s="41"/>
      <c r="CN155" s="69"/>
      <c r="CO155" s="41"/>
      <c r="CP155" s="41"/>
      <c r="CQ155" s="68"/>
      <c r="CR155" s="41"/>
      <c r="CS155" s="41"/>
      <c r="CT155" s="69"/>
      <c r="CU155" s="41"/>
      <c r="CV155" s="41"/>
      <c r="CW155" s="68"/>
      <c r="CX155" s="41"/>
      <c r="CY155" s="41"/>
      <c r="CZ155" s="69"/>
      <c r="DA155" s="41"/>
      <c r="DB155" s="41"/>
      <c r="DC155" s="68"/>
      <c r="DD155" s="41"/>
      <c r="DE155" s="41"/>
      <c r="DF155" s="69"/>
      <c r="DG155" s="41"/>
      <c r="DH155" s="41"/>
      <c r="DI155" s="69">
        <v>0</v>
      </c>
      <c r="DJ155" s="46"/>
      <c r="DK155" s="41"/>
      <c r="DL155" s="68">
        <v>0</v>
      </c>
    </row>
    <row r="156" spans="1:116">
      <c r="A156" s="53" t="s">
        <v>301</v>
      </c>
      <c r="B156" s="40">
        <v>3</v>
      </c>
      <c r="C156" s="53" t="s">
        <v>293</v>
      </c>
      <c r="D156" s="54" t="s">
        <v>230</v>
      </c>
      <c r="E156" s="56">
        <v>6</v>
      </c>
      <c r="F156" s="59">
        <v>75.456472000000005</v>
      </c>
      <c r="G156" s="68">
        <f t="shared" si="2"/>
        <v>3.3922500000000002</v>
      </c>
      <c r="H156" s="47">
        <v>75.456472000000005</v>
      </c>
      <c r="I156" s="69">
        <v>50</v>
      </c>
      <c r="J156" s="41" t="s">
        <v>404</v>
      </c>
      <c r="K156" s="41">
        <v>1</v>
      </c>
      <c r="L156" s="41">
        <v>1</v>
      </c>
      <c r="M156" s="69">
        <v>50000</v>
      </c>
      <c r="N156" s="41"/>
      <c r="O156" s="41"/>
      <c r="P156" s="41"/>
      <c r="Q156" s="68"/>
      <c r="R156" s="41"/>
      <c r="S156" s="41"/>
      <c r="T156" s="41"/>
      <c r="U156" s="69"/>
      <c r="V156" s="41"/>
      <c r="W156" s="41"/>
      <c r="X156" s="68"/>
      <c r="Y156" s="41"/>
      <c r="Z156" s="41"/>
      <c r="AA156" s="41"/>
      <c r="AB156" s="69"/>
      <c r="AC156" s="41"/>
      <c r="AD156" s="41"/>
      <c r="AE156" s="41"/>
      <c r="AF156" s="68"/>
      <c r="AG156" s="41"/>
      <c r="AH156" s="41"/>
      <c r="AI156" s="41"/>
      <c r="AJ156" s="41"/>
      <c r="AK156" s="69"/>
      <c r="AL156" s="46"/>
      <c r="AM156" s="41"/>
      <c r="AN156" s="41"/>
      <c r="AO156" s="68"/>
      <c r="AP156" s="41"/>
      <c r="AQ156" s="41"/>
      <c r="AR156" s="69"/>
      <c r="AS156" s="46" t="s">
        <v>402</v>
      </c>
      <c r="AT156" s="41"/>
      <c r="AU156" s="68">
        <v>3392.25</v>
      </c>
      <c r="AV156" s="41"/>
      <c r="AW156" s="41"/>
      <c r="AX156" s="69"/>
      <c r="AY156" s="41"/>
      <c r="AZ156" s="41"/>
      <c r="BA156" s="68"/>
      <c r="BB156" s="41"/>
      <c r="BC156" s="41"/>
      <c r="BD156" s="69"/>
      <c r="BE156" s="46"/>
      <c r="BF156" s="41"/>
      <c r="BG156" s="68"/>
      <c r="BH156" s="41"/>
      <c r="BI156" s="41"/>
      <c r="BJ156" s="69"/>
      <c r="BK156" s="46"/>
      <c r="BL156" s="41"/>
      <c r="BM156" s="68"/>
      <c r="BN156" s="41"/>
      <c r="BO156" s="41"/>
      <c r="BP156" s="69"/>
      <c r="BQ156" s="41"/>
      <c r="BR156" s="41"/>
      <c r="BS156" s="68"/>
      <c r="BT156" s="41"/>
      <c r="BU156" s="41"/>
      <c r="BV156" s="69"/>
      <c r="BW156" s="46"/>
      <c r="BX156" s="41"/>
      <c r="BY156" s="68"/>
      <c r="BZ156" s="41"/>
      <c r="CA156" s="41"/>
      <c r="CB156" s="69"/>
      <c r="CC156" s="46"/>
      <c r="CD156" s="41"/>
      <c r="CE156" s="68"/>
      <c r="CF156" s="41"/>
      <c r="CG156" s="41"/>
      <c r="CH156" s="69"/>
      <c r="CI156" s="41"/>
      <c r="CJ156" s="41"/>
      <c r="CK156" s="68"/>
      <c r="CL156" s="41"/>
      <c r="CM156" s="41"/>
      <c r="CN156" s="69"/>
      <c r="CO156" s="41"/>
      <c r="CP156" s="41"/>
      <c r="CQ156" s="68"/>
      <c r="CR156" s="41"/>
      <c r="CS156" s="41"/>
      <c r="CT156" s="69"/>
      <c r="CU156" s="41"/>
      <c r="CV156" s="41"/>
      <c r="CW156" s="68"/>
      <c r="CX156" s="41"/>
      <c r="CY156" s="41"/>
      <c r="CZ156" s="69"/>
      <c r="DA156" s="41"/>
      <c r="DB156" s="41"/>
      <c r="DC156" s="68"/>
      <c r="DD156" s="41"/>
      <c r="DE156" s="41"/>
      <c r="DF156" s="69"/>
      <c r="DG156" s="41"/>
      <c r="DH156" s="86"/>
      <c r="DI156" s="69">
        <v>0</v>
      </c>
      <c r="DJ156" s="46"/>
      <c r="DK156" s="41"/>
      <c r="DL156" s="68">
        <v>0</v>
      </c>
    </row>
    <row r="157" spans="1:116">
      <c r="A157" s="53" t="s">
        <v>301</v>
      </c>
      <c r="B157" s="40">
        <v>3</v>
      </c>
      <c r="C157" s="53" t="s">
        <v>293</v>
      </c>
      <c r="D157" s="54" t="s">
        <v>231</v>
      </c>
      <c r="E157" s="56">
        <v>6</v>
      </c>
      <c r="F157" s="59">
        <v>17.119131999999993</v>
      </c>
      <c r="G157" s="68">
        <f t="shared" si="2"/>
        <v>0</v>
      </c>
      <c r="H157" s="47">
        <v>17.119131999999993</v>
      </c>
      <c r="I157" s="69">
        <v>17.12</v>
      </c>
      <c r="J157" s="41"/>
      <c r="K157" s="41"/>
      <c r="L157" s="41"/>
      <c r="M157" s="69"/>
      <c r="N157" s="41"/>
      <c r="O157" s="41"/>
      <c r="P157" s="41"/>
      <c r="Q157" s="68"/>
      <c r="R157" s="41"/>
      <c r="S157" s="41"/>
      <c r="T157" s="41"/>
      <c r="U157" s="69"/>
      <c r="V157" s="41"/>
      <c r="W157" s="41"/>
      <c r="X157" s="68"/>
      <c r="Y157" s="41"/>
      <c r="Z157" s="41"/>
      <c r="AA157" s="41"/>
      <c r="AB157" s="69"/>
      <c r="AC157" s="41"/>
      <c r="AD157" s="41"/>
      <c r="AE157" s="41"/>
      <c r="AF157" s="68"/>
      <c r="AG157" s="41"/>
      <c r="AH157" s="41"/>
      <c r="AI157" s="41"/>
      <c r="AJ157" s="41"/>
      <c r="AK157" s="69"/>
      <c r="AL157" s="46"/>
      <c r="AM157" s="41"/>
      <c r="AN157" s="41"/>
      <c r="AO157" s="68"/>
      <c r="AP157" s="41"/>
      <c r="AQ157" s="41"/>
      <c r="AR157" s="69"/>
      <c r="AS157" s="46"/>
      <c r="AT157" s="41"/>
      <c r="AU157" s="68"/>
      <c r="AV157" s="41"/>
      <c r="AW157" s="41"/>
      <c r="AX157" s="69"/>
      <c r="AY157" s="41"/>
      <c r="AZ157" s="41"/>
      <c r="BA157" s="68"/>
      <c r="BB157" s="41" t="s">
        <v>402</v>
      </c>
      <c r="BC157" s="41">
        <v>10</v>
      </c>
      <c r="BD157" s="69">
        <v>17120</v>
      </c>
      <c r="BE157" s="46"/>
      <c r="BF157" s="41"/>
      <c r="BG157" s="68"/>
      <c r="BH157" s="41"/>
      <c r="BI157" s="41"/>
      <c r="BJ157" s="69"/>
      <c r="BK157" s="46"/>
      <c r="BL157" s="41"/>
      <c r="BM157" s="68"/>
      <c r="BN157" s="41"/>
      <c r="BO157" s="41"/>
      <c r="BP157" s="69"/>
      <c r="BQ157" s="41"/>
      <c r="BR157" s="41"/>
      <c r="BS157" s="68"/>
      <c r="BT157" s="41"/>
      <c r="BU157" s="41"/>
      <c r="BV157" s="69"/>
      <c r="BW157" s="46"/>
      <c r="BX157" s="41"/>
      <c r="BY157" s="68"/>
      <c r="BZ157" s="41"/>
      <c r="CA157" s="41"/>
      <c r="CB157" s="69"/>
      <c r="CC157" s="46"/>
      <c r="CD157" s="41"/>
      <c r="CE157" s="68"/>
      <c r="CF157" s="41"/>
      <c r="CG157" s="41"/>
      <c r="CH157" s="69"/>
      <c r="CI157" s="41"/>
      <c r="CJ157" s="41"/>
      <c r="CK157" s="68"/>
      <c r="CL157" s="41"/>
      <c r="CM157" s="41"/>
      <c r="CN157" s="69"/>
      <c r="CO157" s="41"/>
      <c r="CP157" s="41"/>
      <c r="CQ157" s="68"/>
      <c r="CR157" s="41"/>
      <c r="CS157" s="41"/>
      <c r="CT157" s="69"/>
      <c r="CU157" s="41"/>
      <c r="CV157" s="41"/>
      <c r="CW157" s="68"/>
      <c r="CX157" s="41"/>
      <c r="CY157" s="41"/>
      <c r="CZ157" s="69"/>
      <c r="DA157" s="41"/>
      <c r="DB157" s="41"/>
      <c r="DC157" s="68"/>
      <c r="DD157" s="41"/>
      <c r="DE157" s="41"/>
      <c r="DF157" s="69"/>
      <c r="DG157" s="41"/>
      <c r="DH157" s="86"/>
      <c r="DI157" s="69">
        <v>0</v>
      </c>
      <c r="DJ157" s="46"/>
      <c r="DK157" s="41"/>
      <c r="DL157" s="68">
        <v>0</v>
      </c>
    </row>
    <row r="158" spans="1:116">
      <c r="A158" s="53" t="s">
        <v>301</v>
      </c>
      <c r="B158" s="40">
        <v>3</v>
      </c>
      <c r="C158" s="55" t="s">
        <v>294</v>
      </c>
      <c r="D158" s="54">
        <v>18</v>
      </c>
      <c r="E158" s="56">
        <v>7</v>
      </c>
      <c r="F158" s="59">
        <v>20.92604</v>
      </c>
      <c r="G158" s="68">
        <f t="shared" si="2"/>
        <v>0</v>
      </c>
      <c r="H158" s="47">
        <v>20.92604</v>
      </c>
      <c r="I158" s="69">
        <v>20.93</v>
      </c>
      <c r="J158" s="41"/>
      <c r="K158" s="41"/>
      <c r="L158" s="41"/>
      <c r="M158" s="69"/>
      <c r="N158" s="41"/>
      <c r="O158" s="41"/>
      <c r="P158" s="41"/>
      <c r="Q158" s="68"/>
      <c r="R158" s="41"/>
      <c r="S158" s="41"/>
      <c r="T158" s="41"/>
      <c r="U158" s="69"/>
      <c r="V158" s="41"/>
      <c r="W158" s="41"/>
      <c r="X158" s="68"/>
      <c r="Y158" s="41"/>
      <c r="Z158" s="41"/>
      <c r="AA158" s="41"/>
      <c r="AB158" s="69"/>
      <c r="AC158" s="41"/>
      <c r="AD158" s="41"/>
      <c r="AE158" s="41"/>
      <c r="AF158" s="68"/>
      <c r="AG158" s="41"/>
      <c r="AH158" s="41"/>
      <c r="AI158" s="41"/>
      <c r="AJ158" s="41"/>
      <c r="AK158" s="69"/>
      <c r="AL158" s="46"/>
      <c r="AM158" s="41"/>
      <c r="AN158" s="41"/>
      <c r="AO158" s="68"/>
      <c r="AP158" s="41"/>
      <c r="AQ158" s="41"/>
      <c r="AR158" s="69"/>
      <c r="AS158" s="46"/>
      <c r="AT158" s="41"/>
      <c r="AU158" s="68"/>
      <c r="AV158" s="41"/>
      <c r="AW158" s="41"/>
      <c r="AX158" s="69"/>
      <c r="AY158" s="41"/>
      <c r="AZ158" s="41"/>
      <c r="BA158" s="68"/>
      <c r="BB158" s="41"/>
      <c r="BC158" s="41"/>
      <c r="BD158" s="69"/>
      <c r="BE158" s="46"/>
      <c r="BF158" s="41"/>
      <c r="BG158" s="68"/>
      <c r="BH158" s="41"/>
      <c r="BI158" s="41"/>
      <c r="BJ158" s="69"/>
      <c r="BK158" s="46"/>
      <c r="BL158" s="41"/>
      <c r="BM158" s="68"/>
      <c r="BN158" s="41"/>
      <c r="BO158" s="41"/>
      <c r="BP158" s="69"/>
      <c r="BQ158" s="41"/>
      <c r="BR158" s="41"/>
      <c r="BS158" s="68"/>
      <c r="BT158" s="41"/>
      <c r="BU158" s="41"/>
      <c r="BV158" s="69"/>
      <c r="BW158" s="46"/>
      <c r="BX158" s="41"/>
      <c r="BY158" s="68"/>
      <c r="BZ158" s="41"/>
      <c r="CA158" s="41"/>
      <c r="CB158" s="69"/>
      <c r="CC158" s="46"/>
      <c r="CD158" s="41"/>
      <c r="CE158" s="68"/>
      <c r="CF158" s="41"/>
      <c r="CG158" s="41"/>
      <c r="CH158" s="69"/>
      <c r="CI158" s="41"/>
      <c r="CJ158" s="41"/>
      <c r="CK158" s="68"/>
      <c r="CL158" s="41"/>
      <c r="CM158" s="41"/>
      <c r="CN158" s="69"/>
      <c r="CO158" s="41"/>
      <c r="CP158" s="41"/>
      <c r="CQ158" s="68"/>
      <c r="CR158" s="41"/>
      <c r="CS158" s="41"/>
      <c r="CT158" s="69"/>
      <c r="CU158" s="41"/>
      <c r="CV158" s="41"/>
      <c r="CW158" s="68"/>
      <c r="CX158" s="41"/>
      <c r="CY158" s="41"/>
      <c r="CZ158" s="69"/>
      <c r="DA158" s="41"/>
      <c r="DB158" s="41"/>
      <c r="DC158" s="68"/>
      <c r="DD158" s="41"/>
      <c r="DE158" s="41"/>
      <c r="DF158" s="69"/>
      <c r="DG158" s="41" t="s">
        <v>406</v>
      </c>
      <c r="DH158" s="86" t="s">
        <v>305</v>
      </c>
      <c r="DI158" s="69">
        <v>20930</v>
      </c>
      <c r="DJ158" s="46"/>
      <c r="DK158" s="41"/>
      <c r="DL158" s="68">
        <v>0</v>
      </c>
    </row>
    <row r="159" spans="1:116">
      <c r="A159" s="53" t="s">
        <v>301</v>
      </c>
      <c r="B159" s="40">
        <v>3</v>
      </c>
      <c r="C159" s="55" t="s">
        <v>294</v>
      </c>
      <c r="D159" s="54">
        <v>20</v>
      </c>
      <c r="E159" s="56">
        <v>7</v>
      </c>
      <c r="F159" s="59">
        <v>16.52008</v>
      </c>
      <c r="G159" s="68">
        <f t="shared" si="2"/>
        <v>0</v>
      </c>
      <c r="H159" s="47">
        <v>16.52008</v>
      </c>
      <c r="I159" s="69">
        <v>16.52</v>
      </c>
      <c r="J159" s="41"/>
      <c r="K159" s="41"/>
      <c r="L159" s="41"/>
      <c r="M159" s="69"/>
      <c r="N159" s="41"/>
      <c r="O159" s="41"/>
      <c r="P159" s="41"/>
      <c r="Q159" s="68"/>
      <c r="R159" s="41"/>
      <c r="S159" s="41"/>
      <c r="T159" s="41"/>
      <c r="U159" s="69"/>
      <c r="V159" s="41"/>
      <c r="W159" s="41"/>
      <c r="X159" s="68"/>
      <c r="Y159" s="41"/>
      <c r="Z159" s="41"/>
      <c r="AA159" s="41"/>
      <c r="AB159" s="69"/>
      <c r="AC159" s="41"/>
      <c r="AD159" s="41"/>
      <c r="AE159" s="41"/>
      <c r="AF159" s="68"/>
      <c r="AG159" s="41"/>
      <c r="AH159" s="41"/>
      <c r="AI159" s="41"/>
      <c r="AJ159" s="41"/>
      <c r="AK159" s="69"/>
      <c r="AL159" s="46"/>
      <c r="AM159" s="41"/>
      <c r="AN159" s="41"/>
      <c r="AO159" s="68"/>
      <c r="AP159" s="41"/>
      <c r="AQ159" s="41"/>
      <c r="AR159" s="69"/>
      <c r="AS159" s="46"/>
      <c r="AT159" s="41"/>
      <c r="AU159" s="68"/>
      <c r="AV159" s="41"/>
      <c r="AW159" s="41"/>
      <c r="AX159" s="69"/>
      <c r="AY159" s="41"/>
      <c r="AZ159" s="41"/>
      <c r="BA159" s="68"/>
      <c r="BB159" s="41"/>
      <c r="BC159" s="41"/>
      <c r="BD159" s="69"/>
      <c r="BE159" s="46"/>
      <c r="BF159" s="41"/>
      <c r="BG159" s="68"/>
      <c r="BH159" s="41"/>
      <c r="BI159" s="41"/>
      <c r="BJ159" s="69"/>
      <c r="BK159" s="46"/>
      <c r="BL159" s="41"/>
      <c r="BM159" s="68"/>
      <c r="BN159" s="41"/>
      <c r="BO159" s="41"/>
      <c r="BP159" s="69"/>
      <c r="BQ159" s="41"/>
      <c r="BR159" s="41"/>
      <c r="BS159" s="68"/>
      <c r="BT159" s="41"/>
      <c r="BU159" s="41"/>
      <c r="BV159" s="69"/>
      <c r="BW159" s="46"/>
      <c r="BX159" s="41"/>
      <c r="BY159" s="68"/>
      <c r="BZ159" s="41"/>
      <c r="CA159" s="41"/>
      <c r="CB159" s="69"/>
      <c r="CC159" s="46"/>
      <c r="CD159" s="41"/>
      <c r="CE159" s="68"/>
      <c r="CF159" s="41"/>
      <c r="CG159" s="41"/>
      <c r="CH159" s="69"/>
      <c r="CI159" s="41"/>
      <c r="CJ159" s="41"/>
      <c r="CK159" s="68"/>
      <c r="CL159" s="41"/>
      <c r="CM159" s="41"/>
      <c r="CN159" s="69"/>
      <c r="CO159" s="41"/>
      <c r="CP159" s="41"/>
      <c r="CQ159" s="68"/>
      <c r="CR159" s="41"/>
      <c r="CS159" s="41"/>
      <c r="CT159" s="69"/>
      <c r="CU159" s="41"/>
      <c r="CV159" s="41"/>
      <c r="CW159" s="68"/>
      <c r="CX159" s="41"/>
      <c r="CY159" s="41"/>
      <c r="CZ159" s="69"/>
      <c r="DA159" s="41"/>
      <c r="DB159" s="41"/>
      <c r="DC159" s="68"/>
      <c r="DD159" s="41"/>
      <c r="DE159" s="41"/>
      <c r="DF159" s="69"/>
      <c r="DG159" s="41" t="s">
        <v>406</v>
      </c>
      <c r="DH159" s="86" t="s">
        <v>305</v>
      </c>
      <c r="DI159" s="69">
        <v>16520</v>
      </c>
      <c r="DJ159" s="46"/>
      <c r="DK159" s="41"/>
      <c r="DL159" s="68">
        <v>0</v>
      </c>
    </row>
    <row r="160" spans="1:116">
      <c r="A160" s="53" t="s">
        <v>301</v>
      </c>
      <c r="B160" s="40">
        <v>3</v>
      </c>
      <c r="C160" s="53" t="s">
        <v>296</v>
      </c>
      <c r="D160" s="54">
        <v>1</v>
      </c>
      <c r="E160" s="56">
        <v>7</v>
      </c>
      <c r="F160" s="59">
        <v>16.539110000000001</v>
      </c>
      <c r="G160" s="68">
        <f t="shared" si="2"/>
        <v>0</v>
      </c>
      <c r="H160" s="47">
        <v>16.539110000000001</v>
      </c>
      <c r="I160" s="69">
        <v>16.54</v>
      </c>
      <c r="J160" s="41"/>
      <c r="K160" s="41"/>
      <c r="L160" s="41"/>
      <c r="M160" s="69"/>
      <c r="N160" s="41"/>
      <c r="O160" s="41"/>
      <c r="P160" s="41"/>
      <c r="Q160" s="68"/>
      <c r="R160" s="41"/>
      <c r="S160" s="41"/>
      <c r="T160" s="41"/>
      <c r="U160" s="69"/>
      <c r="V160" s="41"/>
      <c r="W160" s="41"/>
      <c r="X160" s="68"/>
      <c r="Y160" s="41"/>
      <c r="Z160" s="41"/>
      <c r="AA160" s="41"/>
      <c r="AB160" s="69"/>
      <c r="AC160" s="41"/>
      <c r="AD160" s="41"/>
      <c r="AE160" s="41"/>
      <c r="AF160" s="68"/>
      <c r="AG160" s="41"/>
      <c r="AH160" s="41"/>
      <c r="AI160" s="41"/>
      <c r="AJ160" s="41"/>
      <c r="AK160" s="69"/>
      <c r="AL160" s="46"/>
      <c r="AM160" s="41"/>
      <c r="AN160" s="41"/>
      <c r="AO160" s="68"/>
      <c r="AP160" s="41"/>
      <c r="AQ160" s="41"/>
      <c r="AR160" s="69"/>
      <c r="AS160" s="46"/>
      <c r="AT160" s="41"/>
      <c r="AU160" s="68"/>
      <c r="AV160" s="41"/>
      <c r="AW160" s="41"/>
      <c r="AX160" s="69"/>
      <c r="AY160" s="41"/>
      <c r="AZ160" s="41"/>
      <c r="BA160" s="68"/>
      <c r="BB160" s="41"/>
      <c r="BC160" s="41"/>
      <c r="BD160" s="69"/>
      <c r="BE160" s="46"/>
      <c r="BF160" s="41"/>
      <c r="BG160" s="68"/>
      <c r="BH160" s="41"/>
      <c r="BI160" s="41"/>
      <c r="BJ160" s="69"/>
      <c r="BK160" s="46"/>
      <c r="BL160" s="41"/>
      <c r="BM160" s="68"/>
      <c r="BN160" s="41"/>
      <c r="BO160" s="41"/>
      <c r="BP160" s="69"/>
      <c r="BQ160" s="41"/>
      <c r="BR160" s="41"/>
      <c r="BS160" s="68"/>
      <c r="BT160" s="41"/>
      <c r="BU160" s="41"/>
      <c r="BV160" s="69"/>
      <c r="BW160" s="46"/>
      <c r="BX160" s="41"/>
      <c r="BY160" s="68"/>
      <c r="BZ160" s="41"/>
      <c r="CA160" s="41"/>
      <c r="CB160" s="69"/>
      <c r="CC160" s="46"/>
      <c r="CD160" s="41"/>
      <c r="CE160" s="68"/>
      <c r="CF160" s="41"/>
      <c r="CG160" s="41"/>
      <c r="CH160" s="69"/>
      <c r="CI160" s="41"/>
      <c r="CJ160" s="41"/>
      <c r="CK160" s="68"/>
      <c r="CL160" s="41"/>
      <c r="CM160" s="41"/>
      <c r="CN160" s="69"/>
      <c r="CO160" s="41"/>
      <c r="CP160" s="41"/>
      <c r="CQ160" s="68"/>
      <c r="CR160" s="41"/>
      <c r="CS160" s="41"/>
      <c r="CT160" s="69"/>
      <c r="CU160" s="41"/>
      <c r="CV160" s="41"/>
      <c r="CW160" s="68"/>
      <c r="CX160" s="41"/>
      <c r="CY160" s="41"/>
      <c r="CZ160" s="69"/>
      <c r="DA160" s="41"/>
      <c r="DB160" s="41"/>
      <c r="DC160" s="68"/>
      <c r="DD160" s="41"/>
      <c r="DE160" s="41"/>
      <c r="DF160" s="69"/>
      <c r="DG160" s="41" t="s">
        <v>407</v>
      </c>
      <c r="DH160" s="86" t="s">
        <v>312</v>
      </c>
      <c r="DI160" s="69">
        <v>16540</v>
      </c>
      <c r="DJ160" s="46"/>
      <c r="DK160" s="41"/>
      <c r="DL160" s="68">
        <v>0</v>
      </c>
    </row>
    <row r="161" spans="1:116">
      <c r="A161" s="53" t="s">
        <v>301</v>
      </c>
      <c r="B161" s="40">
        <v>3</v>
      </c>
      <c r="C161" s="53" t="s">
        <v>296</v>
      </c>
      <c r="D161" s="54" t="s">
        <v>224</v>
      </c>
      <c r="E161" s="56">
        <v>7</v>
      </c>
      <c r="F161" s="59">
        <v>35.472360000000002</v>
      </c>
      <c r="G161" s="68">
        <f t="shared" si="2"/>
        <v>0</v>
      </c>
      <c r="H161" s="47">
        <v>35.472360000000002</v>
      </c>
      <c r="I161" s="69">
        <v>35.47</v>
      </c>
      <c r="J161" s="41"/>
      <c r="K161" s="41"/>
      <c r="L161" s="41"/>
      <c r="M161" s="69"/>
      <c r="N161" s="41"/>
      <c r="O161" s="41"/>
      <c r="P161" s="41"/>
      <c r="Q161" s="68"/>
      <c r="R161" s="41"/>
      <c r="S161" s="41"/>
      <c r="T161" s="41"/>
      <c r="U161" s="69"/>
      <c r="V161" s="41"/>
      <c r="W161" s="41"/>
      <c r="X161" s="68"/>
      <c r="Y161" s="41"/>
      <c r="Z161" s="41"/>
      <c r="AA161" s="41"/>
      <c r="AB161" s="69"/>
      <c r="AC161" s="41"/>
      <c r="AD161" s="41"/>
      <c r="AE161" s="41"/>
      <c r="AF161" s="68"/>
      <c r="AG161" s="41"/>
      <c r="AH161" s="41"/>
      <c r="AI161" s="41"/>
      <c r="AJ161" s="41"/>
      <c r="AK161" s="69"/>
      <c r="AL161" s="46"/>
      <c r="AM161" s="41"/>
      <c r="AN161" s="41"/>
      <c r="AO161" s="68"/>
      <c r="AP161" s="41"/>
      <c r="AQ161" s="41"/>
      <c r="AR161" s="69"/>
      <c r="AS161" s="46"/>
      <c r="AT161" s="41"/>
      <c r="AU161" s="68"/>
      <c r="AV161" s="41"/>
      <c r="AW161" s="41"/>
      <c r="AX161" s="69"/>
      <c r="AY161" s="41"/>
      <c r="AZ161" s="41"/>
      <c r="BA161" s="68"/>
      <c r="BB161" s="41"/>
      <c r="BC161" s="41"/>
      <c r="BD161" s="69"/>
      <c r="BE161" s="46"/>
      <c r="BF161" s="41"/>
      <c r="BG161" s="68"/>
      <c r="BH161" s="41"/>
      <c r="BI161" s="41"/>
      <c r="BJ161" s="69"/>
      <c r="BK161" s="46"/>
      <c r="BL161" s="41"/>
      <c r="BM161" s="68"/>
      <c r="BN161" s="41"/>
      <c r="BO161" s="41"/>
      <c r="BP161" s="69"/>
      <c r="BQ161" s="41"/>
      <c r="BR161" s="41"/>
      <c r="BS161" s="68"/>
      <c r="BT161" s="41"/>
      <c r="BU161" s="41"/>
      <c r="BV161" s="69"/>
      <c r="BW161" s="46"/>
      <c r="BX161" s="41"/>
      <c r="BY161" s="68"/>
      <c r="BZ161" s="41"/>
      <c r="CA161" s="41"/>
      <c r="CB161" s="69"/>
      <c r="CC161" s="46"/>
      <c r="CD161" s="41"/>
      <c r="CE161" s="68"/>
      <c r="CF161" s="41"/>
      <c r="CG161" s="41"/>
      <c r="CH161" s="69"/>
      <c r="CI161" s="41"/>
      <c r="CJ161" s="41"/>
      <c r="CK161" s="68"/>
      <c r="CL161" s="41"/>
      <c r="CM161" s="41"/>
      <c r="CN161" s="69"/>
      <c r="CO161" s="41"/>
      <c r="CP161" s="41"/>
      <c r="CQ161" s="68"/>
      <c r="CR161" s="41"/>
      <c r="CS161" s="41"/>
      <c r="CT161" s="69"/>
      <c r="CU161" s="41"/>
      <c r="CV161" s="41"/>
      <c r="CW161" s="68"/>
      <c r="CX161" s="41"/>
      <c r="CY161" s="41"/>
      <c r="CZ161" s="69"/>
      <c r="DA161" s="41"/>
      <c r="DB161" s="41"/>
      <c r="DC161" s="68"/>
      <c r="DD161" s="41"/>
      <c r="DE161" s="41"/>
      <c r="DF161" s="69"/>
      <c r="DG161" s="41" t="s">
        <v>407</v>
      </c>
      <c r="DH161" s="86" t="s">
        <v>313</v>
      </c>
      <c r="DI161" s="69">
        <v>35470</v>
      </c>
      <c r="DJ161" s="46"/>
      <c r="DK161" s="41"/>
      <c r="DL161" s="68">
        <v>0</v>
      </c>
    </row>
    <row r="162" spans="1:116">
      <c r="A162" s="53" t="s">
        <v>301</v>
      </c>
      <c r="B162" s="40">
        <v>3</v>
      </c>
      <c r="C162" s="53" t="s">
        <v>296</v>
      </c>
      <c r="D162" s="54" t="s">
        <v>225</v>
      </c>
      <c r="E162" s="56">
        <v>7</v>
      </c>
      <c r="F162" s="59">
        <v>25.21874</v>
      </c>
      <c r="G162" s="68">
        <f t="shared" si="2"/>
        <v>0</v>
      </c>
      <c r="H162" s="47">
        <v>25.21874</v>
      </c>
      <c r="I162" s="69">
        <v>25.22</v>
      </c>
      <c r="J162" s="41"/>
      <c r="K162" s="41"/>
      <c r="L162" s="41"/>
      <c r="M162" s="69"/>
      <c r="N162" s="41"/>
      <c r="O162" s="41"/>
      <c r="P162" s="41"/>
      <c r="Q162" s="68"/>
      <c r="R162" s="41"/>
      <c r="S162" s="41"/>
      <c r="T162" s="41"/>
      <c r="U162" s="69"/>
      <c r="V162" s="41"/>
      <c r="W162" s="41"/>
      <c r="X162" s="68"/>
      <c r="Y162" s="41"/>
      <c r="Z162" s="41"/>
      <c r="AA162" s="41"/>
      <c r="AB162" s="69"/>
      <c r="AC162" s="41"/>
      <c r="AD162" s="41"/>
      <c r="AE162" s="41"/>
      <c r="AF162" s="68"/>
      <c r="AG162" s="41"/>
      <c r="AH162" s="41"/>
      <c r="AI162" s="41"/>
      <c r="AJ162" s="41"/>
      <c r="AK162" s="69"/>
      <c r="AL162" s="46"/>
      <c r="AM162" s="41"/>
      <c r="AN162" s="41"/>
      <c r="AO162" s="68"/>
      <c r="AP162" s="41"/>
      <c r="AQ162" s="41"/>
      <c r="AR162" s="69"/>
      <c r="AS162" s="46"/>
      <c r="AT162" s="41"/>
      <c r="AU162" s="68"/>
      <c r="AV162" s="41"/>
      <c r="AW162" s="41"/>
      <c r="AX162" s="69"/>
      <c r="AY162" s="41"/>
      <c r="AZ162" s="41"/>
      <c r="BA162" s="68"/>
      <c r="BB162" s="41"/>
      <c r="BC162" s="41"/>
      <c r="BD162" s="69"/>
      <c r="BE162" s="46"/>
      <c r="BF162" s="41"/>
      <c r="BG162" s="68"/>
      <c r="BH162" s="41"/>
      <c r="BI162" s="41"/>
      <c r="BJ162" s="69"/>
      <c r="BK162" s="46"/>
      <c r="BL162" s="41"/>
      <c r="BM162" s="68"/>
      <c r="BN162" s="41"/>
      <c r="BO162" s="41"/>
      <c r="BP162" s="69"/>
      <c r="BQ162" s="41"/>
      <c r="BR162" s="41"/>
      <c r="BS162" s="68"/>
      <c r="BT162" s="41"/>
      <c r="BU162" s="41"/>
      <c r="BV162" s="69"/>
      <c r="BW162" s="46"/>
      <c r="BX162" s="41"/>
      <c r="BY162" s="68"/>
      <c r="BZ162" s="41"/>
      <c r="CA162" s="41"/>
      <c r="CB162" s="69"/>
      <c r="CC162" s="46"/>
      <c r="CD162" s="41"/>
      <c r="CE162" s="68"/>
      <c r="CF162" s="41"/>
      <c r="CG162" s="41"/>
      <c r="CH162" s="69"/>
      <c r="CI162" s="41"/>
      <c r="CJ162" s="41"/>
      <c r="CK162" s="68"/>
      <c r="CL162" s="41"/>
      <c r="CM162" s="41"/>
      <c r="CN162" s="69"/>
      <c r="CO162" s="41"/>
      <c r="CP162" s="41"/>
      <c r="CQ162" s="68"/>
      <c r="CR162" s="41"/>
      <c r="CS162" s="41"/>
      <c r="CT162" s="69"/>
      <c r="CU162" s="41"/>
      <c r="CV162" s="41"/>
      <c r="CW162" s="68"/>
      <c r="CX162" s="41"/>
      <c r="CY162" s="41"/>
      <c r="CZ162" s="69"/>
      <c r="DA162" s="41"/>
      <c r="DB162" s="41"/>
      <c r="DC162" s="68"/>
      <c r="DD162" s="41"/>
      <c r="DE162" s="41"/>
      <c r="DF162" s="69"/>
      <c r="DG162" s="41" t="s">
        <v>407</v>
      </c>
      <c r="DH162" s="86" t="s">
        <v>312</v>
      </c>
      <c r="DI162" s="69">
        <v>25220</v>
      </c>
      <c r="DJ162" s="46"/>
      <c r="DK162" s="41"/>
      <c r="DL162" s="68">
        <v>0</v>
      </c>
    </row>
    <row r="163" spans="1:116">
      <c r="A163" s="53" t="s">
        <v>301</v>
      </c>
      <c r="B163" s="40">
        <v>3</v>
      </c>
      <c r="C163" s="53" t="s">
        <v>296</v>
      </c>
      <c r="D163" s="54" t="s">
        <v>254</v>
      </c>
      <c r="E163" s="56">
        <v>7</v>
      </c>
      <c r="F163" s="59">
        <v>29.043082000000005</v>
      </c>
      <c r="G163" s="68">
        <f t="shared" si="2"/>
        <v>0</v>
      </c>
      <c r="H163" s="47">
        <v>29.043082000000005</v>
      </c>
      <c r="I163" s="69">
        <v>29.04</v>
      </c>
      <c r="J163" s="41"/>
      <c r="K163" s="41"/>
      <c r="L163" s="41"/>
      <c r="M163" s="69"/>
      <c r="N163" s="41"/>
      <c r="O163" s="41"/>
      <c r="P163" s="41"/>
      <c r="Q163" s="68"/>
      <c r="R163" s="41"/>
      <c r="S163" s="41"/>
      <c r="T163" s="41"/>
      <c r="U163" s="69"/>
      <c r="V163" s="41"/>
      <c r="W163" s="41"/>
      <c r="X163" s="68"/>
      <c r="Y163" s="41"/>
      <c r="Z163" s="41"/>
      <c r="AA163" s="41"/>
      <c r="AB163" s="69"/>
      <c r="AC163" s="41"/>
      <c r="AD163" s="41"/>
      <c r="AE163" s="41"/>
      <c r="AF163" s="68"/>
      <c r="AG163" s="41"/>
      <c r="AH163" s="41"/>
      <c r="AI163" s="41"/>
      <c r="AJ163" s="41"/>
      <c r="AK163" s="69"/>
      <c r="AL163" s="46"/>
      <c r="AM163" s="41"/>
      <c r="AN163" s="41"/>
      <c r="AO163" s="68"/>
      <c r="AP163" s="41"/>
      <c r="AQ163" s="41"/>
      <c r="AR163" s="69"/>
      <c r="AS163" s="46"/>
      <c r="AT163" s="41"/>
      <c r="AU163" s="68"/>
      <c r="AV163" s="41"/>
      <c r="AW163" s="41"/>
      <c r="AX163" s="69"/>
      <c r="AY163" s="41"/>
      <c r="AZ163" s="41"/>
      <c r="BA163" s="68"/>
      <c r="BB163" s="41"/>
      <c r="BC163" s="41"/>
      <c r="BD163" s="69"/>
      <c r="BE163" s="46"/>
      <c r="BF163" s="41"/>
      <c r="BG163" s="68"/>
      <c r="BH163" s="41"/>
      <c r="BI163" s="41"/>
      <c r="BJ163" s="69"/>
      <c r="BK163" s="46"/>
      <c r="BL163" s="41"/>
      <c r="BM163" s="68"/>
      <c r="BN163" s="41"/>
      <c r="BO163" s="41"/>
      <c r="BP163" s="69"/>
      <c r="BQ163" s="41"/>
      <c r="BR163" s="41"/>
      <c r="BS163" s="68"/>
      <c r="BT163" s="41"/>
      <c r="BU163" s="41"/>
      <c r="BV163" s="69"/>
      <c r="BW163" s="46"/>
      <c r="BX163" s="41"/>
      <c r="BY163" s="68"/>
      <c r="BZ163" s="41"/>
      <c r="CA163" s="41"/>
      <c r="CB163" s="69"/>
      <c r="CC163" s="46"/>
      <c r="CD163" s="41"/>
      <c r="CE163" s="68"/>
      <c r="CF163" s="41"/>
      <c r="CG163" s="41"/>
      <c r="CH163" s="69"/>
      <c r="CI163" s="41"/>
      <c r="CJ163" s="41"/>
      <c r="CK163" s="68"/>
      <c r="CL163" s="41"/>
      <c r="CM163" s="41"/>
      <c r="CN163" s="69"/>
      <c r="CO163" s="41"/>
      <c r="CP163" s="41"/>
      <c r="CQ163" s="68"/>
      <c r="CR163" s="41"/>
      <c r="CS163" s="41"/>
      <c r="CT163" s="69"/>
      <c r="CU163" s="41"/>
      <c r="CV163" s="41"/>
      <c r="CW163" s="68"/>
      <c r="CX163" s="41"/>
      <c r="CY163" s="41"/>
      <c r="CZ163" s="69"/>
      <c r="DA163" s="41"/>
      <c r="DB163" s="41"/>
      <c r="DC163" s="68"/>
      <c r="DD163" s="41"/>
      <c r="DE163" s="41"/>
      <c r="DF163" s="69"/>
      <c r="DG163" s="41" t="s">
        <v>407</v>
      </c>
      <c r="DH163" s="86" t="s">
        <v>305</v>
      </c>
      <c r="DI163" s="69">
        <v>29040</v>
      </c>
      <c r="DJ163" s="46"/>
      <c r="DK163" s="41"/>
      <c r="DL163" s="68">
        <v>0</v>
      </c>
    </row>
    <row r="164" spans="1:116">
      <c r="A164" s="53" t="s">
        <v>301</v>
      </c>
      <c r="B164" s="40">
        <v>3</v>
      </c>
      <c r="C164" s="53" t="s">
        <v>296</v>
      </c>
      <c r="D164" s="54" t="s">
        <v>226</v>
      </c>
      <c r="E164" s="56">
        <v>7</v>
      </c>
      <c r="F164" s="59">
        <v>24.674299999999999</v>
      </c>
      <c r="G164" s="68">
        <f t="shared" si="2"/>
        <v>0</v>
      </c>
      <c r="H164" s="47">
        <v>24.674299999999999</v>
      </c>
      <c r="I164" s="69">
        <v>24.67</v>
      </c>
      <c r="J164" s="41"/>
      <c r="K164" s="41"/>
      <c r="L164" s="41"/>
      <c r="M164" s="69"/>
      <c r="N164" s="41"/>
      <c r="O164" s="41"/>
      <c r="P164" s="41"/>
      <c r="Q164" s="68"/>
      <c r="R164" s="41"/>
      <c r="S164" s="41"/>
      <c r="T164" s="41"/>
      <c r="U164" s="69"/>
      <c r="V164" s="41"/>
      <c r="W164" s="41"/>
      <c r="X164" s="68"/>
      <c r="Y164" s="41"/>
      <c r="Z164" s="41"/>
      <c r="AA164" s="41"/>
      <c r="AB164" s="69"/>
      <c r="AC164" s="41"/>
      <c r="AD164" s="41"/>
      <c r="AE164" s="41"/>
      <c r="AF164" s="68"/>
      <c r="AG164" s="41"/>
      <c r="AH164" s="41"/>
      <c r="AI164" s="41"/>
      <c r="AJ164" s="41"/>
      <c r="AK164" s="69"/>
      <c r="AL164" s="46"/>
      <c r="AM164" s="41"/>
      <c r="AN164" s="41"/>
      <c r="AO164" s="68"/>
      <c r="AP164" s="41"/>
      <c r="AQ164" s="41"/>
      <c r="AR164" s="69"/>
      <c r="AS164" s="46"/>
      <c r="AT164" s="41"/>
      <c r="AU164" s="68"/>
      <c r="AV164" s="41"/>
      <c r="AW164" s="41"/>
      <c r="AX164" s="69"/>
      <c r="AY164" s="41"/>
      <c r="AZ164" s="41"/>
      <c r="BA164" s="68"/>
      <c r="BB164" s="41"/>
      <c r="BC164" s="41"/>
      <c r="BD164" s="69"/>
      <c r="BE164" s="46"/>
      <c r="BF164" s="41"/>
      <c r="BG164" s="68"/>
      <c r="BH164" s="41"/>
      <c r="BI164" s="41"/>
      <c r="BJ164" s="69"/>
      <c r="BK164" s="46"/>
      <c r="BL164" s="41"/>
      <c r="BM164" s="68"/>
      <c r="BN164" s="41"/>
      <c r="BO164" s="41"/>
      <c r="BP164" s="69"/>
      <c r="BQ164" s="41"/>
      <c r="BR164" s="41"/>
      <c r="BS164" s="68"/>
      <c r="BT164" s="41"/>
      <c r="BU164" s="41"/>
      <c r="BV164" s="69"/>
      <c r="BW164" s="46"/>
      <c r="BX164" s="41"/>
      <c r="BY164" s="68"/>
      <c r="BZ164" s="41"/>
      <c r="CA164" s="41"/>
      <c r="CB164" s="69"/>
      <c r="CC164" s="46"/>
      <c r="CD164" s="41"/>
      <c r="CE164" s="68"/>
      <c r="CF164" s="41"/>
      <c r="CG164" s="41"/>
      <c r="CH164" s="69"/>
      <c r="CI164" s="41"/>
      <c r="CJ164" s="41"/>
      <c r="CK164" s="68"/>
      <c r="CL164" s="41"/>
      <c r="CM164" s="41"/>
      <c r="CN164" s="69"/>
      <c r="CO164" s="41"/>
      <c r="CP164" s="41"/>
      <c r="CQ164" s="68"/>
      <c r="CR164" s="41"/>
      <c r="CS164" s="41"/>
      <c r="CT164" s="69"/>
      <c r="CU164" s="41"/>
      <c r="CV164" s="41"/>
      <c r="CW164" s="68"/>
      <c r="CX164" s="41"/>
      <c r="CY164" s="41"/>
      <c r="CZ164" s="69"/>
      <c r="DA164" s="41"/>
      <c r="DB164" s="41"/>
      <c r="DC164" s="68"/>
      <c r="DD164" s="41"/>
      <c r="DE164" s="41"/>
      <c r="DF164" s="69"/>
      <c r="DG164" s="41" t="s">
        <v>407</v>
      </c>
      <c r="DH164" s="86" t="s">
        <v>305</v>
      </c>
      <c r="DI164" s="69">
        <v>24670</v>
      </c>
      <c r="DJ164" s="46"/>
      <c r="DK164" s="41"/>
      <c r="DL164" s="68">
        <v>0</v>
      </c>
    </row>
    <row r="165" spans="1:116" ht="23.25">
      <c r="A165" s="53" t="s">
        <v>301</v>
      </c>
      <c r="B165" s="40">
        <v>3</v>
      </c>
      <c r="C165" s="53" t="s">
        <v>296</v>
      </c>
      <c r="D165" s="54" t="s">
        <v>247</v>
      </c>
      <c r="E165" s="56">
        <v>7</v>
      </c>
      <c r="F165" s="59">
        <v>65.272772000000018</v>
      </c>
      <c r="G165" s="68">
        <f t="shared" si="2"/>
        <v>0</v>
      </c>
      <c r="H165" s="47">
        <v>65.272772000000018</v>
      </c>
      <c r="I165" s="69">
        <v>65.27</v>
      </c>
      <c r="J165" s="41"/>
      <c r="K165" s="41"/>
      <c r="L165" s="41"/>
      <c r="M165" s="69"/>
      <c r="N165" s="41"/>
      <c r="O165" s="41"/>
      <c r="P165" s="41"/>
      <c r="Q165" s="68"/>
      <c r="R165" s="41"/>
      <c r="S165" s="41"/>
      <c r="T165" s="41"/>
      <c r="U165" s="69"/>
      <c r="V165" s="41"/>
      <c r="W165" s="41"/>
      <c r="X165" s="68"/>
      <c r="Y165" s="41"/>
      <c r="Z165" s="41"/>
      <c r="AA165" s="41"/>
      <c r="AB165" s="69"/>
      <c r="AC165" s="41"/>
      <c r="AD165" s="41"/>
      <c r="AE165" s="41"/>
      <c r="AF165" s="68"/>
      <c r="AG165" s="41"/>
      <c r="AH165" s="41"/>
      <c r="AI165" s="41"/>
      <c r="AJ165" s="41"/>
      <c r="AK165" s="69"/>
      <c r="AL165" s="46"/>
      <c r="AM165" s="41"/>
      <c r="AN165" s="41"/>
      <c r="AO165" s="68"/>
      <c r="AP165" s="41"/>
      <c r="AQ165" s="41"/>
      <c r="AR165" s="69"/>
      <c r="AS165" s="46"/>
      <c r="AT165" s="41"/>
      <c r="AU165" s="68"/>
      <c r="AV165" s="41"/>
      <c r="AW165" s="41"/>
      <c r="AX165" s="69"/>
      <c r="AY165" s="41"/>
      <c r="AZ165" s="41"/>
      <c r="BA165" s="68"/>
      <c r="BB165" s="41"/>
      <c r="BC165" s="41"/>
      <c r="BD165" s="69"/>
      <c r="BE165" s="46"/>
      <c r="BF165" s="41"/>
      <c r="BG165" s="68"/>
      <c r="BH165" s="41"/>
      <c r="BI165" s="41"/>
      <c r="BJ165" s="69"/>
      <c r="BK165" s="46"/>
      <c r="BL165" s="41"/>
      <c r="BM165" s="68"/>
      <c r="BN165" s="41"/>
      <c r="BO165" s="41"/>
      <c r="BP165" s="69"/>
      <c r="BQ165" s="41"/>
      <c r="BR165" s="41"/>
      <c r="BS165" s="68"/>
      <c r="BT165" s="41"/>
      <c r="BU165" s="41"/>
      <c r="BV165" s="69"/>
      <c r="BW165" s="46"/>
      <c r="BX165" s="41"/>
      <c r="BY165" s="68"/>
      <c r="BZ165" s="41"/>
      <c r="CA165" s="41"/>
      <c r="CB165" s="69"/>
      <c r="CC165" s="46"/>
      <c r="CD165" s="41"/>
      <c r="CE165" s="68"/>
      <c r="CF165" s="41"/>
      <c r="CG165" s="41"/>
      <c r="CH165" s="69"/>
      <c r="CI165" s="41"/>
      <c r="CJ165" s="41"/>
      <c r="CK165" s="68"/>
      <c r="CL165" s="41"/>
      <c r="CM165" s="41"/>
      <c r="CN165" s="69"/>
      <c r="CO165" s="41"/>
      <c r="CP165" s="41"/>
      <c r="CQ165" s="68"/>
      <c r="CR165" s="41"/>
      <c r="CS165" s="41"/>
      <c r="CT165" s="69"/>
      <c r="CU165" s="41"/>
      <c r="CV165" s="41"/>
      <c r="CW165" s="68"/>
      <c r="CX165" s="41"/>
      <c r="CY165" s="41"/>
      <c r="CZ165" s="69"/>
      <c r="DA165" s="41"/>
      <c r="DB165" s="41"/>
      <c r="DC165" s="68"/>
      <c r="DD165" s="41"/>
      <c r="DE165" s="41"/>
      <c r="DF165" s="69"/>
      <c r="DG165" s="41" t="s">
        <v>407</v>
      </c>
      <c r="DH165" s="85" t="s">
        <v>314</v>
      </c>
      <c r="DI165" s="69">
        <v>65270</v>
      </c>
      <c r="DJ165" s="46"/>
      <c r="DK165" s="41"/>
      <c r="DL165" s="68">
        <v>0</v>
      </c>
    </row>
    <row r="166" spans="1:116">
      <c r="A166" s="53" t="s">
        <v>301</v>
      </c>
      <c r="B166" s="40">
        <v>3</v>
      </c>
      <c r="C166" s="53" t="s">
        <v>297</v>
      </c>
      <c r="D166" s="54">
        <v>4</v>
      </c>
      <c r="E166" s="56">
        <v>7</v>
      </c>
      <c r="F166" s="59">
        <v>49.955860000000008</v>
      </c>
      <c r="G166" s="68">
        <f t="shared" si="2"/>
        <v>5.3771499999999994</v>
      </c>
      <c r="H166" s="47">
        <v>49.955860000000008</v>
      </c>
      <c r="I166" s="69">
        <v>49.96</v>
      </c>
      <c r="J166" s="41" t="s">
        <v>410</v>
      </c>
      <c r="K166" s="41">
        <v>1</v>
      </c>
      <c r="L166" s="41">
        <v>1</v>
      </c>
      <c r="M166" s="69">
        <v>49960</v>
      </c>
      <c r="N166" s="41"/>
      <c r="O166" s="41"/>
      <c r="P166" s="41"/>
      <c r="Q166" s="68"/>
      <c r="R166" s="41"/>
      <c r="S166" s="41"/>
      <c r="T166" s="41"/>
      <c r="U166" s="69"/>
      <c r="V166" s="41"/>
      <c r="W166" s="41"/>
      <c r="X166" s="68"/>
      <c r="Y166" s="41"/>
      <c r="Z166" s="41"/>
      <c r="AA166" s="41"/>
      <c r="AB166" s="69"/>
      <c r="AC166" s="41"/>
      <c r="AD166" s="41"/>
      <c r="AE166" s="41"/>
      <c r="AF166" s="68"/>
      <c r="AG166" s="41"/>
      <c r="AH166" s="41"/>
      <c r="AI166" s="41"/>
      <c r="AJ166" s="41"/>
      <c r="AK166" s="69"/>
      <c r="AL166" s="46" t="s">
        <v>408</v>
      </c>
      <c r="AM166" s="41">
        <v>5.2770000000000001</v>
      </c>
      <c r="AN166" s="41">
        <v>6</v>
      </c>
      <c r="AO166" s="68">
        <v>5377.15</v>
      </c>
      <c r="AP166" s="41"/>
      <c r="AQ166" s="41"/>
      <c r="AR166" s="69"/>
      <c r="AS166" s="46"/>
      <c r="AT166" s="41"/>
      <c r="AU166" s="68"/>
      <c r="AV166" s="41"/>
      <c r="AW166" s="41"/>
      <c r="AX166" s="69"/>
      <c r="AY166" s="41"/>
      <c r="AZ166" s="41"/>
      <c r="BA166" s="68"/>
      <c r="BB166" s="41"/>
      <c r="BC166" s="41"/>
      <c r="BD166" s="69"/>
      <c r="BE166" s="46"/>
      <c r="BF166" s="41"/>
      <c r="BG166" s="68"/>
      <c r="BH166" s="41"/>
      <c r="BI166" s="41"/>
      <c r="BJ166" s="69"/>
      <c r="BK166" s="46"/>
      <c r="BL166" s="41"/>
      <c r="BM166" s="68"/>
      <c r="BN166" s="41"/>
      <c r="BO166" s="41"/>
      <c r="BP166" s="69"/>
      <c r="BQ166" s="41"/>
      <c r="BR166" s="41"/>
      <c r="BS166" s="68"/>
      <c r="BT166" s="41"/>
      <c r="BU166" s="41"/>
      <c r="BV166" s="69"/>
      <c r="BW166" s="46"/>
      <c r="BX166" s="41"/>
      <c r="BY166" s="68"/>
      <c r="BZ166" s="41"/>
      <c r="CA166" s="41"/>
      <c r="CB166" s="69"/>
      <c r="CC166" s="46"/>
      <c r="CD166" s="41"/>
      <c r="CE166" s="68"/>
      <c r="CF166" s="41"/>
      <c r="CG166" s="41"/>
      <c r="CH166" s="69"/>
      <c r="CI166" s="41"/>
      <c r="CJ166" s="41"/>
      <c r="CK166" s="68"/>
      <c r="CL166" s="41"/>
      <c r="CM166" s="41"/>
      <c r="CN166" s="69"/>
      <c r="CO166" s="41"/>
      <c r="CP166" s="41"/>
      <c r="CQ166" s="68"/>
      <c r="CR166" s="41"/>
      <c r="CS166" s="41"/>
      <c r="CT166" s="69"/>
      <c r="CU166" s="41"/>
      <c r="CV166" s="41"/>
      <c r="CW166" s="68"/>
      <c r="CX166" s="41"/>
      <c r="CY166" s="41"/>
      <c r="CZ166" s="69"/>
      <c r="DA166" s="41"/>
      <c r="DB166" s="41"/>
      <c r="DC166" s="68"/>
      <c r="DD166" s="41"/>
      <c r="DE166" s="41"/>
      <c r="DF166" s="69"/>
      <c r="DG166" s="41"/>
      <c r="DH166" s="86"/>
      <c r="DI166" s="69">
        <v>0</v>
      </c>
      <c r="DJ166" s="46"/>
      <c r="DK166" s="41"/>
      <c r="DL166" s="68">
        <v>0</v>
      </c>
    </row>
    <row r="167" spans="1:116">
      <c r="A167" s="53" t="s">
        <v>301</v>
      </c>
      <c r="B167" s="40">
        <v>3</v>
      </c>
      <c r="C167" s="53" t="s">
        <v>297</v>
      </c>
      <c r="D167" s="54">
        <v>5</v>
      </c>
      <c r="E167" s="56">
        <v>7</v>
      </c>
      <c r="F167" s="59">
        <v>43.726808000000005</v>
      </c>
      <c r="G167" s="68">
        <f t="shared" si="2"/>
        <v>2.68988</v>
      </c>
      <c r="H167" s="47">
        <v>43.726808000000005</v>
      </c>
      <c r="I167" s="69">
        <v>43.73</v>
      </c>
      <c r="J167" s="41" t="s">
        <v>410</v>
      </c>
      <c r="K167" s="41">
        <v>1</v>
      </c>
      <c r="L167" s="41">
        <v>1</v>
      </c>
      <c r="M167" s="69">
        <v>43730</v>
      </c>
      <c r="N167" s="41"/>
      <c r="O167" s="41"/>
      <c r="P167" s="41"/>
      <c r="Q167" s="68"/>
      <c r="R167" s="41"/>
      <c r="S167" s="41"/>
      <c r="T167" s="41"/>
      <c r="U167" s="69"/>
      <c r="V167" s="41"/>
      <c r="W167" s="41"/>
      <c r="X167" s="68"/>
      <c r="Y167" s="41"/>
      <c r="Z167" s="41"/>
      <c r="AA167" s="41"/>
      <c r="AB167" s="69"/>
      <c r="AC167" s="41"/>
      <c r="AD167" s="41"/>
      <c r="AE167" s="41"/>
      <c r="AF167" s="68"/>
      <c r="AG167" s="41"/>
      <c r="AH167" s="41"/>
      <c r="AI167" s="41"/>
      <c r="AJ167" s="41"/>
      <c r="AK167" s="69"/>
      <c r="AL167" s="46" t="s">
        <v>408</v>
      </c>
      <c r="AM167" s="41">
        <v>2.64</v>
      </c>
      <c r="AN167" s="41">
        <v>7</v>
      </c>
      <c r="AO167" s="68">
        <v>2689.88</v>
      </c>
      <c r="AP167" s="41"/>
      <c r="AQ167" s="41"/>
      <c r="AR167" s="69"/>
      <c r="AS167" s="46"/>
      <c r="AT167" s="41"/>
      <c r="AU167" s="68"/>
      <c r="AV167" s="41"/>
      <c r="AW167" s="41"/>
      <c r="AX167" s="69"/>
      <c r="AY167" s="41"/>
      <c r="AZ167" s="41"/>
      <c r="BA167" s="68"/>
      <c r="BB167" s="41"/>
      <c r="BC167" s="41"/>
      <c r="BD167" s="69"/>
      <c r="BE167" s="46"/>
      <c r="BF167" s="41"/>
      <c r="BG167" s="68"/>
      <c r="BH167" s="41"/>
      <c r="BI167" s="41"/>
      <c r="BJ167" s="69"/>
      <c r="BK167" s="46"/>
      <c r="BL167" s="41"/>
      <c r="BM167" s="68"/>
      <c r="BN167" s="41"/>
      <c r="BO167" s="41"/>
      <c r="BP167" s="69"/>
      <c r="BQ167" s="41"/>
      <c r="BR167" s="41"/>
      <c r="BS167" s="68"/>
      <c r="BT167" s="41"/>
      <c r="BU167" s="41"/>
      <c r="BV167" s="69"/>
      <c r="BW167" s="46"/>
      <c r="BX167" s="41"/>
      <c r="BY167" s="68"/>
      <c r="BZ167" s="41"/>
      <c r="CA167" s="41"/>
      <c r="CB167" s="69"/>
      <c r="CC167" s="46"/>
      <c r="CD167" s="41"/>
      <c r="CE167" s="68"/>
      <c r="CF167" s="41"/>
      <c r="CG167" s="41"/>
      <c r="CH167" s="69"/>
      <c r="CI167" s="41"/>
      <c r="CJ167" s="41"/>
      <c r="CK167" s="68"/>
      <c r="CL167" s="41"/>
      <c r="CM167" s="41"/>
      <c r="CN167" s="69"/>
      <c r="CO167" s="41"/>
      <c r="CP167" s="41"/>
      <c r="CQ167" s="68"/>
      <c r="CR167" s="41"/>
      <c r="CS167" s="41"/>
      <c r="CT167" s="69"/>
      <c r="CU167" s="41"/>
      <c r="CV167" s="41"/>
      <c r="CW167" s="68"/>
      <c r="CX167" s="41"/>
      <c r="CY167" s="41"/>
      <c r="CZ167" s="69"/>
      <c r="DA167" s="41"/>
      <c r="DB167" s="41"/>
      <c r="DC167" s="68"/>
      <c r="DD167" s="41"/>
      <c r="DE167" s="41"/>
      <c r="DF167" s="69"/>
      <c r="DG167" s="41"/>
      <c r="DH167" s="86"/>
      <c r="DI167" s="69">
        <v>0</v>
      </c>
      <c r="DJ167" s="46"/>
      <c r="DK167" s="41"/>
      <c r="DL167" s="68">
        <v>0</v>
      </c>
    </row>
    <row r="168" spans="1:116">
      <c r="A168" s="53" t="s">
        <v>301</v>
      </c>
      <c r="B168" s="40">
        <v>3</v>
      </c>
      <c r="C168" s="53" t="s">
        <v>297</v>
      </c>
      <c r="D168" s="54">
        <v>6</v>
      </c>
      <c r="E168" s="56">
        <v>7</v>
      </c>
      <c r="F168" s="59">
        <v>37.218756000000006</v>
      </c>
      <c r="G168" s="68">
        <f t="shared" si="2"/>
        <v>0</v>
      </c>
      <c r="H168" s="47">
        <v>37.218756000000006</v>
      </c>
      <c r="I168" s="69">
        <v>37.22</v>
      </c>
      <c r="J168" s="41" t="s">
        <v>406</v>
      </c>
      <c r="K168" s="41">
        <v>1</v>
      </c>
      <c r="L168" s="41">
        <v>1</v>
      </c>
      <c r="M168" s="69">
        <v>37220</v>
      </c>
      <c r="N168" s="41"/>
      <c r="O168" s="41"/>
      <c r="P168" s="41"/>
      <c r="Q168" s="68"/>
      <c r="R168" s="41"/>
      <c r="S168" s="41"/>
      <c r="T168" s="41"/>
      <c r="U168" s="69"/>
      <c r="V168" s="41"/>
      <c r="W168" s="41"/>
      <c r="X168" s="68"/>
      <c r="Y168" s="41"/>
      <c r="Z168" s="41"/>
      <c r="AA168" s="41"/>
      <c r="AB168" s="69"/>
      <c r="AC168" s="41"/>
      <c r="AD168" s="41"/>
      <c r="AE168" s="41"/>
      <c r="AF168" s="68"/>
      <c r="AG168" s="41"/>
      <c r="AH168" s="41"/>
      <c r="AI168" s="41"/>
      <c r="AJ168" s="41"/>
      <c r="AK168" s="69"/>
      <c r="AL168" s="46"/>
      <c r="AM168" s="41"/>
      <c r="AN168" s="41"/>
      <c r="AO168" s="68"/>
      <c r="AP168" s="41"/>
      <c r="AQ168" s="41"/>
      <c r="AR168" s="69"/>
      <c r="AS168" s="46"/>
      <c r="AT168" s="41"/>
      <c r="AU168" s="68"/>
      <c r="AV168" s="41"/>
      <c r="AW168" s="41"/>
      <c r="AX168" s="69"/>
      <c r="AY168" s="41"/>
      <c r="AZ168" s="41"/>
      <c r="BA168" s="68"/>
      <c r="BB168" s="41"/>
      <c r="BC168" s="41"/>
      <c r="BD168" s="69"/>
      <c r="BE168" s="46"/>
      <c r="BF168" s="41"/>
      <c r="BG168" s="68"/>
      <c r="BH168" s="41"/>
      <c r="BI168" s="41"/>
      <c r="BJ168" s="69"/>
      <c r="BK168" s="46"/>
      <c r="BL168" s="41"/>
      <c r="BM168" s="68"/>
      <c r="BN168" s="41"/>
      <c r="BO168" s="41"/>
      <c r="BP168" s="69"/>
      <c r="BQ168" s="41"/>
      <c r="BR168" s="41"/>
      <c r="BS168" s="68"/>
      <c r="BT168" s="41"/>
      <c r="BU168" s="41"/>
      <c r="BV168" s="69"/>
      <c r="BW168" s="46"/>
      <c r="BX168" s="41"/>
      <c r="BY168" s="68"/>
      <c r="BZ168" s="41"/>
      <c r="CA168" s="41"/>
      <c r="CB168" s="69"/>
      <c r="CC168" s="46"/>
      <c r="CD168" s="41"/>
      <c r="CE168" s="68"/>
      <c r="CF168" s="41"/>
      <c r="CG168" s="41"/>
      <c r="CH168" s="69"/>
      <c r="CI168" s="41"/>
      <c r="CJ168" s="41"/>
      <c r="CK168" s="68"/>
      <c r="CL168" s="41"/>
      <c r="CM168" s="41"/>
      <c r="CN168" s="69"/>
      <c r="CO168" s="41"/>
      <c r="CP168" s="41"/>
      <c r="CQ168" s="68"/>
      <c r="CR168" s="41"/>
      <c r="CS168" s="41"/>
      <c r="CT168" s="69"/>
      <c r="CU168" s="41"/>
      <c r="CV168" s="41"/>
      <c r="CW168" s="68"/>
      <c r="CX168" s="41"/>
      <c r="CY168" s="41"/>
      <c r="CZ168" s="69"/>
      <c r="DA168" s="41"/>
      <c r="DB168" s="41"/>
      <c r="DC168" s="68"/>
      <c r="DD168" s="41"/>
      <c r="DE168" s="41"/>
      <c r="DF168" s="69"/>
      <c r="DG168" s="41"/>
      <c r="DH168" s="86"/>
      <c r="DI168" s="69">
        <v>0</v>
      </c>
      <c r="DJ168" s="46"/>
      <c r="DK168" s="41"/>
      <c r="DL168" s="68">
        <v>0</v>
      </c>
    </row>
    <row r="169" spans="1:116">
      <c r="A169" s="53" t="s">
        <v>301</v>
      </c>
      <c r="B169" s="40">
        <v>3</v>
      </c>
      <c r="C169" s="53" t="s">
        <v>297</v>
      </c>
      <c r="D169" s="54">
        <v>7</v>
      </c>
      <c r="E169" s="56">
        <v>7</v>
      </c>
      <c r="F169" s="59">
        <v>39.575324000000002</v>
      </c>
      <c r="G169" s="68">
        <f t="shared" si="2"/>
        <v>0</v>
      </c>
      <c r="H169" s="47">
        <v>39.575324000000002</v>
      </c>
      <c r="I169" s="69">
        <v>39.58</v>
      </c>
      <c r="J169" s="41" t="s">
        <v>406</v>
      </c>
      <c r="K169" s="41">
        <v>1</v>
      </c>
      <c r="L169" s="41">
        <v>1</v>
      </c>
      <c r="M169" s="69">
        <v>39580</v>
      </c>
      <c r="N169" s="41"/>
      <c r="O169" s="41"/>
      <c r="P169" s="41"/>
      <c r="Q169" s="68"/>
      <c r="R169" s="41"/>
      <c r="S169" s="41"/>
      <c r="T169" s="41"/>
      <c r="U169" s="69"/>
      <c r="V169" s="41"/>
      <c r="W169" s="41"/>
      <c r="X169" s="68"/>
      <c r="Y169" s="41"/>
      <c r="Z169" s="41"/>
      <c r="AA169" s="41"/>
      <c r="AB169" s="69"/>
      <c r="AC169" s="41"/>
      <c r="AD169" s="41"/>
      <c r="AE169" s="41"/>
      <c r="AF169" s="68"/>
      <c r="AG169" s="41"/>
      <c r="AH169" s="41"/>
      <c r="AI169" s="41"/>
      <c r="AJ169" s="41"/>
      <c r="AK169" s="69"/>
      <c r="AL169" s="46"/>
      <c r="AM169" s="41"/>
      <c r="AN169" s="41"/>
      <c r="AO169" s="68"/>
      <c r="AP169" s="41"/>
      <c r="AQ169" s="41"/>
      <c r="AR169" s="69"/>
      <c r="AS169" s="46"/>
      <c r="AT169" s="41"/>
      <c r="AU169" s="68"/>
      <c r="AV169" s="41"/>
      <c r="AW169" s="41"/>
      <c r="AX169" s="69"/>
      <c r="AY169" s="41"/>
      <c r="AZ169" s="41"/>
      <c r="BA169" s="68"/>
      <c r="BB169" s="41"/>
      <c r="BC169" s="41"/>
      <c r="BD169" s="69"/>
      <c r="BE169" s="46"/>
      <c r="BF169" s="41"/>
      <c r="BG169" s="68"/>
      <c r="BH169" s="41"/>
      <c r="BI169" s="41"/>
      <c r="BJ169" s="69"/>
      <c r="BK169" s="46"/>
      <c r="BL169" s="41"/>
      <c r="BM169" s="68"/>
      <c r="BN169" s="41"/>
      <c r="BO169" s="41"/>
      <c r="BP169" s="69"/>
      <c r="BQ169" s="41"/>
      <c r="BR169" s="41"/>
      <c r="BS169" s="68"/>
      <c r="BT169" s="41"/>
      <c r="BU169" s="41"/>
      <c r="BV169" s="69"/>
      <c r="BW169" s="46"/>
      <c r="BX169" s="41"/>
      <c r="BY169" s="68"/>
      <c r="BZ169" s="41"/>
      <c r="CA169" s="41"/>
      <c r="CB169" s="69"/>
      <c r="CC169" s="46"/>
      <c r="CD169" s="41"/>
      <c r="CE169" s="68"/>
      <c r="CF169" s="41"/>
      <c r="CG169" s="41"/>
      <c r="CH169" s="69"/>
      <c r="CI169" s="41"/>
      <c r="CJ169" s="41"/>
      <c r="CK169" s="68"/>
      <c r="CL169" s="41"/>
      <c r="CM169" s="41"/>
      <c r="CN169" s="69"/>
      <c r="CO169" s="41"/>
      <c r="CP169" s="41"/>
      <c r="CQ169" s="68"/>
      <c r="CR169" s="41"/>
      <c r="CS169" s="41"/>
      <c r="CT169" s="69"/>
      <c r="CU169" s="41"/>
      <c r="CV169" s="41"/>
      <c r="CW169" s="68"/>
      <c r="CX169" s="41"/>
      <c r="CY169" s="41"/>
      <c r="CZ169" s="69"/>
      <c r="DA169" s="41"/>
      <c r="DB169" s="41"/>
      <c r="DC169" s="68"/>
      <c r="DD169" s="41"/>
      <c r="DE169" s="41"/>
      <c r="DF169" s="69"/>
      <c r="DG169" s="41"/>
      <c r="DH169" s="86"/>
      <c r="DI169" s="69">
        <v>0</v>
      </c>
      <c r="DJ169" s="46"/>
      <c r="DK169" s="41"/>
      <c r="DL169" s="68">
        <v>0</v>
      </c>
    </row>
    <row r="170" spans="1:116">
      <c r="A170" s="53" t="s">
        <v>301</v>
      </c>
      <c r="B170" s="40">
        <v>3</v>
      </c>
      <c r="C170" s="53" t="s">
        <v>299</v>
      </c>
      <c r="D170" s="54">
        <v>1</v>
      </c>
      <c r="E170" s="56">
        <v>7</v>
      </c>
      <c r="F170" s="59">
        <v>42.804850000000002</v>
      </c>
      <c r="G170" s="68">
        <f t="shared" si="2"/>
        <v>0</v>
      </c>
      <c r="H170" s="47">
        <v>42.804850000000002</v>
      </c>
      <c r="I170" s="69">
        <v>42.8</v>
      </c>
      <c r="J170" s="41"/>
      <c r="K170" s="41"/>
      <c r="L170" s="41"/>
      <c r="M170" s="69"/>
      <c r="N170" s="41"/>
      <c r="O170" s="41"/>
      <c r="P170" s="41"/>
      <c r="Q170" s="68"/>
      <c r="R170" s="41"/>
      <c r="S170" s="41"/>
      <c r="T170" s="41"/>
      <c r="U170" s="69"/>
      <c r="V170" s="41"/>
      <c r="W170" s="41"/>
      <c r="X170" s="68"/>
      <c r="Y170" s="41"/>
      <c r="Z170" s="41"/>
      <c r="AA170" s="41"/>
      <c r="AB170" s="69"/>
      <c r="AC170" s="41"/>
      <c r="AD170" s="41"/>
      <c r="AE170" s="41"/>
      <c r="AF170" s="68"/>
      <c r="AG170" s="41"/>
      <c r="AH170" s="41"/>
      <c r="AI170" s="41"/>
      <c r="AJ170" s="41"/>
      <c r="AK170" s="69"/>
      <c r="AL170" s="46"/>
      <c r="AM170" s="41"/>
      <c r="AN170" s="41"/>
      <c r="AO170" s="68"/>
      <c r="AP170" s="41"/>
      <c r="AQ170" s="41"/>
      <c r="AR170" s="69"/>
      <c r="AS170" s="46"/>
      <c r="AT170" s="41"/>
      <c r="AU170" s="68"/>
      <c r="AV170" s="41"/>
      <c r="AW170" s="41"/>
      <c r="AX170" s="69"/>
      <c r="AY170" s="41"/>
      <c r="AZ170" s="41"/>
      <c r="BA170" s="68"/>
      <c r="BB170" s="41"/>
      <c r="BC170" s="41"/>
      <c r="BD170" s="69"/>
      <c r="BE170" s="46"/>
      <c r="BF170" s="41"/>
      <c r="BG170" s="68"/>
      <c r="BH170" s="41"/>
      <c r="BI170" s="41"/>
      <c r="BJ170" s="69"/>
      <c r="BK170" s="46"/>
      <c r="BL170" s="41"/>
      <c r="BM170" s="68"/>
      <c r="BN170" s="41"/>
      <c r="BO170" s="41"/>
      <c r="BP170" s="69"/>
      <c r="BQ170" s="41"/>
      <c r="BR170" s="41"/>
      <c r="BS170" s="68"/>
      <c r="BT170" s="41"/>
      <c r="BU170" s="41"/>
      <c r="BV170" s="69"/>
      <c r="BW170" s="46"/>
      <c r="BX170" s="41"/>
      <c r="BY170" s="68"/>
      <c r="BZ170" s="41"/>
      <c r="CA170" s="41"/>
      <c r="CB170" s="69"/>
      <c r="CC170" s="46"/>
      <c r="CD170" s="41"/>
      <c r="CE170" s="68"/>
      <c r="CF170" s="41"/>
      <c r="CG170" s="41"/>
      <c r="CH170" s="69"/>
      <c r="CI170" s="41"/>
      <c r="CJ170" s="41"/>
      <c r="CK170" s="68"/>
      <c r="CL170" s="41"/>
      <c r="CM170" s="41"/>
      <c r="CN170" s="69"/>
      <c r="CO170" s="41"/>
      <c r="CP170" s="41"/>
      <c r="CQ170" s="68"/>
      <c r="CR170" s="41"/>
      <c r="CS170" s="41"/>
      <c r="CT170" s="69"/>
      <c r="CU170" s="41"/>
      <c r="CV170" s="41"/>
      <c r="CW170" s="68"/>
      <c r="CX170" s="41"/>
      <c r="CY170" s="41"/>
      <c r="CZ170" s="69"/>
      <c r="DA170" s="41"/>
      <c r="DB170" s="41"/>
      <c r="DC170" s="68"/>
      <c r="DD170" s="41"/>
      <c r="DE170" s="41"/>
      <c r="DF170" s="69"/>
      <c r="DG170" s="41" t="s">
        <v>405</v>
      </c>
      <c r="DH170" s="86" t="s">
        <v>315</v>
      </c>
      <c r="DI170" s="69">
        <v>42800</v>
      </c>
      <c r="DJ170" s="46"/>
      <c r="DK170" s="41"/>
      <c r="DL170" s="68">
        <v>0</v>
      </c>
    </row>
    <row r="171" spans="1:116">
      <c r="A171" s="53" t="s">
        <v>301</v>
      </c>
      <c r="B171" s="40">
        <v>3</v>
      </c>
      <c r="C171" s="53" t="s">
        <v>299</v>
      </c>
      <c r="D171" s="54">
        <v>2</v>
      </c>
      <c r="E171" s="56">
        <v>7</v>
      </c>
      <c r="F171" s="59">
        <v>46.401644000000005</v>
      </c>
      <c r="G171" s="68">
        <f t="shared" si="2"/>
        <v>3.4802900000000001</v>
      </c>
      <c r="H171" s="47">
        <v>42.921354000000008</v>
      </c>
      <c r="I171" s="69">
        <v>46.4</v>
      </c>
      <c r="J171" s="41"/>
      <c r="K171" s="41"/>
      <c r="L171" s="41"/>
      <c r="M171" s="69"/>
      <c r="N171" s="41"/>
      <c r="O171" s="41"/>
      <c r="P171" s="41"/>
      <c r="Q171" s="68"/>
      <c r="R171" s="41"/>
      <c r="S171" s="41"/>
      <c r="T171" s="41"/>
      <c r="U171" s="69"/>
      <c r="V171" s="41"/>
      <c r="W171" s="41"/>
      <c r="X171" s="68"/>
      <c r="Y171" s="41"/>
      <c r="Z171" s="41"/>
      <c r="AA171" s="41"/>
      <c r="AB171" s="69"/>
      <c r="AC171" s="41"/>
      <c r="AD171" s="41"/>
      <c r="AE171" s="41"/>
      <c r="AF171" s="68"/>
      <c r="AG171" s="41"/>
      <c r="AH171" s="41"/>
      <c r="AI171" s="41"/>
      <c r="AJ171" s="41"/>
      <c r="AK171" s="69"/>
      <c r="AL171" s="46"/>
      <c r="AM171" s="41"/>
      <c r="AN171" s="41"/>
      <c r="AO171" s="68"/>
      <c r="AP171" s="41"/>
      <c r="AQ171" s="41"/>
      <c r="AR171" s="69"/>
      <c r="AS171" s="46"/>
      <c r="AT171" s="41"/>
      <c r="AU171" s="68"/>
      <c r="AV171" s="41"/>
      <c r="AW171" s="41"/>
      <c r="AX171" s="69"/>
      <c r="AY171" s="41"/>
      <c r="AZ171" s="41"/>
      <c r="BA171" s="68"/>
      <c r="BB171" s="41"/>
      <c r="BC171" s="41"/>
      <c r="BD171" s="69"/>
      <c r="BE171" s="46"/>
      <c r="BF171" s="41"/>
      <c r="BG171" s="68"/>
      <c r="BH171" s="41"/>
      <c r="BI171" s="41"/>
      <c r="BJ171" s="69"/>
      <c r="BK171" s="46"/>
      <c r="BL171" s="41"/>
      <c r="BM171" s="68"/>
      <c r="BN171" s="41"/>
      <c r="BO171" s="41"/>
      <c r="BP171" s="69"/>
      <c r="BQ171" s="41"/>
      <c r="BR171" s="41"/>
      <c r="BS171" s="68"/>
      <c r="BT171" s="41"/>
      <c r="BU171" s="41"/>
      <c r="BV171" s="69"/>
      <c r="BW171" s="46"/>
      <c r="BX171" s="41"/>
      <c r="BY171" s="68"/>
      <c r="BZ171" s="41"/>
      <c r="CA171" s="41"/>
      <c r="CB171" s="69"/>
      <c r="CC171" s="46"/>
      <c r="CD171" s="41"/>
      <c r="CE171" s="68"/>
      <c r="CF171" s="41"/>
      <c r="CG171" s="41"/>
      <c r="CH171" s="69"/>
      <c r="CI171" s="41"/>
      <c r="CJ171" s="41"/>
      <c r="CK171" s="68"/>
      <c r="CL171" s="41"/>
      <c r="CM171" s="41"/>
      <c r="CN171" s="69"/>
      <c r="CO171" s="41"/>
      <c r="CP171" s="41"/>
      <c r="CQ171" s="68"/>
      <c r="CR171" s="41"/>
      <c r="CS171" s="41"/>
      <c r="CT171" s="69"/>
      <c r="CU171" s="41"/>
      <c r="CV171" s="41"/>
      <c r="CW171" s="68"/>
      <c r="CX171" s="41"/>
      <c r="CY171" s="41"/>
      <c r="CZ171" s="69"/>
      <c r="DA171" s="41"/>
      <c r="DB171" s="41"/>
      <c r="DC171" s="68"/>
      <c r="DD171" s="41"/>
      <c r="DE171" s="41"/>
      <c r="DF171" s="69"/>
      <c r="DG171" s="41" t="s">
        <v>407</v>
      </c>
      <c r="DH171" s="86" t="s">
        <v>305</v>
      </c>
      <c r="DI171" s="69">
        <v>46400</v>
      </c>
      <c r="DJ171" s="46" t="s">
        <v>362</v>
      </c>
      <c r="DK171" s="41" t="s">
        <v>431</v>
      </c>
      <c r="DL171" s="68">
        <v>3480.29</v>
      </c>
    </row>
    <row r="172" spans="1:116" ht="34.5">
      <c r="A172" s="53" t="s">
        <v>301</v>
      </c>
      <c r="B172" s="40">
        <v>3</v>
      </c>
      <c r="C172" s="53" t="s">
        <v>299</v>
      </c>
      <c r="D172" s="54">
        <v>3</v>
      </c>
      <c r="E172" s="56">
        <v>7</v>
      </c>
      <c r="F172" s="59">
        <v>45.114532000000004</v>
      </c>
      <c r="G172" s="68">
        <f t="shared" si="2"/>
        <v>0</v>
      </c>
      <c r="H172" s="47">
        <v>45.114532000000004</v>
      </c>
      <c r="I172" s="69">
        <v>45</v>
      </c>
      <c r="J172" s="41"/>
      <c r="K172" s="41"/>
      <c r="L172" s="41"/>
      <c r="M172" s="69"/>
      <c r="N172" s="41"/>
      <c r="O172" s="41"/>
      <c r="P172" s="41"/>
      <c r="Q172" s="68"/>
      <c r="R172" s="41"/>
      <c r="S172" s="41"/>
      <c r="T172" s="41"/>
      <c r="U172" s="69"/>
      <c r="V172" s="41"/>
      <c r="W172" s="41"/>
      <c r="X172" s="68"/>
      <c r="Y172" s="41"/>
      <c r="Z172" s="41"/>
      <c r="AA172" s="41"/>
      <c r="AB172" s="69"/>
      <c r="AC172" s="41"/>
      <c r="AD172" s="41"/>
      <c r="AE172" s="41"/>
      <c r="AF172" s="68"/>
      <c r="AG172" s="41"/>
      <c r="AH172" s="41"/>
      <c r="AI172" s="41"/>
      <c r="AJ172" s="41"/>
      <c r="AK172" s="69"/>
      <c r="AL172" s="46"/>
      <c r="AM172" s="41"/>
      <c r="AN172" s="41"/>
      <c r="AO172" s="68"/>
      <c r="AP172" s="41"/>
      <c r="AQ172" s="41"/>
      <c r="AR172" s="69"/>
      <c r="AS172" s="46"/>
      <c r="AT172" s="41"/>
      <c r="AU172" s="68"/>
      <c r="AV172" s="41"/>
      <c r="AW172" s="41"/>
      <c r="AX172" s="69"/>
      <c r="AY172" s="41"/>
      <c r="AZ172" s="41"/>
      <c r="BA172" s="68"/>
      <c r="BB172" s="41"/>
      <c r="BC172" s="41"/>
      <c r="BD172" s="69"/>
      <c r="BE172" s="46"/>
      <c r="BF172" s="41"/>
      <c r="BG172" s="68"/>
      <c r="BH172" s="41"/>
      <c r="BI172" s="41"/>
      <c r="BJ172" s="69"/>
      <c r="BK172" s="46"/>
      <c r="BL172" s="41"/>
      <c r="BM172" s="68"/>
      <c r="BN172" s="41"/>
      <c r="BO172" s="41"/>
      <c r="BP172" s="69"/>
      <c r="BQ172" s="41"/>
      <c r="BR172" s="41"/>
      <c r="BS172" s="68"/>
      <c r="BT172" s="41"/>
      <c r="BU172" s="41"/>
      <c r="BV172" s="69"/>
      <c r="BW172" s="46"/>
      <c r="BX172" s="41"/>
      <c r="BY172" s="68"/>
      <c r="BZ172" s="41"/>
      <c r="CA172" s="41"/>
      <c r="CB172" s="69"/>
      <c r="CC172" s="46"/>
      <c r="CD172" s="41"/>
      <c r="CE172" s="68"/>
      <c r="CF172" s="41" t="s">
        <v>403</v>
      </c>
      <c r="CG172" s="85" t="s">
        <v>316</v>
      </c>
      <c r="CH172" s="69">
        <v>25000</v>
      </c>
      <c r="CI172" s="41"/>
      <c r="CJ172" s="41"/>
      <c r="CK172" s="68"/>
      <c r="CL172" s="41"/>
      <c r="CM172" s="41"/>
      <c r="CN172" s="69"/>
      <c r="CO172" s="41"/>
      <c r="CP172" s="41"/>
      <c r="CQ172" s="68"/>
      <c r="CR172" s="41"/>
      <c r="CS172" s="41"/>
      <c r="CT172" s="69"/>
      <c r="CU172" s="41"/>
      <c r="CV172" s="41"/>
      <c r="CW172" s="68"/>
      <c r="CX172" s="41"/>
      <c r="CY172" s="41"/>
      <c r="CZ172" s="69"/>
      <c r="DA172" s="41"/>
      <c r="DB172" s="41"/>
      <c r="DC172" s="68"/>
      <c r="DD172" s="41"/>
      <c r="DE172" s="41"/>
      <c r="DF172" s="69"/>
      <c r="DG172" s="41" t="s">
        <v>417</v>
      </c>
      <c r="DH172" s="89" t="s">
        <v>427</v>
      </c>
      <c r="DI172" s="69">
        <v>20000</v>
      </c>
      <c r="DJ172" s="46"/>
      <c r="DK172" s="41"/>
      <c r="DL172" s="68">
        <v>0</v>
      </c>
    </row>
    <row r="173" spans="1:116">
      <c r="A173" s="53" t="s">
        <v>301</v>
      </c>
      <c r="B173" s="40">
        <v>3</v>
      </c>
      <c r="C173" s="53" t="s">
        <v>299</v>
      </c>
      <c r="D173" s="54">
        <v>4</v>
      </c>
      <c r="E173" s="56">
        <v>7</v>
      </c>
      <c r="F173" s="59">
        <v>9.1465920000000001</v>
      </c>
      <c r="G173" s="68">
        <f t="shared" si="2"/>
        <v>0</v>
      </c>
      <c r="H173" s="47">
        <v>9.1465920000000001</v>
      </c>
      <c r="I173" s="69">
        <v>9.15</v>
      </c>
      <c r="J173" s="41"/>
      <c r="K173" s="41"/>
      <c r="L173" s="41"/>
      <c r="M173" s="69"/>
      <c r="N173" s="41"/>
      <c r="O173" s="41"/>
      <c r="P173" s="41"/>
      <c r="Q173" s="68"/>
      <c r="R173" s="41"/>
      <c r="S173" s="41"/>
      <c r="T173" s="41"/>
      <c r="U173" s="69"/>
      <c r="V173" s="41"/>
      <c r="W173" s="41"/>
      <c r="X173" s="68"/>
      <c r="Y173" s="41"/>
      <c r="Z173" s="41"/>
      <c r="AA173" s="41"/>
      <c r="AB173" s="69"/>
      <c r="AC173" s="41"/>
      <c r="AD173" s="41"/>
      <c r="AE173" s="41"/>
      <c r="AF173" s="68"/>
      <c r="AG173" s="41"/>
      <c r="AH173" s="41"/>
      <c r="AI173" s="41"/>
      <c r="AJ173" s="41"/>
      <c r="AK173" s="69"/>
      <c r="AL173" s="46"/>
      <c r="AM173" s="41"/>
      <c r="AN173" s="41"/>
      <c r="AO173" s="68"/>
      <c r="AP173" s="41"/>
      <c r="AQ173" s="41"/>
      <c r="AR173" s="69"/>
      <c r="AS173" s="46"/>
      <c r="AT173" s="41"/>
      <c r="AU173" s="68"/>
      <c r="AV173" s="41"/>
      <c r="AW173" s="41"/>
      <c r="AX173" s="69"/>
      <c r="AY173" s="41"/>
      <c r="AZ173" s="41"/>
      <c r="BA173" s="68"/>
      <c r="BB173" s="41"/>
      <c r="BC173" s="41"/>
      <c r="BD173" s="69"/>
      <c r="BE173" s="46"/>
      <c r="BF173" s="41"/>
      <c r="BG173" s="68"/>
      <c r="BH173" s="41"/>
      <c r="BI173" s="41"/>
      <c r="BJ173" s="69"/>
      <c r="BK173" s="46"/>
      <c r="BL173" s="41"/>
      <c r="BM173" s="68"/>
      <c r="BN173" s="41"/>
      <c r="BO173" s="41"/>
      <c r="BP173" s="69"/>
      <c r="BQ173" s="41"/>
      <c r="BR173" s="41"/>
      <c r="BS173" s="68"/>
      <c r="BT173" s="41"/>
      <c r="BU173" s="41"/>
      <c r="BV173" s="69"/>
      <c r="BW173" s="46"/>
      <c r="BX173" s="41"/>
      <c r="BY173" s="68"/>
      <c r="BZ173" s="41"/>
      <c r="CA173" s="41"/>
      <c r="CB173" s="69"/>
      <c r="CC173" s="46"/>
      <c r="CD173" s="41"/>
      <c r="CE173" s="68"/>
      <c r="CF173" s="41"/>
      <c r="CG173" s="41"/>
      <c r="CH173" s="69"/>
      <c r="CI173" s="41"/>
      <c r="CJ173" s="41"/>
      <c r="CK173" s="68"/>
      <c r="CL173" s="41"/>
      <c r="CM173" s="41"/>
      <c r="CN173" s="69"/>
      <c r="CO173" s="41"/>
      <c r="CP173" s="41"/>
      <c r="CQ173" s="68"/>
      <c r="CR173" s="41"/>
      <c r="CS173" s="41"/>
      <c r="CT173" s="69"/>
      <c r="CU173" s="41"/>
      <c r="CV173" s="41"/>
      <c r="CW173" s="68"/>
      <c r="CX173" s="41"/>
      <c r="CY173" s="41"/>
      <c r="CZ173" s="69"/>
      <c r="DA173" s="41"/>
      <c r="DB173" s="41"/>
      <c r="DC173" s="68"/>
      <c r="DD173" s="41"/>
      <c r="DE173" s="41"/>
      <c r="DF173" s="69"/>
      <c r="DG173" s="41"/>
      <c r="DH173" s="86" t="s">
        <v>312</v>
      </c>
      <c r="DI173" s="69">
        <v>9150</v>
      </c>
      <c r="DJ173" s="46"/>
      <c r="DK173" s="41"/>
      <c r="DL173" s="68">
        <v>0</v>
      </c>
    </row>
    <row r="174" spans="1:116">
      <c r="A174" s="53" t="s">
        <v>301</v>
      </c>
      <c r="B174" s="40">
        <v>3</v>
      </c>
      <c r="C174" s="53" t="s">
        <v>299</v>
      </c>
      <c r="D174" s="54">
        <v>5</v>
      </c>
      <c r="E174" s="56">
        <v>7</v>
      </c>
      <c r="F174" s="59">
        <v>13.408580000000001</v>
      </c>
      <c r="G174" s="68">
        <f t="shared" si="2"/>
        <v>0</v>
      </c>
      <c r="H174" s="47">
        <v>13.408580000000001</v>
      </c>
      <c r="I174" s="69">
        <v>13.41</v>
      </c>
      <c r="J174" s="41"/>
      <c r="K174" s="41"/>
      <c r="L174" s="41"/>
      <c r="M174" s="69"/>
      <c r="N174" s="41"/>
      <c r="O174" s="41"/>
      <c r="P174" s="41"/>
      <c r="Q174" s="68"/>
      <c r="R174" s="41"/>
      <c r="S174" s="41"/>
      <c r="T174" s="41"/>
      <c r="U174" s="69"/>
      <c r="V174" s="41"/>
      <c r="W174" s="41"/>
      <c r="X174" s="68"/>
      <c r="Y174" s="41"/>
      <c r="Z174" s="41"/>
      <c r="AA174" s="41"/>
      <c r="AB174" s="69"/>
      <c r="AC174" s="41"/>
      <c r="AD174" s="41"/>
      <c r="AE174" s="41"/>
      <c r="AF174" s="68"/>
      <c r="AG174" s="41"/>
      <c r="AH174" s="41"/>
      <c r="AI174" s="41"/>
      <c r="AJ174" s="41"/>
      <c r="AK174" s="69"/>
      <c r="AL174" s="46"/>
      <c r="AM174" s="41"/>
      <c r="AN174" s="41"/>
      <c r="AO174" s="68"/>
      <c r="AP174" s="41"/>
      <c r="AQ174" s="41"/>
      <c r="AR174" s="69"/>
      <c r="AS174" s="46"/>
      <c r="AT174" s="41"/>
      <c r="AU174" s="68"/>
      <c r="AV174" s="41"/>
      <c r="AW174" s="41"/>
      <c r="AX174" s="69"/>
      <c r="AY174" s="41"/>
      <c r="AZ174" s="41"/>
      <c r="BA174" s="68"/>
      <c r="BB174" s="41"/>
      <c r="BC174" s="41"/>
      <c r="BD174" s="69"/>
      <c r="BE174" s="46"/>
      <c r="BF174" s="41"/>
      <c r="BG174" s="68"/>
      <c r="BH174" s="41"/>
      <c r="BI174" s="41"/>
      <c r="BJ174" s="69"/>
      <c r="BK174" s="46"/>
      <c r="BL174" s="41"/>
      <c r="BM174" s="68"/>
      <c r="BN174" s="41"/>
      <c r="BO174" s="41"/>
      <c r="BP174" s="69"/>
      <c r="BQ174" s="41"/>
      <c r="BR174" s="41"/>
      <c r="BS174" s="68"/>
      <c r="BT174" s="41"/>
      <c r="BU174" s="41"/>
      <c r="BV174" s="69"/>
      <c r="BW174" s="46"/>
      <c r="BX174" s="41"/>
      <c r="BY174" s="68"/>
      <c r="BZ174" s="41"/>
      <c r="CA174" s="41"/>
      <c r="CB174" s="69"/>
      <c r="CC174" s="46"/>
      <c r="CD174" s="41"/>
      <c r="CE174" s="68"/>
      <c r="CF174" s="41"/>
      <c r="CG174" s="41"/>
      <c r="CH174" s="69"/>
      <c r="CI174" s="41"/>
      <c r="CJ174" s="41"/>
      <c r="CK174" s="68"/>
      <c r="CL174" s="41"/>
      <c r="CM174" s="41"/>
      <c r="CN174" s="69"/>
      <c r="CO174" s="41"/>
      <c r="CP174" s="41"/>
      <c r="CQ174" s="68"/>
      <c r="CR174" s="41"/>
      <c r="CS174" s="41"/>
      <c r="CT174" s="69"/>
      <c r="CU174" s="41"/>
      <c r="CV174" s="41"/>
      <c r="CW174" s="68"/>
      <c r="CX174" s="41"/>
      <c r="CY174" s="41"/>
      <c r="CZ174" s="69"/>
      <c r="DA174" s="41"/>
      <c r="DB174" s="41"/>
      <c r="DC174" s="68"/>
      <c r="DD174" s="41"/>
      <c r="DE174" s="41"/>
      <c r="DF174" s="69"/>
      <c r="DG174" s="41"/>
      <c r="DH174" s="86" t="s">
        <v>311</v>
      </c>
      <c r="DI174" s="69">
        <v>13410</v>
      </c>
      <c r="DJ174" s="46"/>
      <c r="DK174" s="41"/>
      <c r="DL174" s="68">
        <v>0</v>
      </c>
    </row>
    <row r="175" spans="1:116">
      <c r="A175" s="53" t="s">
        <v>301</v>
      </c>
      <c r="B175" s="40">
        <v>3</v>
      </c>
      <c r="C175" s="53" t="s">
        <v>299</v>
      </c>
      <c r="D175" s="54">
        <v>6</v>
      </c>
      <c r="E175" s="56">
        <v>7</v>
      </c>
      <c r="F175" s="59">
        <v>20.777366000000001</v>
      </c>
      <c r="G175" s="68">
        <f t="shared" si="2"/>
        <v>0</v>
      </c>
      <c r="H175" s="47">
        <v>20.777366000000001</v>
      </c>
      <c r="I175" s="69">
        <v>20.78</v>
      </c>
      <c r="J175" s="41"/>
      <c r="K175" s="41"/>
      <c r="L175" s="41"/>
      <c r="M175" s="69"/>
      <c r="N175" s="41"/>
      <c r="O175" s="41"/>
      <c r="P175" s="41"/>
      <c r="Q175" s="68"/>
      <c r="R175" s="41"/>
      <c r="S175" s="41"/>
      <c r="T175" s="41"/>
      <c r="U175" s="69"/>
      <c r="V175" s="41"/>
      <c r="W175" s="41"/>
      <c r="X175" s="68"/>
      <c r="Y175" s="41"/>
      <c r="Z175" s="41"/>
      <c r="AA175" s="41"/>
      <c r="AB175" s="69"/>
      <c r="AC175" s="41"/>
      <c r="AD175" s="41"/>
      <c r="AE175" s="41"/>
      <c r="AF175" s="68"/>
      <c r="AG175" s="41"/>
      <c r="AH175" s="41"/>
      <c r="AI175" s="41"/>
      <c r="AJ175" s="41"/>
      <c r="AK175" s="69"/>
      <c r="AL175" s="46"/>
      <c r="AM175" s="41"/>
      <c r="AN175" s="41"/>
      <c r="AO175" s="68"/>
      <c r="AP175" s="41"/>
      <c r="AQ175" s="41"/>
      <c r="AR175" s="69"/>
      <c r="AS175" s="46"/>
      <c r="AT175" s="41"/>
      <c r="AU175" s="68"/>
      <c r="AV175" s="41"/>
      <c r="AW175" s="41"/>
      <c r="AX175" s="69"/>
      <c r="AY175" s="41"/>
      <c r="AZ175" s="41"/>
      <c r="BA175" s="68"/>
      <c r="BB175" s="41"/>
      <c r="BC175" s="41"/>
      <c r="BD175" s="69"/>
      <c r="BE175" s="46"/>
      <c r="BF175" s="41"/>
      <c r="BG175" s="68"/>
      <c r="BH175" s="41"/>
      <c r="BI175" s="41"/>
      <c r="BJ175" s="69"/>
      <c r="BK175" s="46"/>
      <c r="BL175" s="41"/>
      <c r="BM175" s="68"/>
      <c r="BN175" s="41"/>
      <c r="BO175" s="41"/>
      <c r="BP175" s="69"/>
      <c r="BQ175" s="41"/>
      <c r="BR175" s="41"/>
      <c r="BS175" s="68"/>
      <c r="BT175" s="41"/>
      <c r="BU175" s="41"/>
      <c r="BV175" s="69"/>
      <c r="BW175" s="46"/>
      <c r="BX175" s="41"/>
      <c r="BY175" s="68"/>
      <c r="BZ175" s="41"/>
      <c r="CA175" s="41"/>
      <c r="CB175" s="69"/>
      <c r="CC175" s="46"/>
      <c r="CD175" s="41"/>
      <c r="CE175" s="68"/>
      <c r="CF175" s="41"/>
      <c r="CG175" s="41"/>
      <c r="CH175" s="69"/>
      <c r="CI175" s="41"/>
      <c r="CJ175" s="41"/>
      <c r="CK175" s="68"/>
      <c r="CL175" s="41"/>
      <c r="CM175" s="41"/>
      <c r="CN175" s="69"/>
      <c r="CO175" s="41"/>
      <c r="CP175" s="41"/>
      <c r="CQ175" s="68"/>
      <c r="CR175" s="41"/>
      <c r="CS175" s="41"/>
      <c r="CT175" s="69"/>
      <c r="CU175" s="41"/>
      <c r="CV175" s="41"/>
      <c r="CW175" s="68"/>
      <c r="CX175" s="41"/>
      <c r="CY175" s="41"/>
      <c r="CZ175" s="69"/>
      <c r="DA175" s="41"/>
      <c r="DB175" s="41"/>
      <c r="DC175" s="68"/>
      <c r="DD175" s="41"/>
      <c r="DE175" s="41"/>
      <c r="DF175" s="69"/>
      <c r="DG175" s="41"/>
      <c r="DH175" s="86" t="s">
        <v>311</v>
      </c>
      <c r="DI175" s="69">
        <v>20780</v>
      </c>
      <c r="DJ175" s="46"/>
      <c r="DK175" s="41"/>
      <c r="DL175" s="68">
        <v>0</v>
      </c>
    </row>
    <row r="176" spans="1:116" ht="45.75">
      <c r="A176" s="53" t="s">
        <v>301</v>
      </c>
      <c r="B176" s="40">
        <v>3</v>
      </c>
      <c r="C176" s="53" t="s">
        <v>299</v>
      </c>
      <c r="D176" s="54">
        <v>7</v>
      </c>
      <c r="E176" s="56">
        <v>7</v>
      </c>
      <c r="F176" s="59">
        <v>52.554513999999998</v>
      </c>
      <c r="G176" s="68">
        <f t="shared" si="2"/>
        <v>0</v>
      </c>
      <c r="H176" s="47">
        <v>52.554513999999998</v>
      </c>
      <c r="I176" s="69">
        <v>47</v>
      </c>
      <c r="J176" s="41"/>
      <c r="K176" s="41"/>
      <c r="L176" s="41"/>
      <c r="M176" s="69"/>
      <c r="N176" s="41"/>
      <c r="O176" s="41"/>
      <c r="P176" s="41"/>
      <c r="Q176" s="68"/>
      <c r="R176" s="41"/>
      <c r="S176" s="41"/>
      <c r="T176" s="41"/>
      <c r="U176" s="69"/>
      <c r="V176" s="41"/>
      <c r="W176" s="41"/>
      <c r="X176" s="68"/>
      <c r="Y176" s="41"/>
      <c r="Z176" s="41"/>
      <c r="AA176" s="41"/>
      <c r="AB176" s="69"/>
      <c r="AC176" s="41"/>
      <c r="AD176" s="41"/>
      <c r="AE176" s="41"/>
      <c r="AF176" s="68"/>
      <c r="AG176" s="41"/>
      <c r="AH176" s="41"/>
      <c r="AI176" s="41"/>
      <c r="AJ176" s="41"/>
      <c r="AK176" s="69"/>
      <c r="AL176" s="46"/>
      <c r="AM176" s="41"/>
      <c r="AN176" s="41"/>
      <c r="AO176" s="68"/>
      <c r="AP176" s="41"/>
      <c r="AQ176" s="41"/>
      <c r="AR176" s="69"/>
      <c r="AS176" s="46"/>
      <c r="AT176" s="41"/>
      <c r="AU176" s="68"/>
      <c r="AV176" s="41"/>
      <c r="AW176" s="41"/>
      <c r="AX176" s="69"/>
      <c r="AY176" s="41"/>
      <c r="AZ176" s="41"/>
      <c r="BA176" s="68"/>
      <c r="BB176" s="41"/>
      <c r="BC176" s="41"/>
      <c r="BD176" s="69"/>
      <c r="BE176" s="46"/>
      <c r="BF176" s="41"/>
      <c r="BG176" s="68"/>
      <c r="BH176" s="41"/>
      <c r="BI176" s="41"/>
      <c r="BJ176" s="69"/>
      <c r="BK176" s="46"/>
      <c r="BL176" s="41"/>
      <c r="BM176" s="68"/>
      <c r="BN176" s="41"/>
      <c r="BO176" s="41"/>
      <c r="BP176" s="69"/>
      <c r="BQ176" s="41"/>
      <c r="BR176" s="41"/>
      <c r="BS176" s="68"/>
      <c r="BT176" s="41"/>
      <c r="BU176" s="41"/>
      <c r="BV176" s="69"/>
      <c r="BW176" s="46"/>
      <c r="BX176" s="41"/>
      <c r="BY176" s="68"/>
      <c r="BZ176" s="41"/>
      <c r="CA176" s="41"/>
      <c r="CB176" s="69"/>
      <c r="CC176" s="46"/>
      <c r="CD176" s="41"/>
      <c r="CE176" s="68"/>
      <c r="CF176" s="41"/>
      <c r="CG176" s="41"/>
      <c r="CH176" s="69"/>
      <c r="CI176" s="41"/>
      <c r="CJ176" s="41"/>
      <c r="CK176" s="68"/>
      <c r="CL176" s="41"/>
      <c r="CM176" s="41"/>
      <c r="CN176" s="69"/>
      <c r="CO176" s="41"/>
      <c r="CP176" s="41"/>
      <c r="CQ176" s="68"/>
      <c r="CR176" s="41"/>
      <c r="CS176" s="41"/>
      <c r="CT176" s="69"/>
      <c r="CU176" s="41"/>
      <c r="CV176" s="41"/>
      <c r="CW176" s="68"/>
      <c r="CX176" s="41"/>
      <c r="CY176" s="41"/>
      <c r="CZ176" s="69"/>
      <c r="DA176" s="41"/>
      <c r="DB176" s="41"/>
      <c r="DC176" s="68"/>
      <c r="DD176" s="41"/>
      <c r="DE176" s="41"/>
      <c r="DF176" s="69"/>
      <c r="DG176" s="41" t="s">
        <v>417</v>
      </c>
      <c r="DH176" s="85" t="s">
        <v>317</v>
      </c>
      <c r="DI176" s="69">
        <v>47000</v>
      </c>
      <c r="DJ176" s="46"/>
      <c r="DK176" s="41"/>
      <c r="DL176" s="68">
        <v>0</v>
      </c>
    </row>
    <row r="177" spans="1:116">
      <c r="A177" s="48"/>
      <c r="B177" s="48"/>
      <c r="C177" s="58" t="s">
        <v>209</v>
      </c>
      <c r="D177" s="48"/>
      <c r="E177" s="48"/>
      <c r="F177" s="49">
        <f>SUM(F7:F176)</f>
        <v>5803.3001656000033</v>
      </c>
      <c r="G177" s="49">
        <f>SUM(G7:G176)</f>
        <v>1387.3469339999992</v>
      </c>
      <c r="H177" s="49">
        <f>SUM(H7:H176)</f>
        <v>5541.1284156000047</v>
      </c>
      <c r="I177" s="49">
        <f>SUM(I7:I176)</f>
        <v>7236.96</v>
      </c>
      <c r="J177" s="49">
        <f t="shared" ref="J177:U177" si="3">SUM(J7:J176)</f>
        <v>0</v>
      </c>
      <c r="K177" s="49">
        <f t="shared" si="3"/>
        <v>7</v>
      </c>
      <c r="L177" s="49">
        <f t="shared" si="3"/>
        <v>10</v>
      </c>
      <c r="M177" s="49">
        <f t="shared" si="3"/>
        <v>312890</v>
      </c>
      <c r="N177" s="49">
        <f t="shared" si="3"/>
        <v>0</v>
      </c>
      <c r="O177" s="49">
        <f t="shared" si="3"/>
        <v>1</v>
      </c>
      <c r="P177" s="49">
        <f t="shared" si="3"/>
        <v>3</v>
      </c>
      <c r="Q177" s="49">
        <f t="shared" si="3"/>
        <v>53503.61</v>
      </c>
      <c r="R177" s="49">
        <f t="shared" si="3"/>
        <v>0</v>
      </c>
      <c r="S177" s="49">
        <f t="shared" si="3"/>
        <v>24</v>
      </c>
      <c r="T177" s="49">
        <f t="shared" si="3"/>
        <v>9</v>
      </c>
      <c r="U177" s="49">
        <f t="shared" si="3"/>
        <v>43200</v>
      </c>
      <c r="V177" s="49">
        <f t="shared" ref="V177:BA177" si="4">SUM(V7:V176)</f>
        <v>0</v>
      </c>
      <c r="W177" s="49">
        <f t="shared" si="4"/>
        <v>0</v>
      </c>
      <c r="X177" s="49">
        <f t="shared" si="4"/>
        <v>0</v>
      </c>
      <c r="Y177" s="49">
        <f t="shared" si="4"/>
        <v>0</v>
      </c>
      <c r="Z177" s="49">
        <f t="shared" si="4"/>
        <v>0</v>
      </c>
      <c r="AA177" s="49">
        <f t="shared" si="4"/>
        <v>0</v>
      </c>
      <c r="AB177" s="49">
        <f t="shared" si="4"/>
        <v>0</v>
      </c>
      <c r="AC177" s="49">
        <f t="shared" si="4"/>
        <v>0</v>
      </c>
      <c r="AD177" s="49">
        <f t="shared" si="4"/>
        <v>0</v>
      </c>
      <c r="AE177" s="49">
        <f t="shared" si="4"/>
        <v>0</v>
      </c>
      <c r="AF177" s="49">
        <f t="shared" si="4"/>
        <v>0</v>
      </c>
      <c r="AG177" s="49">
        <f t="shared" si="4"/>
        <v>0</v>
      </c>
      <c r="AH177" s="49">
        <f t="shared" si="4"/>
        <v>0</v>
      </c>
      <c r="AI177" s="49">
        <f t="shared" si="4"/>
        <v>3931.2</v>
      </c>
      <c r="AJ177" s="49">
        <f t="shared" si="4"/>
        <v>66.36</v>
      </c>
      <c r="AK177" s="49">
        <f t="shared" si="4"/>
        <v>3360040</v>
      </c>
      <c r="AL177" s="49">
        <f t="shared" si="4"/>
        <v>0</v>
      </c>
      <c r="AM177" s="49">
        <f t="shared" si="4"/>
        <v>1012.707</v>
      </c>
      <c r="AN177" s="49">
        <f t="shared" si="4"/>
        <v>30.4</v>
      </c>
      <c r="AO177" s="49">
        <f t="shared" si="4"/>
        <v>957555.25400000007</v>
      </c>
      <c r="AP177" s="49">
        <f t="shared" si="4"/>
        <v>0</v>
      </c>
      <c r="AQ177" s="49">
        <f t="shared" si="4"/>
        <v>114</v>
      </c>
      <c r="AR177" s="49">
        <f t="shared" si="4"/>
        <v>175230</v>
      </c>
      <c r="AS177" s="49">
        <f t="shared" si="4"/>
        <v>0</v>
      </c>
      <c r="AT177" s="49">
        <f t="shared" si="4"/>
        <v>6.5</v>
      </c>
      <c r="AU177" s="49">
        <f t="shared" si="4"/>
        <v>13709.09</v>
      </c>
      <c r="AV177" s="49">
        <f t="shared" si="4"/>
        <v>0</v>
      </c>
      <c r="AW177" s="49">
        <f t="shared" si="4"/>
        <v>0</v>
      </c>
      <c r="AX177" s="49">
        <f t="shared" si="4"/>
        <v>0</v>
      </c>
      <c r="AY177" s="49">
        <f t="shared" si="4"/>
        <v>0</v>
      </c>
      <c r="AZ177" s="49">
        <f t="shared" si="4"/>
        <v>0</v>
      </c>
      <c r="BA177" s="49">
        <f t="shared" si="4"/>
        <v>0</v>
      </c>
      <c r="BB177" s="49">
        <f t="shared" ref="BB177:CG177" si="5">SUM(BB7:BB176)</f>
        <v>0</v>
      </c>
      <c r="BC177" s="49">
        <f t="shared" si="5"/>
        <v>241</v>
      </c>
      <c r="BD177" s="49">
        <f t="shared" si="5"/>
        <v>513810</v>
      </c>
      <c r="BE177" s="49">
        <f t="shared" si="5"/>
        <v>0</v>
      </c>
      <c r="BF177" s="49">
        <f t="shared" si="5"/>
        <v>30.5</v>
      </c>
      <c r="BG177" s="49">
        <f t="shared" si="5"/>
        <v>64939.75</v>
      </c>
      <c r="BH177" s="49">
        <f t="shared" si="5"/>
        <v>0</v>
      </c>
      <c r="BI177" s="49">
        <f t="shared" si="5"/>
        <v>64</v>
      </c>
      <c r="BJ177" s="49">
        <f t="shared" si="5"/>
        <v>70000</v>
      </c>
      <c r="BK177" s="49">
        <f t="shared" si="5"/>
        <v>0</v>
      </c>
      <c r="BL177" s="49">
        <f t="shared" si="5"/>
        <v>4</v>
      </c>
      <c r="BM177" s="49">
        <f t="shared" si="5"/>
        <v>3958.65</v>
      </c>
      <c r="BN177" s="49">
        <f t="shared" si="5"/>
        <v>0</v>
      </c>
      <c r="BO177" s="49">
        <f t="shared" si="5"/>
        <v>0</v>
      </c>
      <c r="BP177" s="49">
        <f t="shared" si="5"/>
        <v>0</v>
      </c>
      <c r="BQ177" s="49">
        <f t="shared" si="5"/>
        <v>0</v>
      </c>
      <c r="BR177" s="49">
        <f t="shared" si="5"/>
        <v>0</v>
      </c>
      <c r="BS177" s="49">
        <f t="shared" si="5"/>
        <v>0</v>
      </c>
      <c r="BT177" s="49">
        <f t="shared" si="5"/>
        <v>0</v>
      </c>
      <c r="BU177" s="49">
        <f t="shared" si="5"/>
        <v>0</v>
      </c>
      <c r="BV177" s="49">
        <f t="shared" si="5"/>
        <v>0</v>
      </c>
      <c r="BW177" s="49">
        <f t="shared" si="5"/>
        <v>0</v>
      </c>
      <c r="BX177" s="49">
        <f t="shared" si="5"/>
        <v>7</v>
      </c>
      <c r="BY177" s="49">
        <f t="shared" si="5"/>
        <v>19737.189999999999</v>
      </c>
      <c r="BZ177" s="49">
        <f t="shared" si="5"/>
        <v>0</v>
      </c>
      <c r="CA177" s="49">
        <f t="shared" si="5"/>
        <v>37</v>
      </c>
      <c r="CB177" s="49">
        <f t="shared" si="5"/>
        <v>141460</v>
      </c>
      <c r="CC177" s="49">
        <f t="shared" si="5"/>
        <v>0</v>
      </c>
      <c r="CD177" s="49">
        <f t="shared" si="5"/>
        <v>6</v>
      </c>
      <c r="CE177" s="49">
        <f t="shared" si="5"/>
        <v>17576.02</v>
      </c>
      <c r="CF177" s="49">
        <f t="shared" si="5"/>
        <v>0</v>
      </c>
      <c r="CG177" s="49">
        <f t="shared" si="5"/>
        <v>20</v>
      </c>
      <c r="CH177" s="49">
        <f t="shared" ref="CH177:DL177" si="6">SUM(CH7:CH176)</f>
        <v>33000</v>
      </c>
      <c r="CI177" s="49">
        <f t="shared" si="6"/>
        <v>0</v>
      </c>
      <c r="CJ177" s="49">
        <f t="shared" si="6"/>
        <v>0</v>
      </c>
      <c r="CK177" s="49">
        <f t="shared" si="6"/>
        <v>0</v>
      </c>
      <c r="CL177" s="49">
        <f t="shared" si="6"/>
        <v>0</v>
      </c>
      <c r="CM177" s="49">
        <f t="shared" si="6"/>
        <v>2</v>
      </c>
      <c r="CN177" s="49">
        <f t="shared" si="6"/>
        <v>10000</v>
      </c>
      <c r="CO177" s="49">
        <f t="shared" si="6"/>
        <v>0</v>
      </c>
      <c r="CP177" s="49">
        <f t="shared" si="6"/>
        <v>0</v>
      </c>
      <c r="CQ177" s="49">
        <f t="shared" si="6"/>
        <v>0</v>
      </c>
      <c r="CR177" s="49">
        <f t="shared" si="6"/>
        <v>0</v>
      </c>
      <c r="CS177" s="49">
        <f t="shared" si="6"/>
        <v>440</v>
      </c>
      <c r="CT177" s="49">
        <f t="shared" si="6"/>
        <v>680910</v>
      </c>
      <c r="CU177" s="49">
        <f t="shared" si="6"/>
        <v>0</v>
      </c>
      <c r="CV177" s="49">
        <f t="shared" si="6"/>
        <v>0</v>
      </c>
      <c r="CW177" s="49">
        <f t="shared" si="6"/>
        <v>0</v>
      </c>
      <c r="CX177" s="49">
        <f t="shared" si="6"/>
        <v>0</v>
      </c>
      <c r="CY177" s="49">
        <f t="shared" si="6"/>
        <v>0</v>
      </c>
      <c r="CZ177" s="49">
        <f t="shared" si="6"/>
        <v>0</v>
      </c>
      <c r="DA177" s="49">
        <f t="shared" si="6"/>
        <v>0</v>
      </c>
      <c r="DB177" s="49">
        <f t="shared" si="6"/>
        <v>0</v>
      </c>
      <c r="DC177" s="49">
        <f t="shared" si="6"/>
        <v>0</v>
      </c>
      <c r="DD177" s="49">
        <f t="shared" si="6"/>
        <v>0</v>
      </c>
      <c r="DE177" s="49">
        <f t="shared" si="6"/>
        <v>0</v>
      </c>
      <c r="DF177" s="49">
        <f t="shared" si="6"/>
        <v>0</v>
      </c>
      <c r="DG177" s="49">
        <f t="shared" si="6"/>
        <v>0</v>
      </c>
      <c r="DH177" s="49">
        <f t="shared" si="6"/>
        <v>0</v>
      </c>
      <c r="DI177" s="49">
        <f t="shared" si="6"/>
        <v>1896420</v>
      </c>
      <c r="DJ177" s="49">
        <f t="shared" si="6"/>
        <v>0</v>
      </c>
      <c r="DK177" s="49">
        <f t="shared" si="6"/>
        <v>0</v>
      </c>
      <c r="DL177" s="49">
        <f t="shared" si="6"/>
        <v>256367.37</v>
      </c>
    </row>
    <row r="182" spans="1:116" ht="60">
      <c r="A182" s="130" t="s">
        <v>460</v>
      </c>
      <c r="C182" s="752" t="s">
        <v>424</v>
      </c>
      <c r="D182" s="752"/>
    </row>
  </sheetData>
  <autoFilter ref="A5:DL177"/>
  <mergeCells count="154">
    <mergeCell ref="A2:A5"/>
    <mergeCell ref="B2:B5"/>
    <mergeCell ref="C2:C5"/>
    <mergeCell ref="D2:D5"/>
    <mergeCell ref="E2:E5"/>
    <mergeCell ref="F2:F5"/>
    <mergeCell ref="C182:D182"/>
    <mergeCell ref="V3:X3"/>
    <mergeCell ref="Y3:AB3"/>
    <mergeCell ref="R4:R5"/>
    <mergeCell ref="S4:S5"/>
    <mergeCell ref="AC3:AF3"/>
    <mergeCell ref="AG3:AK3"/>
    <mergeCell ref="AL3:AO3"/>
    <mergeCell ref="AP3:AR3"/>
    <mergeCell ref="G2:G5"/>
    <mergeCell ref="H2:H5"/>
    <mergeCell ref="I2:I5"/>
    <mergeCell ref="J3:M3"/>
    <mergeCell ref="N3:Q3"/>
    <mergeCell ref="R3:U3"/>
    <mergeCell ref="J4:J5"/>
    <mergeCell ref="K4:K5"/>
    <mergeCell ref="L4:L5"/>
    <mergeCell ref="M4:M5"/>
    <mergeCell ref="T4:T5"/>
    <mergeCell ref="U4:U5"/>
    <mergeCell ref="V4:V5"/>
    <mergeCell ref="W4:W5"/>
    <mergeCell ref="X4:X5"/>
    <mergeCell ref="Y4:Y5"/>
    <mergeCell ref="N4:N5"/>
    <mergeCell ref="O4:O5"/>
    <mergeCell ref="P4:P5"/>
    <mergeCell ref="Q4:Q5"/>
    <mergeCell ref="BK3:BM3"/>
    <mergeCell ref="BN3:BP3"/>
    <mergeCell ref="BQ3:BS3"/>
    <mergeCell ref="BT3:BV3"/>
    <mergeCell ref="BW3:BY3"/>
    <mergeCell ref="BZ3:CB3"/>
    <mergeCell ref="AS3:AU3"/>
    <mergeCell ref="AV3:AX3"/>
    <mergeCell ref="AY3:BA3"/>
    <mergeCell ref="BB3:BD3"/>
    <mergeCell ref="BE3:BG3"/>
    <mergeCell ref="BH3:BJ3"/>
    <mergeCell ref="CU3:CW3"/>
    <mergeCell ref="CX3:CZ3"/>
    <mergeCell ref="DA3:DC3"/>
    <mergeCell ref="DD3:DF3"/>
    <mergeCell ref="DG3:DI3"/>
    <mergeCell ref="DJ3:DL3"/>
    <mergeCell ref="CC3:CE3"/>
    <mergeCell ref="CF3:CH3"/>
    <mergeCell ref="CI3:CK3"/>
    <mergeCell ref="CL3:CN3"/>
    <mergeCell ref="CO3:CQ3"/>
    <mergeCell ref="CR3:CT3"/>
    <mergeCell ref="AF4:AF5"/>
    <mergeCell ref="AG4:AG5"/>
    <mergeCell ref="AH4:AH5"/>
    <mergeCell ref="AI4:AI5"/>
    <mergeCell ref="AJ4:AJ5"/>
    <mergeCell ref="AK4:AK5"/>
    <mergeCell ref="Z4:Z5"/>
    <mergeCell ref="AA4:AA5"/>
    <mergeCell ref="AB4:AB5"/>
    <mergeCell ref="AC4:AC5"/>
    <mergeCell ref="AD4:AD5"/>
    <mergeCell ref="AE4:AE5"/>
    <mergeCell ref="AR4:AR5"/>
    <mergeCell ref="AS4:AS5"/>
    <mergeCell ref="AT4:AT5"/>
    <mergeCell ref="AU4:AU5"/>
    <mergeCell ref="AV4:AV5"/>
    <mergeCell ref="AW4:AW5"/>
    <mergeCell ref="AL4:AL5"/>
    <mergeCell ref="AM4:AM5"/>
    <mergeCell ref="AN4:AN5"/>
    <mergeCell ref="AO4:AO5"/>
    <mergeCell ref="AP4:AP5"/>
    <mergeCell ref="AQ4:AQ5"/>
    <mergeCell ref="BD4:BD5"/>
    <mergeCell ref="BE4:BE5"/>
    <mergeCell ref="BF4:BF5"/>
    <mergeCell ref="BG4:BG5"/>
    <mergeCell ref="BH4:BH5"/>
    <mergeCell ref="BI4:BI5"/>
    <mergeCell ref="AX4:AX5"/>
    <mergeCell ref="AY4:AY5"/>
    <mergeCell ref="AZ4:AZ5"/>
    <mergeCell ref="BA4:BA5"/>
    <mergeCell ref="BB4:BB5"/>
    <mergeCell ref="BC4:BC5"/>
    <mergeCell ref="BP4:BP5"/>
    <mergeCell ref="BQ4:BQ5"/>
    <mergeCell ref="BR4:BR5"/>
    <mergeCell ref="BS4:BS5"/>
    <mergeCell ref="BT4:BT5"/>
    <mergeCell ref="BU4:BU5"/>
    <mergeCell ref="BJ4:BJ5"/>
    <mergeCell ref="BK4:BK5"/>
    <mergeCell ref="BL4:BL5"/>
    <mergeCell ref="BM4:BM5"/>
    <mergeCell ref="BN4:BN5"/>
    <mergeCell ref="BO4:BO5"/>
    <mergeCell ref="CB4:CB5"/>
    <mergeCell ref="CC4:CC5"/>
    <mergeCell ref="CD4:CD5"/>
    <mergeCell ref="CE4:CE5"/>
    <mergeCell ref="CF4:CF5"/>
    <mergeCell ref="CG4:CG5"/>
    <mergeCell ref="BV4:BV5"/>
    <mergeCell ref="BW4:BW5"/>
    <mergeCell ref="BX4:BX5"/>
    <mergeCell ref="BY4:BY5"/>
    <mergeCell ref="BZ4:BZ5"/>
    <mergeCell ref="CA4:CA5"/>
    <mergeCell ref="CO4:CO5"/>
    <mergeCell ref="CP4:CP5"/>
    <mergeCell ref="CQ4:CQ5"/>
    <mergeCell ref="CR4:CR5"/>
    <mergeCell ref="CS4:CS5"/>
    <mergeCell ref="CH4:CH5"/>
    <mergeCell ref="CI4:CI5"/>
    <mergeCell ref="CJ4:CJ5"/>
    <mergeCell ref="CK4:CK5"/>
    <mergeCell ref="CL4:CL5"/>
    <mergeCell ref="CM4:CM5"/>
    <mergeCell ref="DL4:DL5"/>
    <mergeCell ref="CR2:CW2"/>
    <mergeCell ref="BB2:BG2"/>
    <mergeCell ref="AP2:AU2"/>
    <mergeCell ref="AG2:AO2"/>
    <mergeCell ref="DF4:DF5"/>
    <mergeCell ref="DG4:DG5"/>
    <mergeCell ref="DH4:DH5"/>
    <mergeCell ref="DI4:DI5"/>
    <mergeCell ref="DJ4:DJ5"/>
    <mergeCell ref="DK4:DK5"/>
    <mergeCell ref="CZ4:CZ5"/>
    <mergeCell ref="DA4:DA5"/>
    <mergeCell ref="DB4:DB5"/>
    <mergeCell ref="DC4:DC5"/>
    <mergeCell ref="DD4:DD5"/>
    <mergeCell ref="DE4:DE5"/>
    <mergeCell ref="CT4:CT5"/>
    <mergeCell ref="CU4:CU5"/>
    <mergeCell ref="CV4:CV5"/>
    <mergeCell ref="CW4:CW5"/>
    <mergeCell ref="CX4:CX5"/>
    <mergeCell ref="CY4:CY5"/>
    <mergeCell ref="CN4:CN5"/>
  </mergeCells>
  <pageMargins left="0.19685039370078741" right="0.19685039370078741" top="0.35433070866141736" bottom="0.35433070866141736" header="0.31496062992125984" footer="0.31496062992125984"/>
  <pageSetup paperSize="9" scale="70" orientation="landscape" r:id="rId1"/>
  <colBreaks count="3" manualBreakCount="3">
    <brk id="24" max="1048575" man="1"/>
    <brk id="47" max="1048575" man="1"/>
    <brk id="110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H229"/>
  <sheetViews>
    <sheetView zoomScale="70" zoomScaleNormal="70" workbookViewId="0">
      <pane xSplit="10" ySplit="7" topLeftCell="BT71" activePane="bottomRight" state="frozen"/>
      <selection pane="topRight" activeCell="K1" sqref="K1"/>
      <selection pane="bottomLeft" activeCell="A8" sqref="A8"/>
      <selection pane="bottomRight" activeCell="CA85" sqref="CA85"/>
    </sheetView>
  </sheetViews>
  <sheetFormatPr defaultRowHeight="15"/>
  <cols>
    <col min="1" max="1" width="4.7109375" customWidth="1"/>
    <col min="2" max="2" width="10.28515625" bestFit="1" customWidth="1"/>
    <col min="3" max="3" width="5.5703125" bestFit="1" customWidth="1"/>
    <col min="4" max="4" width="34.7109375" bestFit="1" customWidth="1"/>
    <col min="5" max="5" width="6.7109375" bestFit="1" customWidth="1"/>
    <col min="6" max="6" width="11.42578125" customWidth="1"/>
    <col min="7" max="7" width="11.28515625" customWidth="1"/>
    <col min="8" max="8" width="13.7109375" bestFit="1" customWidth="1"/>
    <col min="9" max="9" width="9.7109375" customWidth="1"/>
    <col min="10" max="10" width="9.28515625" customWidth="1"/>
    <col min="11" max="11" width="5.7109375" customWidth="1"/>
    <col min="12" max="12" width="5.7109375" bestFit="1" customWidth="1"/>
    <col min="13" max="13" width="9.7109375" bestFit="1" customWidth="1"/>
    <col min="14" max="14" width="5.42578125" bestFit="1" customWidth="1"/>
    <col min="15" max="15" width="4.5703125" bestFit="1" customWidth="1"/>
    <col min="16" max="16" width="4.5703125" customWidth="1"/>
    <col min="17" max="17" width="9.28515625" bestFit="1" customWidth="1"/>
    <col min="18" max="18" width="6.42578125" customWidth="1"/>
    <col min="19" max="19" width="5.7109375" bestFit="1" customWidth="1"/>
    <col min="20" max="20" width="7.28515625" customWidth="1"/>
    <col min="21" max="21" width="4" customWidth="1"/>
    <col min="22" max="22" width="4.5703125" bestFit="1" customWidth="1"/>
    <col min="23" max="23" width="7.28515625" bestFit="1" customWidth="1"/>
    <col min="24" max="24" width="5.42578125" bestFit="1" customWidth="1"/>
    <col min="25" max="26" width="4.5703125" bestFit="1" customWidth="1"/>
    <col min="27" max="27" width="5.42578125" bestFit="1" customWidth="1"/>
    <col min="28" max="29" width="4.5703125" bestFit="1" customWidth="1"/>
    <col min="30" max="30" width="6.28515625" customWidth="1"/>
    <col min="31" max="31" width="8.28515625" customWidth="1"/>
    <col min="32" max="32" width="7.7109375" bestFit="1" customWidth="1"/>
    <col min="33" max="33" width="11" bestFit="1" customWidth="1"/>
    <col min="34" max="34" width="5.42578125" bestFit="1" customWidth="1"/>
    <col min="35" max="35" width="6.28515625" bestFit="1" customWidth="1"/>
    <col min="36" max="36" width="6.28515625" customWidth="1"/>
    <col min="37" max="37" width="9.42578125" bestFit="1" customWidth="1"/>
    <col min="38" max="38" width="5.42578125" bestFit="1" customWidth="1"/>
    <col min="39" max="39" width="5.7109375" bestFit="1" customWidth="1"/>
    <col min="40" max="40" width="8.7109375" bestFit="1" customWidth="1"/>
    <col min="41" max="41" width="5.42578125" bestFit="1" customWidth="1"/>
    <col min="42" max="42" width="4.5703125" bestFit="1" customWidth="1"/>
    <col min="43" max="43" width="8.42578125" bestFit="1" customWidth="1"/>
    <col min="44" max="44" width="5.42578125" bestFit="1" customWidth="1"/>
    <col min="45" max="46" width="4.5703125" bestFit="1" customWidth="1"/>
    <col min="47" max="47" width="5.42578125" bestFit="1" customWidth="1"/>
    <col min="48" max="49" width="4.5703125" bestFit="1" customWidth="1"/>
    <col min="50" max="50" width="5.42578125" bestFit="1" customWidth="1"/>
    <col min="51" max="51" width="6.7109375" bestFit="1" customWidth="1"/>
    <col min="52" max="52" width="9.7109375" bestFit="1" customWidth="1"/>
    <col min="53" max="53" width="5.42578125" bestFit="1" customWidth="1"/>
    <col min="54" max="54" width="5.7109375" bestFit="1" customWidth="1"/>
    <col min="55" max="55" width="9.42578125" bestFit="1" customWidth="1"/>
    <col min="56" max="56" width="5.42578125" bestFit="1" customWidth="1"/>
    <col min="57" max="57" width="5.7109375" bestFit="1" customWidth="1"/>
    <col min="58" max="58" width="8.7109375" bestFit="1" customWidth="1"/>
    <col min="59" max="59" width="5.42578125" bestFit="1" customWidth="1"/>
    <col min="60" max="60" width="5.7109375" bestFit="1" customWidth="1"/>
    <col min="61" max="61" width="9.42578125" bestFit="1" customWidth="1"/>
    <col min="62" max="62" width="5.42578125" bestFit="1" customWidth="1"/>
    <col min="63" max="64" width="4.5703125" bestFit="1" customWidth="1"/>
    <col min="65" max="65" width="5.42578125" bestFit="1" customWidth="1"/>
    <col min="66" max="67" width="4.5703125" bestFit="1" customWidth="1"/>
    <col min="68" max="68" width="5.42578125" bestFit="1" customWidth="1"/>
    <col min="69" max="70" width="4.5703125" bestFit="1" customWidth="1"/>
    <col min="71" max="71" width="5.42578125" bestFit="1" customWidth="1"/>
    <col min="72" max="72" width="4.5703125" bestFit="1" customWidth="1"/>
    <col min="73" max="73" width="4.5703125" customWidth="1"/>
    <col min="74" max="74" width="5.42578125" bestFit="1" customWidth="1"/>
    <col min="75" max="75" width="8.42578125" customWidth="1"/>
    <col min="76" max="76" width="9.7109375" bestFit="1" customWidth="1"/>
    <col min="77" max="77" width="5.42578125" bestFit="1" customWidth="1"/>
    <col min="78" max="78" width="4.5703125" bestFit="1" customWidth="1"/>
    <col min="79" max="79" width="8.7109375" bestFit="1" customWidth="1"/>
    <col min="80" max="80" width="5.42578125" bestFit="1" customWidth="1"/>
    <col min="81" max="81" width="6.7109375" bestFit="1" customWidth="1"/>
    <col min="82" max="82" width="9.7109375" bestFit="1" customWidth="1"/>
    <col min="83" max="83" width="5.42578125" bestFit="1" customWidth="1"/>
    <col min="84" max="84" width="5.7109375" bestFit="1" customWidth="1"/>
    <col min="85" max="85" width="8.42578125" bestFit="1" customWidth="1"/>
    <col min="86" max="86" width="5.42578125" bestFit="1" customWidth="1"/>
    <col min="87" max="88" width="4.5703125" bestFit="1" customWidth="1"/>
    <col min="89" max="89" width="5.42578125" bestFit="1" customWidth="1"/>
    <col min="90" max="91" width="4.5703125" bestFit="1" customWidth="1"/>
    <col min="92" max="92" width="5.42578125" bestFit="1" customWidth="1"/>
    <col min="93" max="93" width="6.7109375" bestFit="1" customWidth="1"/>
    <col min="94" max="94" width="9.7109375" bestFit="1" customWidth="1"/>
    <col min="95" max="95" width="5.42578125" bestFit="1" customWidth="1"/>
    <col min="96" max="97" width="4.5703125" bestFit="1" customWidth="1"/>
    <col min="98" max="98" width="5.42578125" bestFit="1" customWidth="1"/>
    <col min="99" max="100" width="4.5703125" bestFit="1" customWidth="1"/>
    <col min="101" max="101" width="5.42578125" bestFit="1" customWidth="1"/>
    <col min="102" max="103" width="4.5703125" bestFit="1" customWidth="1"/>
    <col min="104" max="104" width="5.42578125" bestFit="1" customWidth="1"/>
    <col min="105" max="105" width="9.28515625" customWidth="1"/>
    <col min="106" max="106" width="4.5703125" bestFit="1" customWidth="1"/>
    <col min="107" max="107" width="5.42578125" bestFit="1" customWidth="1"/>
    <col min="108" max="108" width="16.42578125" customWidth="1"/>
    <col min="109" max="109" width="11" bestFit="1" customWidth="1"/>
    <col min="110" max="110" width="5.42578125" bestFit="1" customWidth="1"/>
    <col min="111" max="111" width="16.42578125" customWidth="1"/>
    <col min="112" max="112" width="9.7109375" bestFit="1" customWidth="1"/>
  </cols>
  <sheetData>
    <row r="1" spans="1:112" ht="14.65" customHeight="1">
      <c r="A1" s="753" t="s">
        <v>0</v>
      </c>
      <c r="B1" s="753"/>
      <c r="C1" s="753"/>
      <c r="D1" s="753"/>
      <c r="E1" s="753"/>
    </row>
    <row r="2" spans="1:112">
      <c r="A2" s="754"/>
      <c r="B2" s="754"/>
      <c r="C2" s="754"/>
      <c r="D2" s="754"/>
      <c r="E2" s="754"/>
    </row>
    <row r="3" spans="1:112" ht="33.6" customHeight="1">
      <c r="A3" s="148" t="s">
        <v>1</v>
      </c>
      <c r="B3" s="148" t="s">
        <v>2</v>
      </c>
      <c r="C3" s="148" t="s">
        <v>3</v>
      </c>
      <c r="D3" s="148" t="s">
        <v>4</v>
      </c>
      <c r="E3" s="148" t="s">
        <v>5</v>
      </c>
      <c r="F3" s="148" t="s">
        <v>6</v>
      </c>
      <c r="G3" s="145" t="s">
        <v>207</v>
      </c>
      <c r="H3" s="142" t="s">
        <v>55</v>
      </c>
      <c r="I3" s="139" t="s">
        <v>8</v>
      </c>
      <c r="J3" s="136" t="s">
        <v>7</v>
      </c>
      <c r="K3" s="708" t="s">
        <v>9</v>
      </c>
      <c r="L3" s="714"/>
      <c r="M3" s="714"/>
      <c r="N3" s="714"/>
      <c r="O3" s="714"/>
      <c r="P3" s="714"/>
      <c r="Q3" s="715"/>
      <c r="R3" s="708" t="s">
        <v>10</v>
      </c>
      <c r="S3" s="714"/>
      <c r="T3" s="714"/>
      <c r="U3" s="714"/>
      <c r="V3" s="714"/>
      <c r="W3" s="715"/>
      <c r="X3" s="708" t="s">
        <v>11</v>
      </c>
      <c r="Y3" s="714"/>
      <c r="Z3" s="714"/>
      <c r="AA3" s="714"/>
      <c r="AB3" s="714"/>
      <c r="AC3" s="715"/>
      <c r="AD3" s="708" t="s">
        <v>12</v>
      </c>
      <c r="AE3" s="714"/>
      <c r="AF3" s="714"/>
      <c r="AG3" s="714"/>
      <c r="AH3" s="714"/>
      <c r="AI3" s="714"/>
      <c r="AJ3" s="714"/>
      <c r="AK3" s="715"/>
      <c r="AL3" s="708" t="s">
        <v>13</v>
      </c>
      <c r="AM3" s="714"/>
      <c r="AN3" s="714"/>
      <c r="AO3" s="714"/>
      <c r="AP3" s="714"/>
      <c r="AQ3" s="715"/>
      <c r="AR3" s="708" t="s">
        <v>14</v>
      </c>
      <c r="AS3" s="714"/>
      <c r="AT3" s="714"/>
      <c r="AU3" s="714"/>
      <c r="AV3" s="714"/>
      <c r="AW3" s="715"/>
      <c r="AX3" s="708" t="s">
        <v>15</v>
      </c>
      <c r="AY3" s="714"/>
      <c r="AZ3" s="714"/>
      <c r="BA3" s="714"/>
      <c r="BB3" s="714"/>
      <c r="BC3" s="715"/>
      <c r="BD3" s="708" t="s">
        <v>16</v>
      </c>
      <c r="BE3" s="714"/>
      <c r="BF3" s="714"/>
      <c r="BG3" s="714"/>
      <c r="BH3" s="714"/>
      <c r="BI3" s="715"/>
      <c r="BJ3" s="708" t="s">
        <v>17</v>
      </c>
      <c r="BK3" s="714"/>
      <c r="BL3" s="714"/>
      <c r="BM3" s="714"/>
      <c r="BN3" s="714"/>
      <c r="BO3" s="715"/>
      <c r="BP3" s="708" t="s">
        <v>18</v>
      </c>
      <c r="BQ3" s="714"/>
      <c r="BR3" s="714"/>
      <c r="BS3" s="714"/>
      <c r="BT3" s="714"/>
      <c r="BU3" s="715"/>
      <c r="BV3" s="708" t="s">
        <v>19</v>
      </c>
      <c r="BW3" s="714"/>
      <c r="BX3" s="714"/>
      <c r="BY3" s="714"/>
      <c r="BZ3" s="714"/>
      <c r="CA3" s="715"/>
      <c r="CB3" s="708" t="s">
        <v>20</v>
      </c>
      <c r="CC3" s="714"/>
      <c r="CD3" s="714"/>
      <c r="CE3" s="714"/>
      <c r="CF3" s="714"/>
      <c r="CG3" s="715"/>
      <c r="CH3" s="708" t="s">
        <v>21</v>
      </c>
      <c r="CI3" s="714"/>
      <c r="CJ3" s="714"/>
      <c r="CK3" s="714"/>
      <c r="CL3" s="714"/>
      <c r="CM3" s="715"/>
      <c r="CN3" s="708" t="s">
        <v>22</v>
      </c>
      <c r="CO3" s="714"/>
      <c r="CP3" s="714"/>
      <c r="CQ3" s="714"/>
      <c r="CR3" s="714"/>
      <c r="CS3" s="715"/>
      <c r="CT3" s="708" t="s">
        <v>23</v>
      </c>
      <c r="CU3" s="714"/>
      <c r="CV3" s="714"/>
      <c r="CW3" s="714"/>
      <c r="CX3" s="714"/>
      <c r="CY3" s="715"/>
      <c r="CZ3" s="708" t="s">
        <v>24</v>
      </c>
      <c r="DA3" s="714"/>
      <c r="DB3" s="715"/>
      <c r="DC3" s="708" t="s">
        <v>25</v>
      </c>
      <c r="DD3" s="714"/>
      <c r="DE3" s="714"/>
      <c r="DF3" s="714"/>
      <c r="DG3" s="714"/>
      <c r="DH3" s="715"/>
    </row>
    <row r="4" spans="1:112">
      <c r="A4" s="149"/>
      <c r="B4" s="149"/>
      <c r="C4" s="149"/>
      <c r="D4" s="149"/>
      <c r="E4" s="149"/>
      <c r="F4" s="149"/>
      <c r="G4" s="146"/>
      <c r="H4" s="143"/>
      <c r="I4" s="140"/>
      <c r="J4" s="137"/>
      <c r="K4" s="708" t="s">
        <v>34</v>
      </c>
      <c r="L4" s="714"/>
      <c r="M4" s="715"/>
      <c r="N4" s="708" t="s">
        <v>35</v>
      </c>
      <c r="O4" s="714"/>
      <c r="P4" s="714"/>
      <c r="Q4" s="715"/>
      <c r="R4" s="708" t="s">
        <v>34</v>
      </c>
      <c r="S4" s="714"/>
      <c r="T4" s="715"/>
      <c r="U4" s="708" t="s">
        <v>35</v>
      </c>
      <c r="V4" s="714"/>
      <c r="W4" s="715"/>
      <c r="X4" s="708" t="s">
        <v>34</v>
      </c>
      <c r="Y4" s="714"/>
      <c r="Z4" s="715"/>
      <c r="AA4" s="708" t="s">
        <v>35</v>
      </c>
      <c r="AB4" s="714"/>
      <c r="AC4" s="715"/>
      <c r="AD4" s="708" t="s">
        <v>34</v>
      </c>
      <c r="AE4" s="714"/>
      <c r="AF4" s="714"/>
      <c r="AG4" s="715"/>
      <c r="AH4" s="708" t="s">
        <v>35</v>
      </c>
      <c r="AI4" s="714"/>
      <c r="AJ4" s="714"/>
      <c r="AK4" s="715"/>
      <c r="AL4" s="708" t="s">
        <v>34</v>
      </c>
      <c r="AM4" s="714"/>
      <c r="AN4" s="715"/>
      <c r="AO4" s="708" t="s">
        <v>35</v>
      </c>
      <c r="AP4" s="714"/>
      <c r="AQ4" s="715"/>
      <c r="AR4" s="101" t="s">
        <v>34</v>
      </c>
      <c r="AS4" s="102"/>
      <c r="AT4" s="103"/>
      <c r="AU4" s="101" t="s">
        <v>36</v>
      </c>
      <c r="AV4" s="102"/>
      <c r="AW4" s="103"/>
      <c r="AX4" s="708" t="s">
        <v>34</v>
      </c>
      <c r="AY4" s="714"/>
      <c r="AZ4" s="715"/>
      <c r="BA4" s="708" t="s">
        <v>35</v>
      </c>
      <c r="BB4" s="714"/>
      <c r="BC4" s="715"/>
      <c r="BD4" s="708" t="s">
        <v>34</v>
      </c>
      <c r="BE4" s="714"/>
      <c r="BF4" s="715"/>
      <c r="BG4" s="708" t="s">
        <v>35</v>
      </c>
      <c r="BH4" s="714"/>
      <c r="BI4" s="715"/>
      <c r="BJ4" s="708" t="s">
        <v>34</v>
      </c>
      <c r="BK4" s="714"/>
      <c r="BL4" s="715"/>
      <c r="BM4" s="708" t="s">
        <v>35</v>
      </c>
      <c r="BN4" s="714"/>
      <c r="BO4" s="715"/>
      <c r="BP4" s="708" t="s">
        <v>34</v>
      </c>
      <c r="BQ4" s="714"/>
      <c r="BR4" s="715"/>
      <c r="BS4" s="708" t="s">
        <v>35</v>
      </c>
      <c r="BT4" s="714"/>
      <c r="BU4" s="715"/>
      <c r="BV4" s="708" t="s">
        <v>34</v>
      </c>
      <c r="BW4" s="714"/>
      <c r="BX4" s="715"/>
      <c r="BY4" s="708" t="s">
        <v>35</v>
      </c>
      <c r="BZ4" s="714"/>
      <c r="CA4" s="715"/>
      <c r="CB4" s="708" t="s">
        <v>34</v>
      </c>
      <c r="CC4" s="714"/>
      <c r="CD4" s="715"/>
      <c r="CE4" s="708" t="s">
        <v>35</v>
      </c>
      <c r="CF4" s="714"/>
      <c r="CG4" s="715"/>
      <c r="CH4" s="708" t="s">
        <v>34</v>
      </c>
      <c r="CI4" s="714"/>
      <c r="CJ4" s="715"/>
      <c r="CK4" s="708" t="s">
        <v>35</v>
      </c>
      <c r="CL4" s="714"/>
      <c r="CM4" s="715"/>
      <c r="CN4" s="708" t="s">
        <v>34</v>
      </c>
      <c r="CO4" s="714"/>
      <c r="CP4" s="715"/>
      <c r="CQ4" s="708" t="s">
        <v>35</v>
      </c>
      <c r="CR4" s="714"/>
      <c r="CS4" s="715"/>
      <c r="CT4" s="708" t="s">
        <v>34</v>
      </c>
      <c r="CU4" s="714"/>
      <c r="CV4" s="715"/>
      <c r="CW4" s="708" t="s">
        <v>35</v>
      </c>
      <c r="CX4" s="714"/>
      <c r="CY4" s="715"/>
      <c r="CZ4" s="708" t="s">
        <v>34</v>
      </c>
      <c r="DA4" s="714"/>
      <c r="DB4" s="715"/>
      <c r="DC4" s="708" t="s">
        <v>34</v>
      </c>
      <c r="DD4" s="714"/>
      <c r="DE4" s="715"/>
      <c r="DF4" s="708" t="s">
        <v>35</v>
      </c>
      <c r="DG4" s="714"/>
      <c r="DH4" s="715"/>
    </row>
    <row r="5" spans="1:112">
      <c r="A5" s="149"/>
      <c r="B5" s="149"/>
      <c r="C5" s="149"/>
      <c r="D5" s="149"/>
      <c r="E5" s="149"/>
      <c r="F5" s="149"/>
      <c r="G5" s="146"/>
      <c r="H5" s="143"/>
      <c r="I5" s="140"/>
      <c r="J5" s="137"/>
      <c r="K5" s="635" t="s">
        <v>40</v>
      </c>
      <c r="L5" s="635" t="s">
        <v>41</v>
      </c>
      <c r="M5" s="723" t="s">
        <v>43</v>
      </c>
      <c r="N5" s="635" t="s">
        <v>40</v>
      </c>
      <c r="O5" s="635" t="s">
        <v>41</v>
      </c>
      <c r="P5" s="158"/>
      <c r="Q5" s="721" t="s">
        <v>43</v>
      </c>
      <c r="R5" s="635" t="s">
        <v>40</v>
      </c>
      <c r="S5" s="635" t="s">
        <v>44</v>
      </c>
      <c r="T5" s="642" t="s">
        <v>46</v>
      </c>
      <c r="U5" s="635" t="s">
        <v>40</v>
      </c>
      <c r="V5" s="635" t="s">
        <v>44</v>
      </c>
      <c r="W5" s="756" t="s">
        <v>46</v>
      </c>
      <c r="X5" s="635" t="s">
        <v>40</v>
      </c>
      <c r="Y5" s="635" t="s">
        <v>47</v>
      </c>
      <c r="Z5" s="642" t="s">
        <v>48</v>
      </c>
      <c r="AA5" s="635" t="s">
        <v>40</v>
      </c>
      <c r="AB5" s="635" t="s">
        <v>47</v>
      </c>
      <c r="AC5" s="756" t="s">
        <v>48</v>
      </c>
      <c r="AD5" s="635" t="s">
        <v>40</v>
      </c>
      <c r="AE5" s="602" t="s">
        <v>49</v>
      </c>
      <c r="AF5" s="635" t="s">
        <v>44</v>
      </c>
      <c r="AG5" s="642" t="s">
        <v>48</v>
      </c>
      <c r="AH5" s="635" t="s">
        <v>40</v>
      </c>
      <c r="AI5" s="635" t="s">
        <v>44</v>
      </c>
      <c r="AJ5" s="157"/>
      <c r="AK5" s="756" t="s">
        <v>48</v>
      </c>
      <c r="AL5" s="635" t="s">
        <v>40</v>
      </c>
      <c r="AM5" s="635" t="s">
        <v>47</v>
      </c>
      <c r="AN5" s="723" t="s">
        <v>43</v>
      </c>
      <c r="AO5" s="635" t="s">
        <v>40</v>
      </c>
      <c r="AP5" s="635" t="s">
        <v>47</v>
      </c>
      <c r="AQ5" s="721" t="s">
        <v>43</v>
      </c>
      <c r="AR5" s="635" t="s">
        <v>40</v>
      </c>
      <c r="AS5" s="635" t="s">
        <v>47</v>
      </c>
      <c r="AT5" s="723" t="s">
        <v>43</v>
      </c>
      <c r="AU5" s="635" t="s">
        <v>40</v>
      </c>
      <c r="AV5" s="635" t="s">
        <v>47</v>
      </c>
      <c r="AW5" s="721" t="s">
        <v>43</v>
      </c>
      <c r="AX5" s="635" t="s">
        <v>40</v>
      </c>
      <c r="AY5" s="635" t="s">
        <v>47</v>
      </c>
      <c r="AZ5" s="723" t="s">
        <v>43</v>
      </c>
      <c r="BA5" s="635" t="s">
        <v>40</v>
      </c>
      <c r="BB5" s="635" t="s">
        <v>47</v>
      </c>
      <c r="BC5" s="721" t="s">
        <v>43</v>
      </c>
      <c r="BD5" s="755" t="s">
        <v>40</v>
      </c>
      <c r="BE5" s="635" t="s">
        <v>47</v>
      </c>
      <c r="BF5" s="723" t="s">
        <v>43</v>
      </c>
      <c r="BG5" s="635" t="s">
        <v>40</v>
      </c>
      <c r="BH5" s="635" t="s">
        <v>47</v>
      </c>
      <c r="BI5" s="721" t="s">
        <v>43</v>
      </c>
      <c r="BJ5" s="635" t="s">
        <v>40</v>
      </c>
      <c r="BK5" s="635" t="s">
        <v>47</v>
      </c>
      <c r="BL5" s="723" t="s">
        <v>43</v>
      </c>
      <c r="BM5" s="635" t="s">
        <v>40</v>
      </c>
      <c r="BN5" s="635" t="s">
        <v>47</v>
      </c>
      <c r="BO5" s="721" t="s">
        <v>43</v>
      </c>
      <c r="BP5" s="635" t="s">
        <v>40</v>
      </c>
      <c r="BQ5" s="635" t="s">
        <v>47</v>
      </c>
      <c r="BR5" s="723" t="s">
        <v>43</v>
      </c>
      <c r="BS5" s="635" t="s">
        <v>40</v>
      </c>
      <c r="BT5" s="635" t="s">
        <v>47</v>
      </c>
      <c r="BU5" s="721" t="s">
        <v>43</v>
      </c>
      <c r="BV5" s="635" t="s">
        <v>40</v>
      </c>
      <c r="BW5" s="635" t="s">
        <v>47</v>
      </c>
      <c r="BX5" s="723" t="s">
        <v>43</v>
      </c>
      <c r="BY5" s="635" t="s">
        <v>40</v>
      </c>
      <c r="BZ5" s="635" t="s">
        <v>47</v>
      </c>
      <c r="CA5" s="721" t="s">
        <v>43</v>
      </c>
      <c r="CB5" s="635" t="s">
        <v>40</v>
      </c>
      <c r="CC5" s="635" t="s">
        <v>47</v>
      </c>
      <c r="CD5" s="723" t="s">
        <v>43</v>
      </c>
      <c r="CE5" s="635" t="s">
        <v>40</v>
      </c>
      <c r="CF5" s="635" t="s">
        <v>47</v>
      </c>
      <c r="CG5" s="721" t="s">
        <v>43</v>
      </c>
      <c r="CH5" s="635" t="s">
        <v>40</v>
      </c>
      <c r="CI5" s="635" t="s">
        <v>47</v>
      </c>
      <c r="CJ5" s="723" t="s">
        <v>43</v>
      </c>
      <c r="CK5" s="635" t="s">
        <v>40</v>
      </c>
      <c r="CL5" s="635" t="s">
        <v>47</v>
      </c>
      <c r="CM5" s="721" t="s">
        <v>43</v>
      </c>
      <c r="CN5" s="635" t="s">
        <v>40</v>
      </c>
      <c r="CO5" s="635" t="s">
        <v>44</v>
      </c>
      <c r="CP5" s="723" t="s">
        <v>43</v>
      </c>
      <c r="CQ5" s="635" t="s">
        <v>40</v>
      </c>
      <c r="CR5" s="635" t="s">
        <v>44</v>
      </c>
      <c r="CS5" s="721" t="s">
        <v>43</v>
      </c>
      <c r="CT5" s="635" t="s">
        <v>40</v>
      </c>
      <c r="CU5" s="635" t="s">
        <v>44</v>
      </c>
      <c r="CV5" s="723" t="s">
        <v>43</v>
      </c>
      <c r="CW5" s="635" t="s">
        <v>40</v>
      </c>
      <c r="CX5" s="635" t="s">
        <v>44</v>
      </c>
      <c r="CY5" s="721" t="s">
        <v>43</v>
      </c>
      <c r="CZ5" s="635" t="s">
        <v>40</v>
      </c>
      <c r="DA5" s="602" t="s">
        <v>50</v>
      </c>
      <c r="DB5" s="723" t="s">
        <v>43</v>
      </c>
      <c r="DC5" s="635" t="s">
        <v>40</v>
      </c>
      <c r="DD5" s="635"/>
      <c r="DE5" s="685" t="s">
        <v>43</v>
      </c>
      <c r="DF5" s="635" t="s">
        <v>40</v>
      </c>
      <c r="DG5" s="635"/>
      <c r="DH5" s="721" t="s">
        <v>43</v>
      </c>
    </row>
    <row r="6" spans="1:112" ht="19.5" customHeight="1">
      <c r="A6" s="150"/>
      <c r="B6" s="150"/>
      <c r="C6" s="150"/>
      <c r="D6" s="150"/>
      <c r="E6" s="150"/>
      <c r="F6" s="150"/>
      <c r="G6" s="147"/>
      <c r="H6" s="144"/>
      <c r="I6" s="141"/>
      <c r="J6" s="138"/>
      <c r="K6" s="635"/>
      <c r="L6" s="635"/>
      <c r="M6" s="724"/>
      <c r="N6" s="635"/>
      <c r="O6" s="635"/>
      <c r="P6" s="159" t="s">
        <v>42</v>
      </c>
      <c r="Q6" s="722"/>
      <c r="R6" s="635"/>
      <c r="S6" s="635"/>
      <c r="T6" s="642"/>
      <c r="U6" s="635"/>
      <c r="V6" s="635"/>
      <c r="W6" s="756"/>
      <c r="X6" s="635"/>
      <c r="Y6" s="635"/>
      <c r="Z6" s="642"/>
      <c r="AA6" s="635"/>
      <c r="AB6" s="635"/>
      <c r="AC6" s="756"/>
      <c r="AD6" s="635"/>
      <c r="AE6" s="603"/>
      <c r="AF6" s="635"/>
      <c r="AG6" s="642"/>
      <c r="AH6" s="635"/>
      <c r="AI6" s="635"/>
      <c r="AJ6" s="157" t="s">
        <v>45</v>
      </c>
      <c r="AK6" s="756"/>
      <c r="AL6" s="635"/>
      <c r="AM6" s="635"/>
      <c r="AN6" s="724"/>
      <c r="AO6" s="635"/>
      <c r="AP6" s="635"/>
      <c r="AQ6" s="722"/>
      <c r="AR6" s="635"/>
      <c r="AS6" s="635"/>
      <c r="AT6" s="724"/>
      <c r="AU6" s="635"/>
      <c r="AV6" s="635"/>
      <c r="AW6" s="722"/>
      <c r="AX6" s="635"/>
      <c r="AY6" s="635"/>
      <c r="AZ6" s="724"/>
      <c r="BA6" s="635"/>
      <c r="BB6" s="635"/>
      <c r="BC6" s="722"/>
      <c r="BD6" s="755"/>
      <c r="BE6" s="635"/>
      <c r="BF6" s="724"/>
      <c r="BG6" s="635"/>
      <c r="BH6" s="635"/>
      <c r="BI6" s="722"/>
      <c r="BJ6" s="635"/>
      <c r="BK6" s="635"/>
      <c r="BL6" s="724"/>
      <c r="BM6" s="635"/>
      <c r="BN6" s="635"/>
      <c r="BO6" s="722"/>
      <c r="BP6" s="635"/>
      <c r="BQ6" s="635"/>
      <c r="BR6" s="724"/>
      <c r="BS6" s="635"/>
      <c r="BT6" s="635"/>
      <c r="BU6" s="722"/>
      <c r="BV6" s="635"/>
      <c r="BW6" s="635"/>
      <c r="BX6" s="724"/>
      <c r="BY6" s="635"/>
      <c r="BZ6" s="635"/>
      <c r="CA6" s="722"/>
      <c r="CB6" s="635"/>
      <c r="CC6" s="635"/>
      <c r="CD6" s="724"/>
      <c r="CE6" s="635"/>
      <c r="CF6" s="635"/>
      <c r="CG6" s="722"/>
      <c r="CH6" s="635"/>
      <c r="CI6" s="635"/>
      <c r="CJ6" s="724"/>
      <c r="CK6" s="635"/>
      <c r="CL6" s="635"/>
      <c r="CM6" s="722"/>
      <c r="CN6" s="635"/>
      <c r="CO6" s="635"/>
      <c r="CP6" s="724"/>
      <c r="CQ6" s="635"/>
      <c r="CR6" s="635"/>
      <c r="CS6" s="722"/>
      <c r="CT6" s="635"/>
      <c r="CU6" s="635"/>
      <c r="CV6" s="724"/>
      <c r="CW6" s="635"/>
      <c r="CX6" s="635"/>
      <c r="CY6" s="722"/>
      <c r="CZ6" s="635"/>
      <c r="DA6" s="603"/>
      <c r="DB6" s="724"/>
      <c r="DC6" s="635"/>
      <c r="DD6" s="635"/>
      <c r="DE6" s="686"/>
      <c r="DF6" s="635"/>
      <c r="DG6" s="635"/>
      <c r="DH6" s="722"/>
    </row>
    <row r="7" spans="1:112">
      <c r="A7" s="129">
        <v>1</v>
      </c>
      <c r="B7" s="129">
        <v>2</v>
      </c>
      <c r="C7" s="129">
        <v>3</v>
      </c>
      <c r="D7" s="129">
        <v>4</v>
      </c>
      <c r="E7" s="129">
        <v>5</v>
      </c>
      <c r="F7" s="129">
        <v>6</v>
      </c>
      <c r="G7" s="51"/>
      <c r="H7" s="8">
        <v>8</v>
      </c>
      <c r="I7" s="9">
        <v>9</v>
      </c>
      <c r="J7" s="20">
        <v>10</v>
      </c>
      <c r="K7" s="129">
        <v>11</v>
      </c>
      <c r="L7" s="129">
        <v>12</v>
      </c>
      <c r="M7" s="20">
        <v>13</v>
      </c>
      <c r="N7" s="129">
        <v>14</v>
      </c>
      <c r="O7" s="129">
        <v>15</v>
      </c>
      <c r="P7" s="160"/>
      <c r="Q7" s="8">
        <v>16</v>
      </c>
      <c r="R7" s="129">
        <v>17</v>
      </c>
      <c r="S7" s="129">
        <v>18</v>
      </c>
      <c r="T7" s="20">
        <v>19</v>
      </c>
      <c r="U7" s="129">
        <v>20</v>
      </c>
      <c r="V7" s="129">
        <v>21</v>
      </c>
      <c r="W7" s="8">
        <v>22</v>
      </c>
      <c r="X7" s="129">
        <v>23</v>
      </c>
      <c r="Y7" s="129">
        <v>24</v>
      </c>
      <c r="Z7" s="20">
        <v>25</v>
      </c>
      <c r="AA7" s="129">
        <v>26</v>
      </c>
      <c r="AB7" s="129">
        <v>27</v>
      </c>
      <c r="AC7" s="8">
        <v>28</v>
      </c>
      <c r="AD7" s="129">
        <v>29</v>
      </c>
      <c r="AE7" s="129"/>
      <c r="AF7" s="129">
        <v>30</v>
      </c>
      <c r="AG7" s="20">
        <v>31</v>
      </c>
      <c r="AH7" s="129">
        <v>32</v>
      </c>
      <c r="AI7" s="129">
        <v>33</v>
      </c>
      <c r="AJ7" s="160"/>
      <c r="AK7" s="8">
        <v>34</v>
      </c>
      <c r="AL7" s="129">
        <v>35</v>
      </c>
      <c r="AM7" s="129">
        <v>36</v>
      </c>
      <c r="AN7" s="20">
        <v>37</v>
      </c>
      <c r="AO7" s="129">
        <v>38</v>
      </c>
      <c r="AP7" s="129">
        <v>39</v>
      </c>
      <c r="AQ7" s="8">
        <v>40</v>
      </c>
      <c r="AR7" s="129">
        <v>41</v>
      </c>
      <c r="AS7" s="129">
        <v>42</v>
      </c>
      <c r="AT7" s="20">
        <v>43</v>
      </c>
      <c r="AU7" s="129">
        <v>44</v>
      </c>
      <c r="AV7" s="129">
        <v>45</v>
      </c>
      <c r="AW7" s="8">
        <v>46</v>
      </c>
      <c r="AX7" s="129">
        <v>47</v>
      </c>
      <c r="AY7" s="129">
        <v>48</v>
      </c>
      <c r="AZ7" s="20">
        <v>49</v>
      </c>
      <c r="BA7" s="129">
        <v>50</v>
      </c>
      <c r="BB7" s="129">
        <v>51</v>
      </c>
      <c r="BC7" s="8">
        <v>52</v>
      </c>
      <c r="BD7" s="10">
        <v>53</v>
      </c>
      <c r="BE7" s="129">
        <v>54</v>
      </c>
      <c r="BF7" s="20">
        <v>55</v>
      </c>
      <c r="BG7" s="129">
        <v>56</v>
      </c>
      <c r="BH7" s="129">
        <v>57</v>
      </c>
      <c r="BI7" s="8">
        <v>58</v>
      </c>
      <c r="BJ7" s="129">
        <v>59</v>
      </c>
      <c r="BK7" s="129">
        <v>60</v>
      </c>
      <c r="BL7" s="20">
        <v>61</v>
      </c>
      <c r="BM7" s="129">
        <v>62</v>
      </c>
      <c r="BN7" s="129">
        <v>63</v>
      </c>
      <c r="BO7" s="8">
        <v>64</v>
      </c>
      <c r="BP7" s="129">
        <v>65</v>
      </c>
      <c r="BQ7" s="129">
        <v>66</v>
      </c>
      <c r="BR7" s="20">
        <v>67</v>
      </c>
      <c r="BS7" s="129">
        <v>68</v>
      </c>
      <c r="BT7" s="129">
        <v>69</v>
      </c>
      <c r="BU7" s="8">
        <v>70</v>
      </c>
      <c r="BV7" s="129">
        <v>71</v>
      </c>
      <c r="BW7" s="129">
        <v>72</v>
      </c>
      <c r="BX7" s="20">
        <v>73</v>
      </c>
      <c r="BY7" s="129">
        <v>74</v>
      </c>
      <c r="BZ7" s="129">
        <v>75</v>
      </c>
      <c r="CA7" s="8">
        <v>76</v>
      </c>
      <c r="CB7" s="129">
        <v>77</v>
      </c>
      <c r="CC7" s="129">
        <v>78</v>
      </c>
      <c r="CD7" s="20">
        <v>79</v>
      </c>
      <c r="CE7" s="129">
        <v>80</v>
      </c>
      <c r="CF7" s="129">
        <v>81</v>
      </c>
      <c r="CG7" s="8">
        <v>82</v>
      </c>
      <c r="CH7" s="129">
        <v>83</v>
      </c>
      <c r="CI7" s="129">
        <v>84</v>
      </c>
      <c r="CJ7" s="20">
        <v>85</v>
      </c>
      <c r="CK7" s="129">
        <v>86</v>
      </c>
      <c r="CL7" s="129">
        <v>87</v>
      </c>
      <c r="CM7" s="8">
        <v>88</v>
      </c>
      <c r="CN7" s="129">
        <v>89</v>
      </c>
      <c r="CO7" s="129">
        <v>90</v>
      </c>
      <c r="CP7" s="20">
        <v>91</v>
      </c>
      <c r="CQ7" s="129">
        <v>92</v>
      </c>
      <c r="CR7" s="129">
        <v>93</v>
      </c>
      <c r="CS7" s="8">
        <v>94</v>
      </c>
      <c r="CT7" s="129">
        <v>95</v>
      </c>
      <c r="CU7" s="129">
        <v>96</v>
      </c>
      <c r="CV7" s="20">
        <v>97</v>
      </c>
      <c r="CW7" s="129">
        <v>98</v>
      </c>
      <c r="CX7" s="129">
        <v>99</v>
      </c>
      <c r="CY7" s="8">
        <v>100</v>
      </c>
      <c r="CZ7" s="129">
        <v>101</v>
      </c>
      <c r="DA7" s="129">
        <v>102</v>
      </c>
      <c r="DB7" s="20">
        <v>103</v>
      </c>
      <c r="DC7" s="129">
        <v>104</v>
      </c>
      <c r="DD7" s="129">
        <v>105</v>
      </c>
      <c r="DE7" s="84">
        <v>106</v>
      </c>
      <c r="DF7" s="129">
        <v>107</v>
      </c>
      <c r="DG7" s="129">
        <v>108</v>
      </c>
      <c r="DH7" s="8">
        <v>109</v>
      </c>
    </row>
    <row r="8" spans="1:112">
      <c r="A8" s="40">
        <v>1</v>
      </c>
      <c r="B8" s="40" t="s">
        <v>210</v>
      </c>
      <c r="C8" s="40">
        <v>4</v>
      </c>
      <c r="D8" s="29" t="s">
        <v>56</v>
      </c>
      <c r="E8" s="30">
        <v>105</v>
      </c>
      <c r="F8" s="30">
        <v>7</v>
      </c>
      <c r="G8" s="52">
        <v>4.9920960000000001</v>
      </c>
      <c r="H8" s="68">
        <f>(Q8+W8+AC8+AK8+AQ8+AW8+BC8+BI8+BO8+BU8+CA8+CG8+CM8+CS8+CY8+DH8)/1000</f>
        <v>0</v>
      </c>
      <c r="I8" s="47">
        <v>4.9920960000000001</v>
      </c>
      <c r="J8" s="43">
        <v>4.99</v>
      </c>
      <c r="K8" s="40"/>
      <c r="L8" s="40"/>
      <c r="M8" s="43"/>
      <c r="N8" s="40"/>
      <c r="O8" s="40"/>
      <c r="P8" s="40"/>
      <c r="Q8" s="42"/>
      <c r="R8" s="40"/>
      <c r="S8" s="40"/>
      <c r="T8" s="43"/>
      <c r="U8" s="40"/>
      <c r="V8" s="40"/>
      <c r="W8" s="42"/>
      <c r="X8" s="40"/>
      <c r="Y8" s="40"/>
      <c r="Z8" s="43"/>
      <c r="AA8" s="40"/>
      <c r="AB8" s="40"/>
      <c r="AC8" s="42"/>
      <c r="AD8" s="40"/>
      <c r="AE8" s="40"/>
      <c r="AF8" s="40"/>
      <c r="AG8" s="43"/>
      <c r="AH8" s="40"/>
      <c r="AI8" s="40"/>
      <c r="AJ8" s="40"/>
      <c r="AK8" s="42"/>
      <c r="AL8" s="40"/>
      <c r="AM8" s="40"/>
      <c r="AN8" s="43"/>
      <c r="AO8" s="40"/>
      <c r="AP8" s="40"/>
      <c r="AQ8" s="42"/>
      <c r="AR8" s="40"/>
      <c r="AS8" s="40"/>
      <c r="AT8" s="43"/>
      <c r="AU8" s="40"/>
      <c r="AV8" s="40"/>
      <c r="AW8" s="42"/>
      <c r="AX8" s="40"/>
      <c r="AY8" s="40"/>
      <c r="AZ8" s="43"/>
      <c r="BA8" s="40"/>
      <c r="BB8" s="40"/>
      <c r="BC8" s="42"/>
      <c r="BD8" s="40"/>
      <c r="BE8" s="40"/>
      <c r="BF8" s="43"/>
      <c r="BG8" s="40"/>
      <c r="BH8" s="40"/>
      <c r="BI8" s="42"/>
      <c r="BJ8" s="40"/>
      <c r="BK8" s="40"/>
      <c r="BL8" s="43"/>
      <c r="BM8" s="40"/>
      <c r="BN8" s="40"/>
      <c r="BO8" s="42"/>
      <c r="BP8" s="40"/>
      <c r="BQ8" s="40"/>
      <c r="BR8" s="43"/>
      <c r="BS8" s="40"/>
      <c r="BT8" s="40"/>
      <c r="BU8" s="42"/>
      <c r="BV8" s="40"/>
      <c r="BW8" s="40"/>
      <c r="BX8" s="43"/>
      <c r="BY8" s="40"/>
      <c r="BZ8" s="40"/>
      <c r="CA8" s="42"/>
      <c r="CB8" s="40"/>
      <c r="CC8" s="75"/>
      <c r="CD8" s="43"/>
      <c r="CE8" s="40"/>
      <c r="CF8" s="40"/>
      <c r="CG8" s="42"/>
      <c r="CH8" s="40"/>
      <c r="CI8" s="40"/>
      <c r="CJ8" s="43"/>
      <c r="CK8" s="40"/>
      <c r="CL8" s="40"/>
      <c r="CM8" s="42"/>
      <c r="CN8" s="40"/>
      <c r="CO8" s="40"/>
      <c r="CP8" s="43"/>
      <c r="CQ8" s="40"/>
      <c r="CR8" s="40"/>
      <c r="CS8" s="42"/>
      <c r="CT8" s="40"/>
      <c r="CU8" s="40"/>
      <c r="CV8" s="43"/>
      <c r="CW8" s="40"/>
      <c r="CX8" s="40"/>
      <c r="CY8" s="42"/>
      <c r="CZ8" s="40"/>
      <c r="DA8" s="40"/>
      <c r="DB8" s="43"/>
      <c r="DC8" s="40"/>
      <c r="DD8" s="75" t="s">
        <v>311</v>
      </c>
      <c r="DE8" s="69">
        <v>4990</v>
      </c>
      <c r="DF8" s="40"/>
      <c r="DG8" s="40"/>
      <c r="DH8" s="68">
        <v>0</v>
      </c>
    </row>
    <row r="9" spans="1:112">
      <c r="A9" s="40">
        <v>3</v>
      </c>
      <c r="B9" s="40" t="s">
        <v>210</v>
      </c>
      <c r="C9" s="40">
        <v>4</v>
      </c>
      <c r="D9" s="29" t="s">
        <v>58</v>
      </c>
      <c r="E9" s="30">
        <v>8</v>
      </c>
      <c r="F9" s="30">
        <v>7</v>
      </c>
      <c r="G9" s="52">
        <v>37.894420000000004</v>
      </c>
      <c r="H9" s="68">
        <f t="shared" ref="H9:H72" si="0">(Q9+W9+AC9+AK9+AQ9+AW9+BC9+BI9+BO9+BU9+CA9+CG9+CM9+CS9+CY9+DH9)/1000</f>
        <v>0</v>
      </c>
      <c r="I9" s="47">
        <v>37.894420000000004</v>
      </c>
      <c r="J9" s="43">
        <v>42.88</v>
      </c>
      <c r="K9" s="40"/>
      <c r="L9" s="40"/>
      <c r="M9" s="43"/>
      <c r="N9" s="40"/>
      <c r="O9" s="40"/>
      <c r="P9" s="40"/>
      <c r="Q9" s="42"/>
      <c r="R9" s="40"/>
      <c r="S9" s="40"/>
      <c r="T9" s="43"/>
      <c r="U9" s="40"/>
      <c r="V9" s="40"/>
      <c r="W9" s="42"/>
      <c r="X9" s="40"/>
      <c r="Y9" s="40"/>
      <c r="Z9" s="43"/>
      <c r="AA9" s="40"/>
      <c r="AB9" s="40"/>
      <c r="AC9" s="42"/>
      <c r="AD9" s="40"/>
      <c r="AE9" s="40"/>
      <c r="AF9" s="40"/>
      <c r="AG9" s="43"/>
      <c r="AH9" s="40"/>
      <c r="AI9" s="40"/>
      <c r="AJ9" s="40"/>
      <c r="AK9" s="42"/>
      <c r="AL9" s="40"/>
      <c r="AM9" s="40"/>
      <c r="AN9" s="43"/>
      <c r="AO9" s="40"/>
      <c r="AP9" s="40"/>
      <c r="AQ9" s="42"/>
      <c r="AR9" s="40"/>
      <c r="AS9" s="40"/>
      <c r="AT9" s="43"/>
      <c r="AU9" s="40"/>
      <c r="AV9" s="40"/>
      <c r="AW9" s="42"/>
      <c r="AX9" s="40"/>
      <c r="AY9" s="40"/>
      <c r="AZ9" s="43"/>
      <c r="BA9" s="40"/>
      <c r="BB9" s="40"/>
      <c r="BC9" s="42"/>
      <c r="BD9" s="40"/>
      <c r="BE9" s="40"/>
      <c r="BF9" s="43"/>
      <c r="BG9" s="40"/>
      <c r="BH9" s="40"/>
      <c r="BI9" s="42"/>
      <c r="BJ9" s="40"/>
      <c r="BK9" s="40"/>
      <c r="BL9" s="43"/>
      <c r="BM9" s="40"/>
      <c r="BN9" s="40"/>
      <c r="BO9" s="42"/>
      <c r="BP9" s="40"/>
      <c r="BQ9" s="40"/>
      <c r="BR9" s="43"/>
      <c r="BS9" s="40"/>
      <c r="BT9" s="40"/>
      <c r="BU9" s="42"/>
      <c r="BV9" s="40"/>
      <c r="BW9" s="40"/>
      <c r="BX9" s="43"/>
      <c r="BY9" s="40"/>
      <c r="BZ9" s="40"/>
      <c r="CA9" s="42"/>
      <c r="CB9" s="40"/>
      <c r="CC9" s="75"/>
      <c r="CD9" s="43"/>
      <c r="CE9" s="40"/>
      <c r="CF9" s="40"/>
      <c r="CG9" s="42"/>
      <c r="CH9" s="40"/>
      <c r="CI9" s="40"/>
      <c r="CJ9" s="43"/>
      <c r="CK9" s="40"/>
      <c r="CL9" s="40"/>
      <c r="CM9" s="42"/>
      <c r="CN9" s="40"/>
      <c r="CO9" s="40"/>
      <c r="CP9" s="43"/>
      <c r="CQ9" s="40"/>
      <c r="CR9" s="40"/>
      <c r="CS9" s="42"/>
      <c r="CT9" s="40"/>
      <c r="CU9" s="40"/>
      <c r="CV9" s="43"/>
      <c r="CW9" s="40"/>
      <c r="CX9" s="40"/>
      <c r="CY9" s="42"/>
      <c r="CZ9" s="40"/>
      <c r="DA9" s="40"/>
      <c r="DB9" s="43"/>
      <c r="DC9" s="40" t="s">
        <v>402</v>
      </c>
      <c r="DD9" s="75" t="s">
        <v>305</v>
      </c>
      <c r="DE9" s="69">
        <v>42880</v>
      </c>
      <c r="DF9" s="40"/>
      <c r="DG9" s="40"/>
      <c r="DH9" s="68">
        <v>0</v>
      </c>
    </row>
    <row r="10" spans="1:112">
      <c r="A10" s="40">
        <v>4</v>
      </c>
      <c r="B10" s="40" t="s">
        <v>210</v>
      </c>
      <c r="C10" s="40">
        <v>4</v>
      </c>
      <c r="D10" s="29" t="s">
        <v>59</v>
      </c>
      <c r="E10" s="30" t="s">
        <v>60</v>
      </c>
      <c r="F10" s="30">
        <v>7</v>
      </c>
      <c r="G10" s="52">
        <v>29.207107999999998</v>
      </c>
      <c r="H10" s="68">
        <f t="shared" si="0"/>
        <v>0</v>
      </c>
      <c r="I10" s="47">
        <v>29.207107999999998</v>
      </c>
      <c r="J10" s="43">
        <v>34.200000000000003</v>
      </c>
      <c r="K10" s="40"/>
      <c r="L10" s="40"/>
      <c r="M10" s="43"/>
      <c r="N10" s="40"/>
      <c r="O10" s="40"/>
      <c r="P10" s="40"/>
      <c r="Q10" s="42"/>
      <c r="R10" s="40"/>
      <c r="S10" s="40"/>
      <c r="T10" s="43"/>
      <c r="U10" s="40"/>
      <c r="V10" s="40"/>
      <c r="W10" s="42"/>
      <c r="X10" s="40"/>
      <c r="Y10" s="40"/>
      <c r="Z10" s="43"/>
      <c r="AA10" s="40"/>
      <c r="AB10" s="40"/>
      <c r="AC10" s="42"/>
      <c r="AD10" s="40"/>
      <c r="AE10" s="40"/>
      <c r="AF10" s="40"/>
      <c r="AG10" s="43"/>
      <c r="AH10" s="40"/>
      <c r="AI10" s="40"/>
      <c r="AJ10" s="40"/>
      <c r="AK10" s="42"/>
      <c r="AL10" s="40"/>
      <c r="AM10" s="40"/>
      <c r="AN10" s="43"/>
      <c r="AO10" s="40"/>
      <c r="AP10" s="40"/>
      <c r="AQ10" s="42"/>
      <c r="AR10" s="40"/>
      <c r="AS10" s="40"/>
      <c r="AT10" s="43"/>
      <c r="AU10" s="40"/>
      <c r="AV10" s="40"/>
      <c r="AW10" s="42"/>
      <c r="AX10" s="40"/>
      <c r="AY10" s="40"/>
      <c r="AZ10" s="43"/>
      <c r="BA10" s="40"/>
      <c r="BB10" s="40"/>
      <c r="BC10" s="42"/>
      <c r="BD10" s="40"/>
      <c r="BE10" s="40"/>
      <c r="BF10" s="43"/>
      <c r="BG10" s="40"/>
      <c r="BH10" s="40"/>
      <c r="BI10" s="42"/>
      <c r="BJ10" s="40"/>
      <c r="BK10" s="40"/>
      <c r="BL10" s="43"/>
      <c r="BM10" s="40"/>
      <c r="BN10" s="40"/>
      <c r="BO10" s="42"/>
      <c r="BP10" s="40"/>
      <c r="BQ10" s="40"/>
      <c r="BR10" s="43"/>
      <c r="BS10" s="40"/>
      <c r="BT10" s="40"/>
      <c r="BU10" s="42"/>
      <c r="BV10" s="40"/>
      <c r="BW10" s="40"/>
      <c r="BX10" s="43"/>
      <c r="BY10" s="40"/>
      <c r="BZ10" s="40"/>
      <c r="CA10" s="42"/>
      <c r="CB10" s="40"/>
      <c r="CC10" s="75"/>
      <c r="CD10" s="43"/>
      <c r="CE10" s="40"/>
      <c r="CF10" s="40"/>
      <c r="CG10" s="42"/>
      <c r="CH10" s="40"/>
      <c r="CI10" s="40"/>
      <c r="CJ10" s="43"/>
      <c r="CK10" s="40"/>
      <c r="CL10" s="40"/>
      <c r="CM10" s="42"/>
      <c r="CN10" s="40"/>
      <c r="CO10" s="40"/>
      <c r="CP10" s="43"/>
      <c r="CQ10" s="40"/>
      <c r="CR10" s="40"/>
      <c r="CS10" s="42"/>
      <c r="CT10" s="40"/>
      <c r="CU10" s="40"/>
      <c r="CV10" s="43"/>
      <c r="CW10" s="40"/>
      <c r="CX10" s="40"/>
      <c r="CY10" s="42"/>
      <c r="CZ10" s="40"/>
      <c r="DA10" s="40"/>
      <c r="DB10" s="43"/>
      <c r="DC10" s="40" t="s">
        <v>402</v>
      </c>
      <c r="DD10" s="75" t="s">
        <v>305</v>
      </c>
      <c r="DE10" s="69">
        <v>34200</v>
      </c>
      <c r="DF10" s="40"/>
      <c r="DG10" s="40"/>
      <c r="DH10" s="68">
        <v>0</v>
      </c>
    </row>
    <row r="11" spans="1:112">
      <c r="A11" s="40">
        <v>5</v>
      </c>
      <c r="B11" s="40" t="s">
        <v>210</v>
      </c>
      <c r="C11" s="40">
        <v>4</v>
      </c>
      <c r="D11" s="29" t="s">
        <v>61</v>
      </c>
      <c r="E11" s="30" t="s">
        <v>62</v>
      </c>
      <c r="F11" s="30">
        <v>7</v>
      </c>
      <c r="G11" s="52">
        <v>3.9450960000000004</v>
      </c>
      <c r="H11" s="68">
        <f t="shared" si="0"/>
        <v>0</v>
      </c>
      <c r="I11" s="47">
        <v>3.9450960000000004</v>
      </c>
      <c r="J11" s="43">
        <v>3.95</v>
      </c>
      <c r="K11" s="40"/>
      <c r="L11" s="40"/>
      <c r="M11" s="43"/>
      <c r="N11" s="40"/>
      <c r="O11" s="40"/>
      <c r="P11" s="40"/>
      <c r="Q11" s="42"/>
      <c r="R11" s="40"/>
      <c r="S11" s="40"/>
      <c r="T11" s="43"/>
      <c r="U11" s="40"/>
      <c r="V11" s="40"/>
      <c r="W11" s="42"/>
      <c r="X11" s="40"/>
      <c r="Y11" s="40"/>
      <c r="Z11" s="43"/>
      <c r="AA11" s="40"/>
      <c r="AB11" s="40"/>
      <c r="AC11" s="42"/>
      <c r="AD11" s="40"/>
      <c r="AE11" s="40"/>
      <c r="AF11" s="40"/>
      <c r="AG11" s="43"/>
      <c r="AH11" s="40"/>
      <c r="AI11" s="40"/>
      <c r="AJ11" s="40"/>
      <c r="AK11" s="42"/>
      <c r="AL11" s="40"/>
      <c r="AM11" s="40"/>
      <c r="AN11" s="43"/>
      <c r="AO11" s="40"/>
      <c r="AP11" s="40"/>
      <c r="AQ11" s="42"/>
      <c r="AR11" s="40"/>
      <c r="AS11" s="40"/>
      <c r="AT11" s="43"/>
      <c r="AU11" s="40"/>
      <c r="AV11" s="40"/>
      <c r="AW11" s="42"/>
      <c r="AX11" s="40"/>
      <c r="AY11" s="40"/>
      <c r="AZ11" s="43"/>
      <c r="BA11" s="40"/>
      <c r="BB11" s="40"/>
      <c r="BC11" s="42"/>
      <c r="BD11" s="40"/>
      <c r="BE11" s="40"/>
      <c r="BF11" s="43"/>
      <c r="BG11" s="40"/>
      <c r="BH11" s="40"/>
      <c r="BI11" s="42"/>
      <c r="BJ11" s="40"/>
      <c r="BK11" s="40"/>
      <c r="BL11" s="43"/>
      <c r="BM11" s="40"/>
      <c r="BN11" s="40"/>
      <c r="BO11" s="42"/>
      <c r="BP11" s="40"/>
      <c r="BQ11" s="40"/>
      <c r="BR11" s="43"/>
      <c r="BS11" s="40"/>
      <c r="BT11" s="40"/>
      <c r="BU11" s="42"/>
      <c r="BV11" s="40"/>
      <c r="BW11" s="40"/>
      <c r="BX11" s="43"/>
      <c r="BY11" s="40"/>
      <c r="BZ11" s="40"/>
      <c r="CA11" s="42"/>
      <c r="CB11" s="40"/>
      <c r="CC11" s="75"/>
      <c r="CD11" s="43"/>
      <c r="CE11" s="40"/>
      <c r="CF11" s="40"/>
      <c r="CG11" s="42"/>
      <c r="CH11" s="40"/>
      <c r="CI11" s="40"/>
      <c r="CJ11" s="43"/>
      <c r="CK11" s="40"/>
      <c r="CL11" s="40"/>
      <c r="CM11" s="42"/>
      <c r="CN11" s="40"/>
      <c r="CO11" s="40"/>
      <c r="CP11" s="43"/>
      <c r="CQ11" s="40"/>
      <c r="CR11" s="40"/>
      <c r="CS11" s="42"/>
      <c r="CT11" s="40"/>
      <c r="CU11" s="40"/>
      <c r="CV11" s="43"/>
      <c r="CW11" s="40"/>
      <c r="CX11" s="40"/>
      <c r="CY11" s="42"/>
      <c r="CZ11" s="40"/>
      <c r="DA11" s="40"/>
      <c r="DB11" s="43"/>
      <c r="DC11" s="40"/>
      <c r="DD11" s="75" t="s">
        <v>311</v>
      </c>
      <c r="DE11" s="69">
        <v>3950</v>
      </c>
      <c r="DF11" s="40"/>
      <c r="DG11" s="40"/>
      <c r="DH11" s="68">
        <v>0</v>
      </c>
    </row>
    <row r="12" spans="1:112">
      <c r="A12" s="40">
        <v>6</v>
      </c>
      <c r="B12" s="40" t="s">
        <v>210</v>
      </c>
      <c r="C12" s="40">
        <v>4</v>
      </c>
      <c r="D12" s="31" t="s">
        <v>63</v>
      </c>
      <c r="E12" s="30">
        <v>1</v>
      </c>
      <c r="F12" s="30">
        <v>7</v>
      </c>
      <c r="G12" s="52">
        <v>14.205696000000001</v>
      </c>
      <c r="H12" s="68">
        <f t="shared" si="0"/>
        <v>0</v>
      </c>
      <c r="I12" s="47">
        <v>14.205696000000001</v>
      </c>
      <c r="J12" s="43">
        <v>14.21</v>
      </c>
      <c r="K12" s="40"/>
      <c r="L12" s="40"/>
      <c r="M12" s="43"/>
      <c r="N12" s="40"/>
      <c r="O12" s="40"/>
      <c r="P12" s="40"/>
      <c r="Q12" s="42"/>
      <c r="R12" s="40"/>
      <c r="S12" s="40"/>
      <c r="T12" s="43"/>
      <c r="U12" s="40"/>
      <c r="V12" s="40"/>
      <c r="W12" s="42"/>
      <c r="X12" s="40"/>
      <c r="Y12" s="40"/>
      <c r="Z12" s="43"/>
      <c r="AA12" s="40"/>
      <c r="AB12" s="40"/>
      <c r="AC12" s="42"/>
      <c r="AD12" s="40"/>
      <c r="AE12" s="40"/>
      <c r="AF12" s="40"/>
      <c r="AG12" s="43"/>
      <c r="AH12" s="40"/>
      <c r="AI12" s="40"/>
      <c r="AJ12" s="40"/>
      <c r="AK12" s="42"/>
      <c r="AL12" s="40"/>
      <c r="AM12" s="40"/>
      <c r="AN12" s="43"/>
      <c r="AO12" s="40"/>
      <c r="AP12" s="40"/>
      <c r="AQ12" s="42"/>
      <c r="AR12" s="40"/>
      <c r="AS12" s="40"/>
      <c r="AT12" s="43"/>
      <c r="AU12" s="40"/>
      <c r="AV12" s="40"/>
      <c r="AW12" s="42"/>
      <c r="AX12" s="40"/>
      <c r="AY12" s="40"/>
      <c r="AZ12" s="43"/>
      <c r="BA12" s="40"/>
      <c r="BB12" s="40"/>
      <c r="BC12" s="42"/>
      <c r="BD12" s="40"/>
      <c r="BE12" s="40"/>
      <c r="BF12" s="43"/>
      <c r="BG12" s="40"/>
      <c r="BH12" s="40"/>
      <c r="BI12" s="42"/>
      <c r="BJ12" s="40"/>
      <c r="BK12" s="40"/>
      <c r="BL12" s="43"/>
      <c r="BM12" s="40"/>
      <c r="BN12" s="40"/>
      <c r="BO12" s="42"/>
      <c r="BP12" s="40"/>
      <c r="BQ12" s="40"/>
      <c r="BR12" s="43"/>
      <c r="BS12" s="40"/>
      <c r="BT12" s="40"/>
      <c r="BU12" s="42"/>
      <c r="BV12" s="40"/>
      <c r="BW12" s="40"/>
      <c r="BX12" s="43"/>
      <c r="BY12" s="40"/>
      <c r="BZ12" s="40"/>
      <c r="CA12" s="42"/>
      <c r="CB12" s="40"/>
      <c r="CC12" s="75"/>
      <c r="CD12" s="43"/>
      <c r="CE12" s="40"/>
      <c r="CF12" s="40"/>
      <c r="CG12" s="42"/>
      <c r="CH12" s="40"/>
      <c r="CI12" s="40"/>
      <c r="CJ12" s="43"/>
      <c r="CK12" s="40"/>
      <c r="CL12" s="40"/>
      <c r="CM12" s="42"/>
      <c r="CN12" s="40"/>
      <c r="CO12" s="40"/>
      <c r="CP12" s="43"/>
      <c r="CQ12" s="40"/>
      <c r="CR12" s="40"/>
      <c r="CS12" s="42"/>
      <c r="CT12" s="40"/>
      <c r="CU12" s="40"/>
      <c r="CV12" s="43"/>
      <c r="CW12" s="40"/>
      <c r="CX12" s="40"/>
      <c r="CY12" s="42"/>
      <c r="CZ12" s="40"/>
      <c r="DA12" s="40"/>
      <c r="DB12" s="43"/>
      <c r="DC12" s="40"/>
      <c r="DD12" s="75" t="s">
        <v>311</v>
      </c>
      <c r="DE12" s="69">
        <v>14210</v>
      </c>
      <c r="DF12" s="40"/>
      <c r="DG12" s="40"/>
      <c r="DH12" s="68">
        <v>0</v>
      </c>
    </row>
    <row r="13" spans="1:112">
      <c r="A13" s="40">
        <v>7</v>
      </c>
      <c r="B13" s="40" t="s">
        <v>210</v>
      </c>
      <c r="C13" s="40">
        <v>4</v>
      </c>
      <c r="D13" s="31" t="s">
        <v>63</v>
      </c>
      <c r="E13" s="30">
        <v>2</v>
      </c>
      <c r="F13" s="30">
        <v>7</v>
      </c>
      <c r="G13" s="52">
        <v>16.372285999999999</v>
      </c>
      <c r="H13" s="68">
        <f t="shared" si="0"/>
        <v>0</v>
      </c>
      <c r="I13" s="47">
        <v>16.372285999999999</v>
      </c>
      <c r="J13" s="43">
        <v>16.37</v>
      </c>
      <c r="K13" s="40"/>
      <c r="L13" s="40"/>
      <c r="M13" s="43"/>
      <c r="N13" s="40"/>
      <c r="O13" s="40"/>
      <c r="P13" s="40"/>
      <c r="Q13" s="42"/>
      <c r="R13" s="40"/>
      <c r="S13" s="40"/>
      <c r="T13" s="43"/>
      <c r="U13" s="40"/>
      <c r="V13" s="40"/>
      <c r="W13" s="42"/>
      <c r="X13" s="40"/>
      <c r="Y13" s="40"/>
      <c r="Z13" s="43"/>
      <c r="AA13" s="40"/>
      <c r="AB13" s="40"/>
      <c r="AC13" s="42"/>
      <c r="AD13" s="40"/>
      <c r="AE13" s="40"/>
      <c r="AF13" s="40"/>
      <c r="AG13" s="43"/>
      <c r="AH13" s="40"/>
      <c r="AI13" s="40"/>
      <c r="AJ13" s="40"/>
      <c r="AK13" s="42"/>
      <c r="AL13" s="40"/>
      <c r="AM13" s="40"/>
      <c r="AN13" s="43"/>
      <c r="AO13" s="40"/>
      <c r="AP13" s="40"/>
      <c r="AQ13" s="42"/>
      <c r="AR13" s="40"/>
      <c r="AS13" s="40"/>
      <c r="AT13" s="43"/>
      <c r="AU13" s="40"/>
      <c r="AV13" s="40"/>
      <c r="AW13" s="42"/>
      <c r="AX13" s="40"/>
      <c r="AY13" s="40"/>
      <c r="AZ13" s="43"/>
      <c r="BA13" s="40"/>
      <c r="BB13" s="40"/>
      <c r="BC13" s="42"/>
      <c r="BD13" s="40"/>
      <c r="BE13" s="40"/>
      <c r="BF13" s="43"/>
      <c r="BG13" s="40"/>
      <c r="BH13" s="40"/>
      <c r="BI13" s="42"/>
      <c r="BJ13" s="40"/>
      <c r="BK13" s="40"/>
      <c r="BL13" s="43"/>
      <c r="BM13" s="40"/>
      <c r="BN13" s="40"/>
      <c r="BO13" s="42"/>
      <c r="BP13" s="40"/>
      <c r="BQ13" s="40"/>
      <c r="BR13" s="43"/>
      <c r="BS13" s="40"/>
      <c r="BT13" s="40"/>
      <c r="BU13" s="42"/>
      <c r="BV13" s="40"/>
      <c r="BW13" s="40"/>
      <c r="BX13" s="43"/>
      <c r="BY13" s="40"/>
      <c r="BZ13" s="40"/>
      <c r="CA13" s="42"/>
      <c r="CB13" s="40"/>
      <c r="CC13" s="75"/>
      <c r="CD13" s="43"/>
      <c r="CE13" s="40"/>
      <c r="CF13" s="40"/>
      <c r="CG13" s="42"/>
      <c r="CH13" s="40"/>
      <c r="CI13" s="40"/>
      <c r="CJ13" s="43"/>
      <c r="CK13" s="40"/>
      <c r="CL13" s="40"/>
      <c r="CM13" s="42"/>
      <c r="CN13" s="40"/>
      <c r="CO13" s="40"/>
      <c r="CP13" s="43"/>
      <c r="CQ13" s="40"/>
      <c r="CR13" s="40"/>
      <c r="CS13" s="42"/>
      <c r="CT13" s="40"/>
      <c r="CU13" s="40"/>
      <c r="CV13" s="43"/>
      <c r="CW13" s="40"/>
      <c r="CX13" s="40"/>
      <c r="CY13" s="42"/>
      <c r="CZ13" s="40"/>
      <c r="DA13" s="40"/>
      <c r="DB13" s="43"/>
      <c r="DC13" s="40"/>
      <c r="DD13" s="75" t="s">
        <v>311</v>
      </c>
      <c r="DE13" s="69">
        <v>16370</v>
      </c>
      <c r="DF13" s="40"/>
      <c r="DG13" s="40"/>
      <c r="DH13" s="68">
        <v>0</v>
      </c>
    </row>
    <row r="14" spans="1:112">
      <c r="A14" s="40">
        <v>8</v>
      </c>
      <c r="B14" s="40" t="s">
        <v>210</v>
      </c>
      <c r="C14" s="40">
        <v>4</v>
      </c>
      <c r="D14" s="31" t="s">
        <v>63</v>
      </c>
      <c r="E14" s="30">
        <v>3</v>
      </c>
      <c r="F14" s="30">
        <v>7</v>
      </c>
      <c r="G14" s="52">
        <v>16.684994000000003</v>
      </c>
      <c r="H14" s="68">
        <f t="shared" si="0"/>
        <v>0</v>
      </c>
      <c r="I14" s="47">
        <v>16.684994000000003</v>
      </c>
      <c r="J14" s="43">
        <v>16.68</v>
      </c>
      <c r="K14" s="40"/>
      <c r="L14" s="40"/>
      <c r="M14" s="43"/>
      <c r="N14" s="40"/>
      <c r="O14" s="40"/>
      <c r="P14" s="40"/>
      <c r="Q14" s="42"/>
      <c r="R14" s="40"/>
      <c r="S14" s="40"/>
      <c r="T14" s="43"/>
      <c r="U14" s="40"/>
      <c r="V14" s="40"/>
      <c r="W14" s="42"/>
      <c r="X14" s="40"/>
      <c r="Y14" s="40"/>
      <c r="Z14" s="43"/>
      <c r="AA14" s="40"/>
      <c r="AB14" s="40"/>
      <c r="AC14" s="42"/>
      <c r="AD14" s="40"/>
      <c r="AE14" s="40"/>
      <c r="AF14" s="40"/>
      <c r="AG14" s="43"/>
      <c r="AH14" s="40"/>
      <c r="AI14" s="40"/>
      <c r="AJ14" s="40"/>
      <c r="AK14" s="42"/>
      <c r="AL14" s="40"/>
      <c r="AM14" s="40"/>
      <c r="AN14" s="43"/>
      <c r="AO14" s="40"/>
      <c r="AP14" s="40"/>
      <c r="AQ14" s="42"/>
      <c r="AR14" s="40"/>
      <c r="AS14" s="40"/>
      <c r="AT14" s="43"/>
      <c r="AU14" s="40"/>
      <c r="AV14" s="40"/>
      <c r="AW14" s="42"/>
      <c r="AX14" s="40"/>
      <c r="AY14" s="40"/>
      <c r="AZ14" s="43"/>
      <c r="BA14" s="40"/>
      <c r="BB14" s="40"/>
      <c r="BC14" s="42"/>
      <c r="BD14" s="40"/>
      <c r="BE14" s="40"/>
      <c r="BF14" s="43"/>
      <c r="BG14" s="40"/>
      <c r="BH14" s="40"/>
      <c r="BI14" s="42"/>
      <c r="BJ14" s="40"/>
      <c r="BK14" s="40"/>
      <c r="BL14" s="43"/>
      <c r="BM14" s="40"/>
      <c r="BN14" s="40"/>
      <c r="BO14" s="42"/>
      <c r="BP14" s="40"/>
      <c r="BQ14" s="40"/>
      <c r="BR14" s="43"/>
      <c r="BS14" s="40"/>
      <c r="BT14" s="40"/>
      <c r="BU14" s="42"/>
      <c r="BV14" s="40"/>
      <c r="BW14" s="40"/>
      <c r="BX14" s="43"/>
      <c r="BY14" s="40"/>
      <c r="BZ14" s="40"/>
      <c r="CA14" s="42"/>
      <c r="CB14" s="40"/>
      <c r="CC14" s="75"/>
      <c r="CD14" s="43"/>
      <c r="CE14" s="40"/>
      <c r="CF14" s="40"/>
      <c r="CG14" s="42"/>
      <c r="CH14" s="40"/>
      <c r="CI14" s="40"/>
      <c r="CJ14" s="43"/>
      <c r="CK14" s="40"/>
      <c r="CL14" s="40"/>
      <c r="CM14" s="42"/>
      <c r="CN14" s="40"/>
      <c r="CO14" s="40"/>
      <c r="CP14" s="43"/>
      <c r="CQ14" s="40"/>
      <c r="CR14" s="40"/>
      <c r="CS14" s="42"/>
      <c r="CT14" s="40"/>
      <c r="CU14" s="40"/>
      <c r="CV14" s="43"/>
      <c r="CW14" s="40"/>
      <c r="CX14" s="40"/>
      <c r="CY14" s="42"/>
      <c r="CZ14" s="40"/>
      <c r="DA14" s="40"/>
      <c r="DB14" s="43"/>
      <c r="DC14" s="40"/>
      <c r="DD14" s="75" t="s">
        <v>311</v>
      </c>
      <c r="DE14" s="69">
        <v>16680</v>
      </c>
      <c r="DF14" s="40"/>
      <c r="DG14" s="40"/>
      <c r="DH14" s="68">
        <v>0</v>
      </c>
    </row>
    <row r="15" spans="1:112">
      <c r="A15" s="40">
        <v>9</v>
      </c>
      <c r="B15" s="40" t="s">
        <v>210</v>
      </c>
      <c r="C15" s="40">
        <v>4</v>
      </c>
      <c r="D15" s="29" t="s">
        <v>63</v>
      </c>
      <c r="E15" s="30">
        <v>4</v>
      </c>
      <c r="F15" s="32">
        <v>7</v>
      </c>
      <c r="G15" s="52">
        <v>12.555624000000002</v>
      </c>
      <c r="H15" s="68">
        <f t="shared" si="0"/>
        <v>0</v>
      </c>
      <c r="I15" s="47">
        <v>12.555624000000002</v>
      </c>
      <c r="J15" s="43">
        <v>12.56</v>
      </c>
      <c r="K15" s="40"/>
      <c r="L15" s="40"/>
      <c r="M15" s="43"/>
      <c r="N15" s="40"/>
      <c r="O15" s="40"/>
      <c r="P15" s="40"/>
      <c r="Q15" s="42"/>
      <c r="R15" s="40"/>
      <c r="S15" s="40"/>
      <c r="T15" s="43"/>
      <c r="U15" s="40"/>
      <c r="V15" s="40"/>
      <c r="W15" s="42"/>
      <c r="X15" s="40"/>
      <c r="Y15" s="40"/>
      <c r="Z15" s="43"/>
      <c r="AA15" s="40"/>
      <c r="AB15" s="40"/>
      <c r="AC15" s="42"/>
      <c r="AD15" s="40"/>
      <c r="AE15" s="40"/>
      <c r="AF15" s="40"/>
      <c r="AG15" s="43"/>
      <c r="AH15" s="40"/>
      <c r="AI15" s="40"/>
      <c r="AJ15" s="40"/>
      <c r="AK15" s="42"/>
      <c r="AL15" s="40"/>
      <c r="AM15" s="40"/>
      <c r="AN15" s="43"/>
      <c r="AO15" s="40"/>
      <c r="AP15" s="40"/>
      <c r="AQ15" s="42"/>
      <c r="AR15" s="40"/>
      <c r="AS15" s="40"/>
      <c r="AT15" s="43"/>
      <c r="AU15" s="40"/>
      <c r="AV15" s="40"/>
      <c r="AW15" s="42"/>
      <c r="AX15" s="40"/>
      <c r="AY15" s="40"/>
      <c r="AZ15" s="43"/>
      <c r="BA15" s="40"/>
      <c r="BB15" s="40"/>
      <c r="BC15" s="42"/>
      <c r="BD15" s="40"/>
      <c r="BE15" s="40"/>
      <c r="BF15" s="43"/>
      <c r="BG15" s="40"/>
      <c r="BH15" s="40"/>
      <c r="BI15" s="42"/>
      <c r="BJ15" s="40"/>
      <c r="BK15" s="40"/>
      <c r="BL15" s="43"/>
      <c r="BM15" s="40"/>
      <c r="BN15" s="40"/>
      <c r="BO15" s="42"/>
      <c r="BP15" s="40"/>
      <c r="BQ15" s="40"/>
      <c r="BR15" s="43"/>
      <c r="BS15" s="40"/>
      <c r="BT15" s="40"/>
      <c r="BU15" s="42"/>
      <c r="BV15" s="40"/>
      <c r="BW15" s="40"/>
      <c r="BX15" s="43"/>
      <c r="BY15" s="40"/>
      <c r="BZ15" s="40"/>
      <c r="CA15" s="42"/>
      <c r="CB15" s="40"/>
      <c r="CC15" s="75"/>
      <c r="CD15" s="43"/>
      <c r="CE15" s="40"/>
      <c r="CF15" s="40"/>
      <c r="CG15" s="42"/>
      <c r="CH15" s="40"/>
      <c r="CI15" s="40"/>
      <c r="CJ15" s="43"/>
      <c r="CK15" s="40"/>
      <c r="CL15" s="40"/>
      <c r="CM15" s="42"/>
      <c r="CN15" s="40"/>
      <c r="CO15" s="40"/>
      <c r="CP15" s="43"/>
      <c r="CQ15" s="40"/>
      <c r="CR15" s="40"/>
      <c r="CS15" s="42"/>
      <c r="CT15" s="40"/>
      <c r="CU15" s="40"/>
      <c r="CV15" s="43"/>
      <c r="CW15" s="40"/>
      <c r="CX15" s="40"/>
      <c r="CY15" s="42"/>
      <c r="CZ15" s="40"/>
      <c r="DA15" s="40"/>
      <c r="DB15" s="43"/>
      <c r="DC15" s="40"/>
      <c r="DD15" s="75" t="s">
        <v>311</v>
      </c>
      <c r="DE15" s="69">
        <v>12560</v>
      </c>
      <c r="DF15" s="40"/>
      <c r="DG15" s="40"/>
      <c r="DH15" s="68">
        <v>0</v>
      </c>
    </row>
    <row r="16" spans="1:112">
      <c r="A16" s="40">
        <v>10</v>
      </c>
      <c r="B16" s="40" t="s">
        <v>210</v>
      </c>
      <c r="C16" s="40">
        <v>4</v>
      </c>
      <c r="D16" s="29" t="s">
        <v>63</v>
      </c>
      <c r="E16" s="30">
        <v>5</v>
      </c>
      <c r="F16" s="32">
        <v>7</v>
      </c>
      <c r="G16" s="52">
        <v>10.671024000000001</v>
      </c>
      <c r="H16" s="68">
        <f t="shared" si="0"/>
        <v>0</v>
      </c>
      <c r="I16" s="47">
        <v>10.671024000000001</v>
      </c>
      <c r="J16" s="43">
        <v>10.67</v>
      </c>
      <c r="K16" s="40"/>
      <c r="L16" s="40"/>
      <c r="M16" s="43"/>
      <c r="N16" s="40"/>
      <c r="O16" s="40"/>
      <c r="P16" s="40"/>
      <c r="Q16" s="42"/>
      <c r="R16" s="40"/>
      <c r="S16" s="40"/>
      <c r="T16" s="43"/>
      <c r="U16" s="40"/>
      <c r="V16" s="40"/>
      <c r="W16" s="42"/>
      <c r="X16" s="40"/>
      <c r="Y16" s="40"/>
      <c r="Z16" s="43"/>
      <c r="AA16" s="40"/>
      <c r="AB16" s="40"/>
      <c r="AC16" s="42"/>
      <c r="AD16" s="40"/>
      <c r="AE16" s="40"/>
      <c r="AF16" s="40"/>
      <c r="AG16" s="43"/>
      <c r="AH16" s="40"/>
      <c r="AI16" s="40"/>
      <c r="AJ16" s="40"/>
      <c r="AK16" s="42"/>
      <c r="AL16" s="40"/>
      <c r="AM16" s="40"/>
      <c r="AN16" s="43"/>
      <c r="AO16" s="40"/>
      <c r="AP16" s="40"/>
      <c r="AQ16" s="42"/>
      <c r="AR16" s="40"/>
      <c r="AS16" s="40"/>
      <c r="AT16" s="43"/>
      <c r="AU16" s="40"/>
      <c r="AV16" s="40"/>
      <c r="AW16" s="42"/>
      <c r="AX16" s="40"/>
      <c r="AY16" s="40"/>
      <c r="AZ16" s="43"/>
      <c r="BA16" s="40"/>
      <c r="BB16" s="40"/>
      <c r="BC16" s="42"/>
      <c r="BD16" s="40"/>
      <c r="BE16" s="40"/>
      <c r="BF16" s="43"/>
      <c r="BG16" s="40"/>
      <c r="BH16" s="40"/>
      <c r="BI16" s="42"/>
      <c r="BJ16" s="40"/>
      <c r="BK16" s="40"/>
      <c r="BL16" s="43"/>
      <c r="BM16" s="40"/>
      <c r="BN16" s="40"/>
      <c r="BO16" s="42"/>
      <c r="BP16" s="40"/>
      <c r="BQ16" s="40"/>
      <c r="BR16" s="43"/>
      <c r="BS16" s="40"/>
      <c r="BT16" s="40"/>
      <c r="BU16" s="42"/>
      <c r="BV16" s="40"/>
      <c r="BW16" s="40"/>
      <c r="BX16" s="43"/>
      <c r="BY16" s="40"/>
      <c r="BZ16" s="40"/>
      <c r="CA16" s="42"/>
      <c r="CB16" s="40"/>
      <c r="CC16" s="75"/>
      <c r="CD16" s="43"/>
      <c r="CE16" s="40"/>
      <c r="CF16" s="40"/>
      <c r="CG16" s="42"/>
      <c r="CH16" s="40"/>
      <c r="CI16" s="40"/>
      <c r="CJ16" s="43"/>
      <c r="CK16" s="40"/>
      <c r="CL16" s="40"/>
      <c r="CM16" s="42"/>
      <c r="CN16" s="40"/>
      <c r="CO16" s="40"/>
      <c r="CP16" s="43"/>
      <c r="CQ16" s="40"/>
      <c r="CR16" s="40"/>
      <c r="CS16" s="42"/>
      <c r="CT16" s="40"/>
      <c r="CU16" s="40"/>
      <c r="CV16" s="43"/>
      <c r="CW16" s="40"/>
      <c r="CX16" s="40"/>
      <c r="CY16" s="42"/>
      <c r="CZ16" s="40"/>
      <c r="DA16" s="40"/>
      <c r="DB16" s="43"/>
      <c r="DC16" s="40"/>
      <c r="DD16" s="75" t="s">
        <v>311</v>
      </c>
      <c r="DE16" s="69">
        <v>10670</v>
      </c>
      <c r="DF16" s="40"/>
      <c r="DG16" s="40"/>
      <c r="DH16" s="68">
        <v>0</v>
      </c>
    </row>
    <row r="17" spans="1:112">
      <c r="A17" s="40">
        <v>11</v>
      </c>
      <c r="B17" s="40" t="s">
        <v>210</v>
      </c>
      <c r="C17" s="40">
        <v>4</v>
      </c>
      <c r="D17" s="29" t="s">
        <v>63</v>
      </c>
      <c r="E17" s="30">
        <v>6</v>
      </c>
      <c r="F17" s="32">
        <v>7</v>
      </c>
      <c r="G17" s="52">
        <v>14.825520000000001</v>
      </c>
      <c r="H17" s="68">
        <f t="shared" si="0"/>
        <v>0</v>
      </c>
      <c r="I17" s="47">
        <v>14.825520000000001</v>
      </c>
      <c r="J17" s="43">
        <v>14.83</v>
      </c>
      <c r="K17" s="40"/>
      <c r="L17" s="40"/>
      <c r="M17" s="43"/>
      <c r="N17" s="40"/>
      <c r="O17" s="40"/>
      <c r="P17" s="40"/>
      <c r="Q17" s="42"/>
      <c r="R17" s="40"/>
      <c r="S17" s="40"/>
      <c r="T17" s="43"/>
      <c r="U17" s="40"/>
      <c r="V17" s="40"/>
      <c r="W17" s="42"/>
      <c r="X17" s="40"/>
      <c r="Y17" s="40"/>
      <c r="Z17" s="43"/>
      <c r="AA17" s="40"/>
      <c r="AB17" s="40"/>
      <c r="AC17" s="42"/>
      <c r="AD17" s="40"/>
      <c r="AE17" s="40"/>
      <c r="AF17" s="40"/>
      <c r="AG17" s="43"/>
      <c r="AH17" s="40"/>
      <c r="AI17" s="40"/>
      <c r="AJ17" s="40"/>
      <c r="AK17" s="42"/>
      <c r="AL17" s="40"/>
      <c r="AM17" s="40"/>
      <c r="AN17" s="43"/>
      <c r="AO17" s="40"/>
      <c r="AP17" s="40"/>
      <c r="AQ17" s="42"/>
      <c r="AR17" s="40"/>
      <c r="AS17" s="40"/>
      <c r="AT17" s="43"/>
      <c r="AU17" s="40"/>
      <c r="AV17" s="40"/>
      <c r="AW17" s="42"/>
      <c r="AX17" s="40"/>
      <c r="AY17" s="40"/>
      <c r="AZ17" s="43"/>
      <c r="BA17" s="40"/>
      <c r="BB17" s="40"/>
      <c r="BC17" s="42"/>
      <c r="BD17" s="40"/>
      <c r="BE17" s="40"/>
      <c r="BF17" s="43"/>
      <c r="BG17" s="40"/>
      <c r="BH17" s="40"/>
      <c r="BI17" s="42"/>
      <c r="BJ17" s="40"/>
      <c r="BK17" s="40"/>
      <c r="BL17" s="43"/>
      <c r="BM17" s="40"/>
      <c r="BN17" s="40"/>
      <c r="BO17" s="42"/>
      <c r="BP17" s="40"/>
      <c r="BQ17" s="40"/>
      <c r="BR17" s="43"/>
      <c r="BS17" s="40"/>
      <c r="BT17" s="40"/>
      <c r="BU17" s="42"/>
      <c r="BV17" s="40"/>
      <c r="BW17" s="40"/>
      <c r="BX17" s="43"/>
      <c r="BY17" s="40"/>
      <c r="BZ17" s="40"/>
      <c r="CA17" s="42"/>
      <c r="CB17" s="40"/>
      <c r="CC17" s="75"/>
      <c r="CD17" s="43"/>
      <c r="CE17" s="40"/>
      <c r="CF17" s="40"/>
      <c r="CG17" s="42"/>
      <c r="CH17" s="40"/>
      <c r="CI17" s="40"/>
      <c r="CJ17" s="43"/>
      <c r="CK17" s="40"/>
      <c r="CL17" s="40"/>
      <c r="CM17" s="42"/>
      <c r="CN17" s="40"/>
      <c r="CO17" s="40"/>
      <c r="CP17" s="43"/>
      <c r="CQ17" s="40"/>
      <c r="CR17" s="40"/>
      <c r="CS17" s="42"/>
      <c r="CT17" s="40"/>
      <c r="CU17" s="40"/>
      <c r="CV17" s="43"/>
      <c r="CW17" s="40"/>
      <c r="CX17" s="40"/>
      <c r="CY17" s="42"/>
      <c r="CZ17" s="40"/>
      <c r="DA17" s="40"/>
      <c r="DB17" s="43"/>
      <c r="DC17" s="40"/>
      <c r="DD17" s="75" t="s">
        <v>311</v>
      </c>
      <c r="DE17" s="69">
        <v>14830</v>
      </c>
      <c r="DF17" s="40"/>
      <c r="DG17" s="40"/>
      <c r="DH17" s="68">
        <v>0</v>
      </c>
    </row>
    <row r="18" spans="1:112">
      <c r="A18" s="44">
        <v>12</v>
      </c>
      <c r="B18" s="44" t="s">
        <v>210</v>
      </c>
      <c r="C18" s="44">
        <v>4</v>
      </c>
      <c r="D18" s="33" t="s">
        <v>63</v>
      </c>
      <c r="E18" s="34">
        <v>8</v>
      </c>
      <c r="F18" s="34">
        <v>7</v>
      </c>
      <c r="G18" s="60">
        <v>0</v>
      </c>
      <c r="H18" s="68">
        <f t="shared" si="0"/>
        <v>0</v>
      </c>
      <c r="I18" s="60">
        <v>0</v>
      </c>
      <c r="J18" s="44">
        <v>0</v>
      </c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87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87"/>
      <c r="DE18" s="60">
        <v>0</v>
      </c>
      <c r="DF18" s="44"/>
      <c r="DG18" s="44"/>
      <c r="DH18" s="68">
        <v>0</v>
      </c>
    </row>
    <row r="19" spans="1:112">
      <c r="A19" s="40">
        <v>13</v>
      </c>
      <c r="B19" s="40" t="s">
        <v>210</v>
      </c>
      <c r="C19" s="40">
        <v>4</v>
      </c>
      <c r="D19" s="29" t="s">
        <v>63</v>
      </c>
      <c r="E19" s="30">
        <v>10</v>
      </c>
      <c r="F19" s="32">
        <v>7</v>
      </c>
      <c r="G19" s="52">
        <v>10.654272000000001</v>
      </c>
      <c r="H19" s="68">
        <f t="shared" si="0"/>
        <v>0</v>
      </c>
      <c r="I19" s="47">
        <v>10.654272000000001</v>
      </c>
      <c r="J19" s="43">
        <v>10.65</v>
      </c>
      <c r="K19" s="40"/>
      <c r="L19" s="40"/>
      <c r="M19" s="43"/>
      <c r="N19" s="40"/>
      <c r="O19" s="40"/>
      <c r="P19" s="40"/>
      <c r="Q19" s="42"/>
      <c r="R19" s="40"/>
      <c r="S19" s="40"/>
      <c r="T19" s="43"/>
      <c r="U19" s="40"/>
      <c r="V19" s="40"/>
      <c r="W19" s="42"/>
      <c r="X19" s="40"/>
      <c r="Y19" s="40"/>
      <c r="Z19" s="43"/>
      <c r="AA19" s="40"/>
      <c r="AB19" s="40"/>
      <c r="AC19" s="42"/>
      <c r="AD19" s="40"/>
      <c r="AE19" s="40"/>
      <c r="AF19" s="40"/>
      <c r="AG19" s="43"/>
      <c r="AH19" s="40"/>
      <c r="AI19" s="40"/>
      <c r="AJ19" s="40"/>
      <c r="AK19" s="42"/>
      <c r="AL19" s="40"/>
      <c r="AM19" s="40"/>
      <c r="AN19" s="43"/>
      <c r="AO19" s="40"/>
      <c r="AP19" s="40"/>
      <c r="AQ19" s="42"/>
      <c r="AR19" s="40"/>
      <c r="AS19" s="40"/>
      <c r="AT19" s="43"/>
      <c r="AU19" s="40"/>
      <c r="AV19" s="40"/>
      <c r="AW19" s="42"/>
      <c r="AX19" s="40"/>
      <c r="AY19" s="40"/>
      <c r="AZ19" s="43"/>
      <c r="BA19" s="40"/>
      <c r="BB19" s="40"/>
      <c r="BC19" s="42"/>
      <c r="BD19" s="40"/>
      <c r="BE19" s="40"/>
      <c r="BF19" s="43"/>
      <c r="BG19" s="40"/>
      <c r="BH19" s="40"/>
      <c r="BI19" s="42"/>
      <c r="BJ19" s="40"/>
      <c r="BK19" s="40"/>
      <c r="BL19" s="43"/>
      <c r="BM19" s="40"/>
      <c r="BN19" s="40"/>
      <c r="BO19" s="42"/>
      <c r="BP19" s="40"/>
      <c r="BQ19" s="40"/>
      <c r="BR19" s="43"/>
      <c r="BS19" s="40"/>
      <c r="BT19" s="40"/>
      <c r="BU19" s="42"/>
      <c r="BV19" s="40"/>
      <c r="BW19" s="40"/>
      <c r="BX19" s="43"/>
      <c r="BY19" s="40"/>
      <c r="BZ19" s="40"/>
      <c r="CA19" s="42"/>
      <c r="CB19" s="40"/>
      <c r="CC19" s="75"/>
      <c r="CD19" s="43"/>
      <c r="CE19" s="40"/>
      <c r="CF19" s="40"/>
      <c r="CG19" s="42"/>
      <c r="CH19" s="40"/>
      <c r="CI19" s="40"/>
      <c r="CJ19" s="43"/>
      <c r="CK19" s="40"/>
      <c r="CL19" s="40"/>
      <c r="CM19" s="42"/>
      <c r="CN19" s="40"/>
      <c r="CO19" s="40"/>
      <c r="CP19" s="43"/>
      <c r="CQ19" s="40"/>
      <c r="CR19" s="40"/>
      <c r="CS19" s="42"/>
      <c r="CT19" s="40"/>
      <c r="CU19" s="40"/>
      <c r="CV19" s="43"/>
      <c r="CW19" s="40"/>
      <c r="CX19" s="40"/>
      <c r="CY19" s="42"/>
      <c r="CZ19" s="40"/>
      <c r="DA19" s="40"/>
      <c r="DB19" s="43"/>
      <c r="DC19" s="40"/>
      <c r="DD19" s="75" t="s">
        <v>311</v>
      </c>
      <c r="DE19" s="69">
        <v>10650</v>
      </c>
      <c r="DF19" s="40"/>
      <c r="DG19" s="40"/>
      <c r="DH19" s="68">
        <v>0</v>
      </c>
    </row>
    <row r="20" spans="1:112">
      <c r="A20" s="40">
        <v>14</v>
      </c>
      <c r="B20" s="40" t="s">
        <v>210</v>
      </c>
      <c r="C20" s="40">
        <v>4</v>
      </c>
      <c r="D20" s="29" t="s">
        <v>63</v>
      </c>
      <c r="E20" s="30">
        <v>11</v>
      </c>
      <c r="F20" s="32">
        <v>7</v>
      </c>
      <c r="G20" s="52">
        <v>10.587264000000001</v>
      </c>
      <c r="H20" s="68">
        <f t="shared" si="0"/>
        <v>0</v>
      </c>
      <c r="I20" s="47">
        <v>10.587264000000001</v>
      </c>
      <c r="J20" s="43">
        <v>10.59</v>
      </c>
      <c r="K20" s="40"/>
      <c r="L20" s="40"/>
      <c r="M20" s="43"/>
      <c r="N20" s="40"/>
      <c r="O20" s="40"/>
      <c r="P20" s="40"/>
      <c r="Q20" s="42"/>
      <c r="R20" s="40"/>
      <c r="S20" s="40"/>
      <c r="T20" s="43"/>
      <c r="U20" s="40"/>
      <c r="V20" s="40"/>
      <c r="W20" s="42"/>
      <c r="X20" s="40"/>
      <c r="Y20" s="40"/>
      <c r="Z20" s="43"/>
      <c r="AA20" s="40"/>
      <c r="AB20" s="40"/>
      <c r="AC20" s="42"/>
      <c r="AD20" s="40"/>
      <c r="AE20" s="40"/>
      <c r="AF20" s="40"/>
      <c r="AG20" s="43"/>
      <c r="AH20" s="40"/>
      <c r="AI20" s="40"/>
      <c r="AJ20" s="40"/>
      <c r="AK20" s="42"/>
      <c r="AL20" s="40"/>
      <c r="AM20" s="40"/>
      <c r="AN20" s="43"/>
      <c r="AO20" s="40"/>
      <c r="AP20" s="40"/>
      <c r="AQ20" s="42"/>
      <c r="AR20" s="40"/>
      <c r="AS20" s="40"/>
      <c r="AT20" s="43"/>
      <c r="AU20" s="40"/>
      <c r="AV20" s="40"/>
      <c r="AW20" s="42"/>
      <c r="AX20" s="40"/>
      <c r="AY20" s="40"/>
      <c r="AZ20" s="43"/>
      <c r="BA20" s="40"/>
      <c r="BB20" s="40"/>
      <c r="BC20" s="42"/>
      <c r="BD20" s="40"/>
      <c r="BE20" s="40"/>
      <c r="BF20" s="43"/>
      <c r="BG20" s="40"/>
      <c r="BH20" s="40"/>
      <c r="BI20" s="42"/>
      <c r="BJ20" s="40"/>
      <c r="BK20" s="40"/>
      <c r="BL20" s="43"/>
      <c r="BM20" s="40"/>
      <c r="BN20" s="40"/>
      <c r="BO20" s="42"/>
      <c r="BP20" s="40"/>
      <c r="BQ20" s="40"/>
      <c r="BR20" s="43"/>
      <c r="BS20" s="40"/>
      <c r="BT20" s="40"/>
      <c r="BU20" s="42"/>
      <c r="BV20" s="40"/>
      <c r="BW20" s="40"/>
      <c r="BX20" s="43"/>
      <c r="BY20" s="40"/>
      <c r="BZ20" s="40"/>
      <c r="CA20" s="42"/>
      <c r="CB20" s="40"/>
      <c r="CC20" s="75"/>
      <c r="CD20" s="43"/>
      <c r="CE20" s="40"/>
      <c r="CF20" s="40"/>
      <c r="CG20" s="42"/>
      <c r="CH20" s="40"/>
      <c r="CI20" s="40"/>
      <c r="CJ20" s="43"/>
      <c r="CK20" s="40"/>
      <c r="CL20" s="40"/>
      <c r="CM20" s="42"/>
      <c r="CN20" s="40"/>
      <c r="CO20" s="40"/>
      <c r="CP20" s="43"/>
      <c r="CQ20" s="40"/>
      <c r="CR20" s="40"/>
      <c r="CS20" s="42"/>
      <c r="CT20" s="40"/>
      <c r="CU20" s="40"/>
      <c r="CV20" s="43"/>
      <c r="CW20" s="40"/>
      <c r="CX20" s="40"/>
      <c r="CY20" s="42"/>
      <c r="CZ20" s="40"/>
      <c r="DA20" s="40"/>
      <c r="DB20" s="43"/>
      <c r="DC20" s="40"/>
      <c r="DD20" s="75" t="s">
        <v>311</v>
      </c>
      <c r="DE20" s="69">
        <v>10590</v>
      </c>
      <c r="DF20" s="40"/>
      <c r="DG20" s="40"/>
      <c r="DH20" s="68">
        <v>0</v>
      </c>
    </row>
    <row r="21" spans="1:112">
      <c r="A21" s="40">
        <v>15</v>
      </c>
      <c r="B21" s="40" t="s">
        <v>210</v>
      </c>
      <c r="C21" s="40">
        <v>4</v>
      </c>
      <c r="D21" s="29" t="s">
        <v>63</v>
      </c>
      <c r="E21" s="30">
        <v>12</v>
      </c>
      <c r="F21" s="32">
        <v>7</v>
      </c>
      <c r="G21" s="52">
        <v>10.63752</v>
      </c>
      <c r="H21" s="68">
        <f t="shared" si="0"/>
        <v>0</v>
      </c>
      <c r="I21" s="47">
        <v>10.63752</v>
      </c>
      <c r="J21" s="43">
        <v>10.64</v>
      </c>
      <c r="K21" s="40"/>
      <c r="L21" s="40"/>
      <c r="M21" s="43"/>
      <c r="N21" s="40"/>
      <c r="O21" s="40"/>
      <c r="P21" s="40"/>
      <c r="Q21" s="42"/>
      <c r="R21" s="40"/>
      <c r="S21" s="40"/>
      <c r="T21" s="43"/>
      <c r="U21" s="40"/>
      <c r="V21" s="40"/>
      <c r="W21" s="42"/>
      <c r="X21" s="40"/>
      <c r="Y21" s="40"/>
      <c r="Z21" s="43"/>
      <c r="AA21" s="40"/>
      <c r="AB21" s="40"/>
      <c r="AC21" s="42"/>
      <c r="AD21" s="40"/>
      <c r="AE21" s="40"/>
      <c r="AF21" s="40"/>
      <c r="AG21" s="43"/>
      <c r="AH21" s="40"/>
      <c r="AI21" s="40"/>
      <c r="AJ21" s="40"/>
      <c r="AK21" s="42"/>
      <c r="AL21" s="40"/>
      <c r="AM21" s="40"/>
      <c r="AN21" s="43"/>
      <c r="AO21" s="40"/>
      <c r="AP21" s="40"/>
      <c r="AQ21" s="42"/>
      <c r="AR21" s="40"/>
      <c r="AS21" s="40"/>
      <c r="AT21" s="43"/>
      <c r="AU21" s="40"/>
      <c r="AV21" s="40"/>
      <c r="AW21" s="42"/>
      <c r="AX21" s="40"/>
      <c r="AY21" s="40"/>
      <c r="AZ21" s="43"/>
      <c r="BA21" s="40"/>
      <c r="BB21" s="40"/>
      <c r="BC21" s="42"/>
      <c r="BD21" s="40"/>
      <c r="BE21" s="40"/>
      <c r="BF21" s="43"/>
      <c r="BG21" s="40"/>
      <c r="BH21" s="40"/>
      <c r="BI21" s="42"/>
      <c r="BJ21" s="40"/>
      <c r="BK21" s="40"/>
      <c r="BL21" s="43"/>
      <c r="BM21" s="40"/>
      <c r="BN21" s="40"/>
      <c r="BO21" s="42"/>
      <c r="BP21" s="40"/>
      <c r="BQ21" s="40"/>
      <c r="BR21" s="43"/>
      <c r="BS21" s="40"/>
      <c r="BT21" s="40"/>
      <c r="BU21" s="42"/>
      <c r="BV21" s="40"/>
      <c r="BW21" s="40"/>
      <c r="BX21" s="43"/>
      <c r="BY21" s="40"/>
      <c r="BZ21" s="40"/>
      <c r="CA21" s="42"/>
      <c r="CB21" s="40"/>
      <c r="CC21" s="75"/>
      <c r="CD21" s="43"/>
      <c r="CE21" s="40"/>
      <c r="CF21" s="40"/>
      <c r="CG21" s="42"/>
      <c r="CH21" s="40"/>
      <c r="CI21" s="40"/>
      <c r="CJ21" s="43"/>
      <c r="CK21" s="40"/>
      <c r="CL21" s="40"/>
      <c r="CM21" s="42"/>
      <c r="CN21" s="40"/>
      <c r="CO21" s="40"/>
      <c r="CP21" s="43"/>
      <c r="CQ21" s="40"/>
      <c r="CR21" s="40"/>
      <c r="CS21" s="42"/>
      <c r="CT21" s="40"/>
      <c r="CU21" s="40"/>
      <c r="CV21" s="43"/>
      <c r="CW21" s="40"/>
      <c r="CX21" s="40"/>
      <c r="CY21" s="42"/>
      <c r="CZ21" s="40"/>
      <c r="DA21" s="40"/>
      <c r="DB21" s="43"/>
      <c r="DC21" s="40"/>
      <c r="DD21" s="75" t="s">
        <v>311</v>
      </c>
      <c r="DE21" s="69">
        <v>10640</v>
      </c>
      <c r="DF21" s="40"/>
      <c r="DG21" s="40"/>
      <c r="DH21" s="68">
        <v>0</v>
      </c>
    </row>
    <row r="22" spans="1:112">
      <c r="A22" s="40">
        <v>16</v>
      </c>
      <c r="B22" s="40" t="s">
        <v>210</v>
      </c>
      <c r="C22" s="40">
        <v>4</v>
      </c>
      <c r="D22" s="29" t="s">
        <v>63</v>
      </c>
      <c r="E22" s="30">
        <v>15</v>
      </c>
      <c r="F22" s="32">
        <v>7</v>
      </c>
      <c r="G22" s="52">
        <v>10.252224000000002</v>
      </c>
      <c r="H22" s="68">
        <f t="shared" si="0"/>
        <v>0</v>
      </c>
      <c r="I22" s="47">
        <v>10.252224000000002</v>
      </c>
      <c r="J22" s="43">
        <v>10.25</v>
      </c>
      <c r="K22" s="40"/>
      <c r="L22" s="40"/>
      <c r="M22" s="43"/>
      <c r="N22" s="40"/>
      <c r="O22" s="40"/>
      <c r="P22" s="40"/>
      <c r="Q22" s="42"/>
      <c r="R22" s="40"/>
      <c r="S22" s="40"/>
      <c r="T22" s="43"/>
      <c r="U22" s="40"/>
      <c r="V22" s="40"/>
      <c r="W22" s="42"/>
      <c r="X22" s="40"/>
      <c r="Y22" s="40"/>
      <c r="Z22" s="43"/>
      <c r="AA22" s="40"/>
      <c r="AB22" s="40"/>
      <c r="AC22" s="42"/>
      <c r="AD22" s="40"/>
      <c r="AE22" s="40"/>
      <c r="AF22" s="40"/>
      <c r="AG22" s="43"/>
      <c r="AH22" s="40"/>
      <c r="AI22" s="40"/>
      <c r="AJ22" s="40"/>
      <c r="AK22" s="42"/>
      <c r="AL22" s="40"/>
      <c r="AM22" s="40"/>
      <c r="AN22" s="43"/>
      <c r="AO22" s="40"/>
      <c r="AP22" s="40"/>
      <c r="AQ22" s="42"/>
      <c r="AR22" s="40"/>
      <c r="AS22" s="40"/>
      <c r="AT22" s="43"/>
      <c r="AU22" s="40"/>
      <c r="AV22" s="40"/>
      <c r="AW22" s="42"/>
      <c r="AX22" s="40"/>
      <c r="AY22" s="40"/>
      <c r="AZ22" s="43"/>
      <c r="BA22" s="40"/>
      <c r="BB22" s="40"/>
      <c r="BC22" s="42"/>
      <c r="BD22" s="40"/>
      <c r="BE22" s="40"/>
      <c r="BF22" s="43"/>
      <c r="BG22" s="40"/>
      <c r="BH22" s="40"/>
      <c r="BI22" s="42"/>
      <c r="BJ22" s="40"/>
      <c r="BK22" s="40"/>
      <c r="BL22" s="43"/>
      <c r="BM22" s="40"/>
      <c r="BN22" s="40"/>
      <c r="BO22" s="42"/>
      <c r="BP22" s="40"/>
      <c r="BQ22" s="40"/>
      <c r="BR22" s="43"/>
      <c r="BS22" s="40"/>
      <c r="BT22" s="40"/>
      <c r="BU22" s="42"/>
      <c r="BV22" s="40"/>
      <c r="BW22" s="40"/>
      <c r="BX22" s="43"/>
      <c r="BY22" s="40"/>
      <c r="BZ22" s="40"/>
      <c r="CA22" s="42"/>
      <c r="CB22" s="40"/>
      <c r="CC22" s="75"/>
      <c r="CD22" s="43"/>
      <c r="CE22" s="40"/>
      <c r="CF22" s="40"/>
      <c r="CG22" s="42"/>
      <c r="CH22" s="40"/>
      <c r="CI22" s="40"/>
      <c r="CJ22" s="43"/>
      <c r="CK22" s="40"/>
      <c r="CL22" s="40"/>
      <c r="CM22" s="42"/>
      <c r="CN22" s="40"/>
      <c r="CO22" s="40"/>
      <c r="CP22" s="43"/>
      <c r="CQ22" s="40"/>
      <c r="CR22" s="40"/>
      <c r="CS22" s="42"/>
      <c r="CT22" s="40"/>
      <c r="CU22" s="40"/>
      <c r="CV22" s="43"/>
      <c r="CW22" s="40"/>
      <c r="CX22" s="40"/>
      <c r="CY22" s="42"/>
      <c r="CZ22" s="40"/>
      <c r="DA22" s="40"/>
      <c r="DB22" s="43"/>
      <c r="DC22" s="40"/>
      <c r="DD22" s="75" t="s">
        <v>311</v>
      </c>
      <c r="DE22" s="69">
        <v>10250</v>
      </c>
      <c r="DF22" s="40"/>
      <c r="DG22" s="40"/>
      <c r="DH22" s="68">
        <v>0</v>
      </c>
    </row>
    <row r="23" spans="1:112">
      <c r="A23" s="40">
        <v>17</v>
      </c>
      <c r="B23" s="40" t="s">
        <v>210</v>
      </c>
      <c r="C23" s="40">
        <v>4</v>
      </c>
      <c r="D23" s="29" t="s">
        <v>63</v>
      </c>
      <c r="E23" s="30">
        <v>16</v>
      </c>
      <c r="F23" s="32">
        <v>7</v>
      </c>
      <c r="G23" s="52">
        <v>10.880424000000001</v>
      </c>
      <c r="H23" s="68">
        <f t="shared" si="0"/>
        <v>0</v>
      </c>
      <c r="I23" s="47">
        <v>10.880424000000001</v>
      </c>
      <c r="J23" s="43">
        <v>10.88</v>
      </c>
      <c r="K23" s="40"/>
      <c r="L23" s="40"/>
      <c r="M23" s="43"/>
      <c r="N23" s="40"/>
      <c r="O23" s="40"/>
      <c r="P23" s="40"/>
      <c r="Q23" s="42"/>
      <c r="R23" s="40"/>
      <c r="S23" s="40"/>
      <c r="T23" s="43"/>
      <c r="U23" s="40"/>
      <c r="V23" s="40"/>
      <c r="W23" s="42"/>
      <c r="X23" s="40"/>
      <c r="Y23" s="40"/>
      <c r="Z23" s="43"/>
      <c r="AA23" s="40"/>
      <c r="AB23" s="40"/>
      <c r="AC23" s="42"/>
      <c r="AD23" s="40"/>
      <c r="AE23" s="40"/>
      <c r="AF23" s="40"/>
      <c r="AG23" s="43"/>
      <c r="AH23" s="40"/>
      <c r="AI23" s="40"/>
      <c r="AJ23" s="40"/>
      <c r="AK23" s="42"/>
      <c r="AL23" s="40"/>
      <c r="AM23" s="40"/>
      <c r="AN23" s="43"/>
      <c r="AO23" s="40"/>
      <c r="AP23" s="40"/>
      <c r="AQ23" s="42"/>
      <c r="AR23" s="40"/>
      <c r="AS23" s="40"/>
      <c r="AT23" s="43"/>
      <c r="AU23" s="40"/>
      <c r="AV23" s="40"/>
      <c r="AW23" s="42"/>
      <c r="AX23" s="40"/>
      <c r="AY23" s="40"/>
      <c r="AZ23" s="43"/>
      <c r="BA23" s="40"/>
      <c r="BB23" s="40"/>
      <c r="BC23" s="42"/>
      <c r="BD23" s="40"/>
      <c r="BE23" s="40"/>
      <c r="BF23" s="43"/>
      <c r="BG23" s="40"/>
      <c r="BH23" s="40"/>
      <c r="BI23" s="42"/>
      <c r="BJ23" s="40"/>
      <c r="BK23" s="40"/>
      <c r="BL23" s="43"/>
      <c r="BM23" s="40"/>
      <c r="BN23" s="40"/>
      <c r="BO23" s="42"/>
      <c r="BP23" s="40"/>
      <c r="BQ23" s="40"/>
      <c r="BR23" s="43"/>
      <c r="BS23" s="40"/>
      <c r="BT23" s="40"/>
      <c r="BU23" s="42"/>
      <c r="BV23" s="40"/>
      <c r="BW23" s="40"/>
      <c r="BX23" s="43"/>
      <c r="BY23" s="40"/>
      <c r="BZ23" s="40"/>
      <c r="CA23" s="42"/>
      <c r="CB23" s="40"/>
      <c r="CC23" s="75"/>
      <c r="CD23" s="43"/>
      <c r="CE23" s="40"/>
      <c r="CF23" s="40"/>
      <c r="CG23" s="42"/>
      <c r="CH23" s="40"/>
      <c r="CI23" s="40"/>
      <c r="CJ23" s="43"/>
      <c r="CK23" s="40"/>
      <c r="CL23" s="40"/>
      <c r="CM23" s="42"/>
      <c r="CN23" s="40"/>
      <c r="CO23" s="40"/>
      <c r="CP23" s="43"/>
      <c r="CQ23" s="40"/>
      <c r="CR23" s="40"/>
      <c r="CS23" s="42"/>
      <c r="CT23" s="40"/>
      <c r="CU23" s="40"/>
      <c r="CV23" s="43"/>
      <c r="CW23" s="40"/>
      <c r="CX23" s="40"/>
      <c r="CY23" s="42"/>
      <c r="CZ23" s="40"/>
      <c r="DA23" s="40"/>
      <c r="DB23" s="43"/>
      <c r="DC23" s="40"/>
      <c r="DD23" s="75" t="s">
        <v>311</v>
      </c>
      <c r="DE23" s="69">
        <v>10880</v>
      </c>
      <c r="DF23" s="40"/>
      <c r="DG23" s="40"/>
      <c r="DH23" s="68">
        <v>0</v>
      </c>
    </row>
    <row r="24" spans="1:112">
      <c r="A24" s="40">
        <v>18</v>
      </c>
      <c r="B24" s="40" t="s">
        <v>210</v>
      </c>
      <c r="C24" s="40">
        <v>4</v>
      </c>
      <c r="D24" s="29" t="s">
        <v>63</v>
      </c>
      <c r="E24" s="30">
        <v>18</v>
      </c>
      <c r="F24" s="32">
        <v>7</v>
      </c>
      <c r="G24" s="52">
        <v>10.528632000000002</v>
      </c>
      <c r="H24" s="68">
        <f t="shared" si="0"/>
        <v>0</v>
      </c>
      <c r="I24" s="47">
        <v>10.528632000000002</v>
      </c>
      <c r="J24" s="43">
        <v>10.53</v>
      </c>
      <c r="K24" s="40"/>
      <c r="L24" s="40"/>
      <c r="M24" s="43"/>
      <c r="N24" s="40"/>
      <c r="O24" s="40"/>
      <c r="P24" s="40"/>
      <c r="Q24" s="42"/>
      <c r="R24" s="40"/>
      <c r="S24" s="40"/>
      <c r="T24" s="43"/>
      <c r="U24" s="40"/>
      <c r="V24" s="40"/>
      <c r="W24" s="42"/>
      <c r="X24" s="40"/>
      <c r="Y24" s="40"/>
      <c r="Z24" s="43"/>
      <c r="AA24" s="40"/>
      <c r="AB24" s="40"/>
      <c r="AC24" s="42"/>
      <c r="AD24" s="40"/>
      <c r="AE24" s="40"/>
      <c r="AF24" s="40"/>
      <c r="AG24" s="43"/>
      <c r="AH24" s="40"/>
      <c r="AI24" s="40"/>
      <c r="AJ24" s="40"/>
      <c r="AK24" s="42"/>
      <c r="AL24" s="40"/>
      <c r="AM24" s="40"/>
      <c r="AN24" s="43"/>
      <c r="AO24" s="40"/>
      <c r="AP24" s="40"/>
      <c r="AQ24" s="42"/>
      <c r="AR24" s="40"/>
      <c r="AS24" s="40"/>
      <c r="AT24" s="43"/>
      <c r="AU24" s="40"/>
      <c r="AV24" s="40"/>
      <c r="AW24" s="42"/>
      <c r="AX24" s="40"/>
      <c r="AY24" s="40"/>
      <c r="AZ24" s="43"/>
      <c r="BA24" s="40"/>
      <c r="BB24" s="40"/>
      <c r="BC24" s="42"/>
      <c r="BD24" s="40"/>
      <c r="BE24" s="40"/>
      <c r="BF24" s="43"/>
      <c r="BG24" s="40"/>
      <c r="BH24" s="40"/>
      <c r="BI24" s="42"/>
      <c r="BJ24" s="40"/>
      <c r="BK24" s="40"/>
      <c r="BL24" s="43"/>
      <c r="BM24" s="40"/>
      <c r="BN24" s="40"/>
      <c r="BO24" s="42"/>
      <c r="BP24" s="40"/>
      <c r="BQ24" s="40"/>
      <c r="BR24" s="43"/>
      <c r="BS24" s="40"/>
      <c r="BT24" s="40"/>
      <c r="BU24" s="42"/>
      <c r="BV24" s="40"/>
      <c r="BW24" s="40"/>
      <c r="BX24" s="43"/>
      <c r="BY24" s="40"/>
      <c r="BZ24" s="40"/>
      <c r="CA24" s="42"/>
      <c r="CB24" s="40"/>
      <c r="CC24" s="75"/>
      <c r="CD24" s="43"/>
      <c r="CE24" s="40"/>
      <c r="CF24" s="40"/>
      <c r="CG24" s="42"/>
      <c r="CH24" s="40"/>
      <c r="CI24" s="40"/>
      <c r="CJ24" s="43"/>
      <c r="CK24" s="40"/>
      <c r="CL24" s="40"/>
      <c r="CM24" s="42"/>
      <c r="CN24" s="40"/>
      <c r="CO24" s="40"/>
      <c r="CP24" s="43"/>
      <c r="CQ24" s="40"/>
      <c r="CR24" s="40"/>
      <c r="CS24" s="42"/>
      <c r="CT24" s="40"/>
      <c r="CU24" s="40"/>
      <c r="CV24" s="43"/>
      <c r="CW24" s="40"/>
      <c r="CX24" s="40"/>
      <c r="CY24" s="42"/>
      <c r="CZ24" s="40"/>
      <c r="DA24" s="40"/>
      <c r="DB24" s="43"/>
      <c r="DC24" s="40" t="s">
        <v>362</v>
      </c>
      <c r="DD24" s="75" t="s">
        <v>361</v>
      </c>
      <c r="DE24" s="69">
        <v>10530</v>
      </c>
      <c r="DF24" s="40"/>
      <c r="DG24" s="40"/>
      <c r="DH24" s="68">
        <v>0</v>
      </c>
    </row>
    <row r="25" spans="1:112">
      <c r="A25" s="40">
        <v>19</v>
      </c>
      <c r="B25" s="40" t="s">
        <v>210</v>
      </c>
      <c r="C25" s="40">
        <v>4</v>
      </c>
      <c r="D25" s="29" t="s">
        <v>63</v>
      </c>
      <c r="E25" s="30">
        <v>19</v>
      </c>
      <c r="F25" s="32">
        <v>7</v>
      </c>
      <c r="G25" s="52">
        <v>7.8901920000000008</v>
      </c>
      <c r="H25" s="68">
        <f t="shared" si="0"/>
        <v>0</v>
      </c>
      <c r="I25" s="47">
        <v>7.8901920000000008</v>
      </c>
      <c r="J25" s="43">
        <v>7.89</v>
      </c>
      <c r="K25" s="40"/>
      <c r="L25" s="40"/>
      <c r="M25" s="43"/>
      <c r="N25" s="40"/>
      <c r="O25" s="40"/>
      <c r="P25" s="40"/>
      <c r="Q25" s="42"/>
      <c r="R25" s="40"/>
      <c r="S25" s="40"/>
      <c r="T25" s="43"/>
      <c r="U25" s="40"/>
      <c r="V25" s="40"/>
      <c r="W25" s="42"/>
      <c r="X25" s="40"/>
      <c r="Y25" s="40"/>
      <c r="Z25" s="43"/>
      <c r="AA25" s="40"/>
      <c r="AB25" s="40"/>
      <c r="AC25" s="42"/>
      <c r="AD25" s="40"/>
      <c r="AE25" s="40"/>
      <c r="AF25" s="40"/>
      <c r="AG25" s="43"/>
      <c r="AH25" s="40"/>
      <c r="AI25" s="40"/>
      <c r="AJ25" s="40"/>
      <c r="AK25" s="42"/>
      <c r="AL25" s="40"/>
      <c r="AM25" s="40"/>
      <c r="AN25" s="43"/>
      <c r="AO25" s="40"/>
      <c r="AP25" s="40"/>
      <c r="AQ25" s="42"/>
      <c r="AR25" s="40"/>
      <c r="AS25" s="40"/>
      <c r="AT25" s="43"/>
      <c r="AU25" s="40"/>
      <c r="AV25" s="40"/>
      <c r="AW25" s="42"/>
      <c r="AX25" s="40"/>
      <c r="AY25" s="40"/>
      <c r="AZ25" s="43"/>
      <c r="BA25" s="40"/>
      <c r="BB25" s="40"/>
      <c r="BC25" s="42"/>
      <c r="BD25" s="40"/>
      <c r="BE25" s="40"/>
      <c r="BF25" s="43"/>
      <c r="BG25" s="40"/>
      <c r="BH25" s="40"/>
      <c r="BI25" s="42"/>
      <c r="BJ25" s="40"/>
      <c r="BK25" s="40"/>
      <c r="BL25" s="43"/>
      <c r="BM25" s="40"/>
      <c r="BN25" s="40"/>
      <c r="BO25" s="42"/>
      <c r="BP25" s="40"/>
      <c r="BQ25" s="40"/>
      <c r="BR25" s="43"/>
      <c r="BS25" s="40"/>
      <c r="BT25" s="40"/>
      <c r="BU25" s="42"/>
      <c r="BV25" s="40"/>
      <c r="BW25" s="40"/>
      <c r="BX25" s="43"/>
      <c r="BY25" s="40"/>
      <c r="BZ25" s="40"/>
      <c r="CA25" s="42"/>
      <c r="CB25" s="40"/>
      <c r="CC25" s="75"/>
      <c r="CD25" s="43"/>
      <c r="CE25" s="40"/>
      <c r="CF25" s="40"/>
      <c r="CG25" s="42"/>
      <c r="CH25" s="40"/>
      <c r="CI25" s="40"/>
      <c r="CJ25" s="43"/>
      <c r="CK25" s="40"/>
      <c r="CL25" s="40"/>
      <c r="CM25" s="42"/>
      <c r="CN25" s="40"/>
      <c r="CO25" s="40"/>
      <c r="CP25" s="43"/>
      <c r="CQ25" s="40"/>
      <c r="CR25" s="40"/>
      <c r="CS25" s="42"/>
      <c r="CT25" s="40"/>
      <c r="CU25" s="40"/>
      <c r="CV25" s="43"/>
      <c r="CW25" s="40"/>
      <c r="CX25" s="40"/>
      <c r="CY25" s="42"/>
      <c r="CZ25" s="40"/>
      <c r="DA25" s="40"/>
      <c r="DB25" s="43"/>
      <c r="DC25" s="40"/>
      <c r="DD25" s="75" t="s">
        <v>311</v>
      </c>
      <c r="DE25" s="69">
        <v>7890</v>
      </c>
      <c r="DF25" s="40"/>
      <c r="DG25" s="40"/>
      <c r="DH25" s="68">
        <v>0</v>
      </c>
    </row>
    <row r="26" spans="1:112">
      <c r="A26" s="40">
        <v>20</v>
      </c>
      <c r="B26" s="40" t="s">
        <v>210</v>
      </c>
      <c r="C26" s="40">
        <v>4</v>
      </c>
      <c r="D26" s="29" t="s">
        <v>63</v>
      </c>
      <c r="E26" s="30">
        <v>20</v>
      </c>
      <c r="F26" s="32">
        <v>7</v>
      </c>
      <c r="G26" s="52">
        <v>19.214544</v>
      </c>
      <c r="H26" s="68">
        <f t="shared" si="0"/>
        <v>0</v>
      </c>
      <c r="I26" s="47">
        <v>19.214544</v>
      </c>
      <c r="J26" s="43">
        <v>19.21</v>
      </c>
      <c r="K26" s="40"/>
      <c r="L26" s="40"/>
      <c r="M26" s="43"/>
      <c r="N26" s="40"/>
      <c r="O26" s="40"/>
      <c r="P26" s="40"/>
      <c r="Q26" s="42"/>
      <c r="R26" s="40"/>
      <c r="S26" s="40"/>
      <c r="T26" s="43"/>
      <c r="U26" s="40"/>
      <c r="V26" s="40"/>
      <c r="W26" s="42"/>
      <c r="X26" s="40"/>
      <c r="Y26" s="40"/>
      <c r="Z26" s="43"/>
      <c r="AA26" s="40"/>
      <c r="AB26" s="40"/>
      <c r="AC26" s="42"/>
      <c r="AD26" s="40"/>
      <c r="AE26" s="40"/>
      <c r="AF26" s="40"/>
      <c r="AG26" s="43"/>
      <c r="AH26" s="40"/>
      <c r="AI26" s="40"/>
      <c r="AJ26" s="40"/>
      <c r="AK26" s="42"/>
      <c r="AL26" s="40"/>
      <c r="AM26" s="40"/>
      <c r="AN26" s="43"/>
      <c r="AO26" s="40"/>
      <c r="AP26" s="40"/>
      <c r="AQ26" s="42"/>
      <c r="AR26" s="40"/>
      <c r="AS26" s="40"/>
      <c r="AT26" s="43"/>
      <c r="AU26" s="40"/>
      <c r="AV26" s="40"/>
      <c r="AW26" s="42"/>
      <c r="AX26" s="40"/>
      <c r="AY26" s="40"/>
      <c r="AZ26" s="43"/>
      <c r="BA26" s="40"/>
      <c r="BB26" s="40"/>
      <c r="BC26" s="42"/>
      <c r="BD26" s="40"/>
      <c r="BE26" s="40"/>
      <c r="BF26" s="43"/>
      <c r="BG26" s="40"/>
      <c r="BH26" s="40"/>
      <c r="BI26" s="42"/>
      <c r="BJ26" s="40"/>
      <c r="BK26" s="40"/>
      <c r="BL26" s="43"/>
      <c r="BM26" s="40"/>
      <c r="BN26" s="40"/>
      <c r="BO26" s="42"/>
      <c r="BP26" s="40"/>
      <c r="BQ26" s="40"/>
      <c r="BR26" s="43"/>
      <c r="BS26" s="40"/>
      <c r="BT26" s="40"/>
      <c r="BU26" s="42"/>
      <c r="BV26" s="40"/>
      <c r="BW26" s="40"/>
      <c r="BX26" s="43"/>
      <c r="BY26" s="40"/>
      <c r="BZ26" s="40"/>
      <c r="CA26" s="42"/>
      <c r="CB26" s="40"/>
      <c r="CC26" s="75"/>
      <c r="CD26" s="43"/>
      <c r="CE26" s="40"/>
      <c r="CF26" s="40"/>
      <c r="CG26" s="42"/>
      <c r="CH26" s="40"/>
      <c r="CI26" s="40"/>
      <c r="CJ26" s="43"/>
      <c r="CK26" s="40"/>
      <c r="CL26" s="40"/>
      <c r="CM26" s="42"/>
      <c r="CN26" s="40"/>
      <c r="CO26" s="40"/>
      <c r="CP26" s="43"/>
      <c r="CQ26" s="40"/>
      <c r="CR26" s="40"/>
      <c r="CS26" s="42"/>
      <c r="CT26" s="40"/>
      <c r="CU26" s="40"/>
      <c r="CV26" s="43"/>
      <c r="CW26" s="40"/>
      <c r="CX26" s="40"/>
      <c r="CY26" s="42"/>
      <c r="CZ26" s="40"/>
      <c r="DA26" s="40"/>
      <c r="DB26" s="43"/>
      <c r="DC26" s="40"/>
      <c r="DD26" s="75" t="s">
        <v>311</v>
      </c>
      <c r="DE26" s="69">
        <v>19210</v>
      </c>
      <c r="DF26" s="40"/>
      <c r="DG26" s="40"/>
      <c r="DH26" s="68">
        <v>0</v>
      </c>
    </row>
    <row r="27" spans="1:112">
      <c r="A27" s="40">
        <v>21</v>
      </c>
      <c r="B27" s="40" t="s">
        <v>210</v>
      </c>
      <c r="C27" s="40">
        <v>4</v>
      </c>
      <c r="D27" s="29" t="s">
        <v>63</v>
      </c>
      <c r="E27" s="30">
        <v>21</v>
      </c>
      <c r="F27" s="32">
        <v>7</v>
      </c>
      <c r="G27" s="52">
        <v>10.570512000000001</v>
      </c>
      <c r="H27" s="68">
        <f t="shared" si="0"/>
        <v>0</v>
      </c>
      <c r="I27" s="47">
        <v>10.570512000000001</v>
      </c>
      <c r="J27" s="43">
        <v>10.57</v>
      </c>
      <c r="K27" s="40"/>
      <c r="L27" s="40"/>
      <c r="M27" s="43"/>
      <c r="N27" s="40"/>
      <c r="O27" s="40"/>
      <c r="P27" s="40"/>
      <c r="Q27" s="42"/>
      <c r="R27" s="40"/>
      <c r="S27" s="40"/>
      <c r="T27" s="43"/>
      <c r="U27" s="40"/>
      <c r="V27" s="40"/>
      <c r="W27" s="42"/>
      <c r="X27" s="40"/>
      <c r="Y27" s="40"/>
      <c r="Z27" s="43"/>
      <c r="AA27" s="40"/>
      <c r="AB27" s="40"/>
      <c r="AC27" s="42"/>
      <c r="AD27" s="40"/>
      <c r="AE27" s="40"/>
      <c r="AF27" s="40"/>
      <c r="AG27" s="43"/>
      <c r="AH27" s="40"/>
      <c r="AI27" s="40"/>
      <c r="AJ27" s="40"/>
      <c r="AK27" s="42"/>
      <c r="AL27" s="40"/>
      <c r="AM27" s="40"/>
      <c r="AN27" s="43"/>
      <c r="AO27" s="40"/>
      <c r="AP27" s="40"/>
      <c r="AQ27" s="42"/>
      <c r="AR27" s="40"/>
      <c r="AS27" s="40"/>
      <c r="AT27" s="43"/>
      <c r="AU27" s="40"/>
      <c r="AV27" s="40"/>
      <c r="AW27" s="42"/>
      <c r="AX27" s="40"/>
      <c r="AY27" s="40"/>
      <c r="AZ27" s="43"/>
      <c r="BA27" s="40"/>
      <c r="BB27" s="40"/>
      <c r="BC27" s="42"/>
      <c r="BD27" s="40"/>
      <c r="BE27" s="40"/>
      <c r="BF27" s="43"/>
      <c r="BG27" s="40"/>
      <c r="BH27" s="40"/>
      <c r="BI27" s="42"/>
      <c r="BJ27" s="40"/>
      <c r="BK27" s="40"/>
      <c r="BL27" s="43"/>
      <c r="BM27" s="40"/>
      <c r="BN27" s="40"/>
      <c r="BO27" s="42"/>
      <c r="BP27" s="40"/>
      <c r="BQ27" s="40"/>
      <c r="BR27" s="43"/>
      <c r="BS27" s="40"/>
      <c r="BT27" s="40"/>
      <c r="BU27" s="42"/>
      <c r="BV27" s="40"/>
      <c r="BW27" s="40"/>
      <c r="BX27" s="43"/>
      <c r="BY27" s="40"/>
      <c r="BZ27" s="40"/>
      <c r="CA27" s="42"/>
      <c r="CB27" s="40"/>
      <c r="CC27" s="75"/>
      <c r="CD27" s="43"/>
      <c r="CE27" s="40"/>
      <c r="CF27" s="40"/>
      <c r="CG27" s="42"/>
      <c r="CH27" s="40"/>
      <c r="CI27" s="40"/>
      <c r="CJ27" s="43"/>
      <c r="CK27" s="40"/>
      <c r="CL27" s="40"/>
      <c r="CM27" s="42"/>
      <c r="CN27" s="40"/>
      <c r="CO27" s="40"/>
      <c r="CP27" s="43"/>
      <c r="CQ27" s="40"/>
      <c r="CR27" s="40"/>
      <c r="CS27" s="42"/>
      <c r="CT27" s="40"/>
      <c r="CU27" s="40"/>
      <c r="CV27" s="43"/>
      <c r="CW27" s="40"/>
      <c r="CX27" s="40"/>
      <c r="CY27" s="42"/>
      <c r="CZ27" s="40"/>
      <c r="DA27" s="40"/>
      <c r="DB27" s="43"/>
      <c r="DC27" s="40"/>
      <c r="DD27" s="75" t="s">
        <v>311</v>
      </c>
      <c r="DE27" s="69">
        <v>10570</v>
      </c>
      <c r="DF27" s="40"/>
      <c r="DG27" s="40"/>
      <c r="DH27" s="68">
        <v>0</v>
      </c>
    </row>
    <row r="28" spans="1:112">
      <c r="A28" s="40">
        <v>22</v>
      </c>
      <c r="B28" s="40" t="s">
        <v>210</v>
      </c>
      <c r="C28" s="40">
        <v>4</v>
      </c>
      <c r="D28" s="29" t="s">
        <v>63</v>
      </c>
      <c r="E28" s="30">
        <v>22</v>
      </c>
      <c r="F28" s="32">
        <v>7</v>
      </c>
      <c r="G28" s="52">
        <v>10.578888000000001</v>
      </c>
      <c r="H28" s="68">
        <f t="shared" si="0"/>
        <v>0</v>
      </c>
      <c r="I28" s="47">
        <v>10.578888000000001</v>
      </c>
      <c r="J28" s="43">
        <v>10.58</v>
      </c>
      <c r="K28" s="40"/>
      <c r="L28" s="40"/>
      <c r="M28" s="43"/>
      <c r="N28" s="40"/>
      <c r="O28" s="40"/>
      <c r="P28" s="40"/>
      <c r="Q28" s="42"/>
      <c r="R28" s="40"/>
      <c r="S28" s="40"/>
      <c r="T28" s="43"/>
      <c r="U28" s="40"/>
      <c r="V28" s="40"/>
      <c r="W28" s="42"/>
      <c r="X28" s="40"/>
      <c r="Y28" s="40"/>
      <c r="Z28" s="43"/>
      <c r="AA28" s="40"/>
      <c r="AB28" s="40"/>
      <c r="AC28" s="42"/>
      <c r="AD28" s="40"/>
      <c r="AE28" s="40"/>
      <c r="AF28" s="40"/>
      <c r="AG28" s="43"/>
      <c r="AH28" s="40"/>
      <c r="AI28" s="40"/>
      <c r="AJ28" s="40"/>
      <c r="AK28" s="42"/>
      <c r="AL28" s="40"/>
      <c r="AM28" s="40"/>
      <c r="AN28" s="43"/>
      <c r="AO28" s="40"/>
      <c r="AP28" s="40"/>
      <c r="AQ28" s="42"/>
      <c r="AR28" s="40"/>
      <c r="AS28" s="40"/>
      <c r="AT28" s="43"/>
      <c r="AU28" s="40"/>
      <c r="AV28" s="40"/>
      <c r="AW28" s="42"/>
      <c r="AX28" s="40"/>
      <c r="AY28" s="40"/>
      <c r="AZ28" s="43"/>
      <c r="BA28" s="40"/>
      <c r="BB28" s="40"/>
      <c r="BC28" s="42"/>
      <c r="BD28" s="40"/>
      <c r="BE28" s="40"/>
      <c r="BF28" s="43"/>
      <c r="BG28" s="40"/>
      <c r="BH28" s="40"/>
      <c r="BI28" s="42"/>
      <c r="BJ28" s="40"/>
      <c r="BK28" s="40"/>
      <c r="BL28" s="43"/>
      <c r="BM28" s="40"/>
      <c r="BN28" s="40"/>
      <c r="BO28" s="42"/>
      <c r="BP28" s="40"/>
      <c r="BQ28" s="40"/>
      <c r="BR28" s="43"/>
      <c r="BS28" s="40"/>
      <c r="BT28" s="40"/>
      <c r="BU28" s="42"/>
      <c r="BV28" s="40"/>
      <c r="BW28" s="40"/>
      <c r="BX28" s="43"/>
      <c r="BY28" s="40"/>
      <c r="BZ28" s="40"/>
      <c r="CA28" s="42"/>
      <c r="CB28" s="40"/>
      <c r="CC28" s="75"/>
      <c r="CD28" s="43"/>
      <c r="CE28" s="40"/>
      <c r="CF28" s="40"/>
      <c r="CG28" s="42"/>
      <c r="CH28" s="40"/>
      <c r="CI28" s="40"/>
      <c r="CJ28" s="43"/>
      <c r="CK28" s="40"/>
      <c r="CL28" s="40"/>
      <c r="CM28" s="42"/>
      <c r="CN28" s="40"/>
      <c r="CO28" s="40"/>
      <c r="CP28" s="43"/>
      <c r="CQ28" s="40"/>
      <c r="CR28" s="40"/>
      <c r="CS28" s="42"/>
      <c r="CT28" s="40"/>
      <c r="CU28" s="40"/>
      <c r="CV28" s="43"/>
      <c r="CW28" s="40"/>
      <c r="CX28" s="40"/>
      <c r="CY28" s="42"/>
      <c r="CZ28" s="40"/>
      <c r="DA28" s="40"/>
      <c r="DB28" s="43"/>
      <c r="DC28" s="40"/>
      <c r="DD28" s="75" t="s">
        <v>311</v>
      </c>
      <c r="DE28" s="69">
        <v>10580</v>
      </c>
      <c r="DF28" s="40"/>
      <c r="DG28" s="40"/>
      <c r="DH28" s="68">
        <v>0</v>
      </c>
    </row>
    <row r="29" spans="1:112">
      <c r="A29" s="40">
        <v>23</v>
      </c>
      <c r="B29" s="40" t="s">
        <v>210</v>
      </c>
      <c r="C29" s="40">
        <v>4</v>
      </c>
      <c r="D29" s="29" t="s">
        <v>63</v>
      </c>
      <c r="E29" s="30">
        <v>27</v>
      </c>
      <c r="F29" s="32">
        <v>7</v>
      </c>
      <c r="G29" s="52">
        <v>10.645896</v>
      </c>
      <c r="H29" s="68">
        <f t="shared" si="0"/>
        <v>0</v>
      </c>
      <c r="I29" s="47">
        <v>10.645896</v>
      </c>
      <c r="J29" s="43">
        <v>10.65</v>
      </c>
      <c r="K29" s="40"/>
      <c r="L29" s="40"/>
      <c r="M29" s="43"/>
      <c r="N29" s="40"/>
      <c r="O29" s="40"/>
      <c r="P29" s="40"/>
      <c r="Q29" s="42"/>
      <c r="R29" s="40"/>
      <c r="S29" s="40"/>
      <c r="T29" s="43"/>
      <c r="U29" s="40"/>
      <c r="V29" s="40"/>
      <c r="W29" s="42"/>
      <c r="X29" s="40"/>
      <c r="Y29" s="40"/>
      <c r="Z29" s="43"/>
      <c r="AA29" s="40"/>
      <c r="AB29" s="40"/>
      <c r="AC29" s="42"/>
      <c r="AD29" s="40"/>
      <c r="AE29" s="40"/>
      <c r="AF29" s="40"/>
      <c r="AG29" s="43"/>
      <c r="AH29" s="40"/>
      <c r="AI29" s="40"/>
      <c r="AJ29" s="40"/>
      <c r="AK29" s="42"/>
      <c r="AL29" s="40"/>
      <c r="AM29" s="40"/>
      <c r="AN29" s="43"/>
      <c r="AO29" s="40"/>
      <c r="AP29" s="40"/>
      <c r="AQ29" s="42"/>
      <c r="AR29" s="40"/>
      <c r="AS29" s="40"/>
      <c r="AT29" s="43"/>
      <c r="AU29" s="40"/>
      <c r="AV29" s="40"/>
      <c r="AW29" s="42"/>
      <c r="AX29" s="40"/>
      <c r="AY29" s="40"/>
      <c r="AZ29" s="43"/>
      <c r="BA29" s="40"/>
      <c r="BB29" s="40"/>
      <c r="BC29" s="42"/>
      <c r="BD29" s="40"/>
      <c r="BE29" s="40"/>
      <c r="BF29" s="43"/>
      <c r="BG29" s="40"/>
      <c r="BH29" s="40"/>
      <c r="BI29" s="42"/>
      <c r="BJ29" s="40"/>
      <c r="BK29" s="40"/>
      <c r="BL29" s="43"/>
      <c r="BM29" s="40"/>
      <c r="BN29" s="40"/>
      <c r="BO29" s="42"/>
      <c r="BP29" s="40"/>
      <c r="BQ29" s="40"/>
      <c r="BR29" s="43"/>
      <c r="BS29" s="40"/>
      <c r="BT29" s="40"/>
      <c r="BU29" s="42"/>
      <c r="BV29" s="40"/>
      <c r="BW29" s="40"/>
      <c r="BX29" s="43"/>
      <c r="BY29" s="40"/>
      <c r="BZ29" s="40"/>
      <c r="CA29" s="42"/>
      <c r="CB29" s="40"/>
      <c r="CC29" s="75"/>
      <c r="CD29" s="43"/>
      <c r="CE29" s="40"/>
      <c r="CF29" s="40"/>
      <c r="CG29" s="42"/>
      <c r="CH29" s="40"/>
      <c r="CI29" s="40"/>
      <c r="CJ29" s="43"/>
      <c r="CK29" s="40"/>
      <c r="CL29" s="40"/>
      <c r="CM29" s="42"/>
      <c r="CN29" s="40"/>
      <c r="CO29" s="40"/>
      <c r="CP29" s="43"/>
      <c r="CQ29" s="40"/>
      <c r="CR29" s="40"/>
      <c r="CS29" s="42"/>
      <c r="CT29" s="40"/>
      <c r="CU29" s="40"/>
      <c r="CV29" s="43"/>
      <c r="CW29" s="40"/>
      <c r="CX29" s="40"/>
      <c r="CY29" s="42"/>
      <c r="CZ29" s="40"/>
      <c r="DA29" s="40"/>
      <c r="DB29" s="43"/>
      <c r="DC29" s="40"/>
      <c r="DD29" s="75" t="s">
        <v>311</v>
      </c>
      <c r="DE29" s="69">
        <v>10650</v>
      </c>
      <c r="DF29" s="40"/>
      <c r="DG29" s="40"/>
      <c r="DH29" s="68">
        <v>0</v>
      </c>
    </row>
    <row r="30" spans="1:112">
      <c r="A30" s="40">
        <v>24</v>
      </c>
      <c r="B30" s="40" t="s">
        <v>210</v>
      </c>
      <c r="C30" s="40">
        <v>4</v>
      </c>
      <c r="D30" s="29" t="s">
        <v>63</v>
      </c>
      <c r="E30" s="30">
        <v>31</v>
      </c>
      <c r="F30" s="32">
        <v>7</v>
      </c>
      <c r="G30" s="52">
        <v>12.044688000000003</v>
      </c>
      <c r="H30" s="68">
        <f t="shared" si="0"/>
        <v>0</v>
      </c>
      <c r="I30" s="47">
        <v>12.044688000000003</v>
      </c>
      <c r="J30" s="43">
        <v>12.04</v>
      </c>
      <c r="K30" s="40"/>
      <c r="L30" s="40"/>
      <c r="M30" s="43"/>
      <c r="N30" s="40"/>
      <c r="O30" s="40"/>
      <c r="P30" s="40"/>
      <c r="Q30" s="42"/>
      <c r="R30" s="40"/>
      <c r="S30" s="40"/>
      <c r="T30" s="43"/>
      <c r="U30" s="40"/>
      <c r="V30" s="40"/>
      <c r="W30" s="42"/>
      <c r="X30" s="40"/>
      <c r="Y30" s="40"/>
      <c r="Z30" s="43"/>
      <c r="AA30" s="40"/>
      <c r="AB30" s="40"/>
      <c r="AC30" s="42"/>
      <c r="AD30" s="40"/>
      <c r="AE30" s="40"/>
      <c r="AF30" s="40"/>
      <c r="AG30" s="43"/>
      <c r="AH30" s="40"/>
      <c r="AI30" s="40"/>
      <c r="AJ30" s="40"/>
      <c r="AK30" s="42"/>
      <c r="AL30" s="40"/>
      <c r="AM30" s="40"/>
      <c r="AN30" s="43"/>
      <c r="AO30" s="40"/>
      <c r="AP30" s="40"/>
      <c r="AQ30" s="42"/>
      <c r="AR30" s="40"/>
      <c r="AS30" s="40"/>
      <c r="AT30" s="43"/>
      <c r="AU30" s="40"/>
      <c r="AV30" s="40"/>
      <c r="AW30" s="42"/>
      <c r="AX30" s="40"/>
      <c r="AY30" s="40"/>
      <c r="AZ30" s="43"/>
      <c r="BA30" s="40"/>
      <c r="BB30" s="40"/>
      <c r="BC30" s="42"/>
      <c r="BD30" s="40"/>
      <c r="BE30" s="40"/>
      <c r="BF30" s="43"/>
      <c r="BG30" s="40"/>
      <c r="BH30" s="40"/>
      <c r="BI30" s="42"/>
      <c r="BJ30" s="40"/>
      <c r="BK30" s="40"/>
      <c r="BL30" s="43"/>
      <c r="BM30" s="40"/>
      <c r="BN30" s="40"/>
      <c r="BO30" s="42"/>
      <c r="BP30" s="40"/>
      <c r="BQ30" s="40"/>
      <c r="BR30" s="43"/>
      <c r="BS30" s="40"/>
      <c r="BT30" s="40"/>
      <c r="BU30" s="42"/>
      <c r="BV30" s="40"/>
      <c r="BW30" s="40"/>
      <c r="BX30" s="43"/>
      <c r="BY30" s="40"/>
      <c r="BZ30" s="40"/>
      <c r="CA30" s="42"/>
      <c r="CB30" s="40"/>
      <c r="CC30" s="75"/>
      <c r="CD30" s="43"/>
      <c r="CE30" s="40"/>
      <c r="CF30" s="40"/>
      <c r="CG30" s="42"/>
      <c r="CH30" s="40"/>
      <c r="CI30" s="40"/>
      <c r="CJ30" s="43"/>
      <c r="CK30" s="40"/>
      <c r="CL30" s="40"/>
      <c r="CM30" s="42"/>
      <c r="CN30" s="40"/>
      <c r="CO30" s="40"/>
      <c r="CP30" s="43"/>
      <c r="CQ30" s="40"/>
      <c r="CR30" s="40"/>
      <c r="CS30" s="42"/>
      <c r="CT30" s="40"/>
      <c r="CU30" s="40"/>
      <c r="CV30" s="43"/>
      <c r="CW30" s="40"/>
      <c r="CX30" s="40"/>
      <c r="CY30" s="42"/>
      <c r="CZ30" s="40"/>
      <c r="DA30" s="40"/>
      <c r="DB30" s="43"/>
      <c r="DC30" s="40"/>
      <c r="DD30" s="75" t="s">
        <v>311</v>
      </c>
      <c r="DE30" s="69">
        <v>12040</v>
      </c>
      <c r="DF30" s="40"/>
      <c r="DG30" s="40"/>
      <c r="DH30" s="68">
        <v>0</v>
      </c>
    </row>
    <row r="31" spans="1:112">
      <c r="A31" s="40">
        <v>25</v>
      </c>
      <c r="B31" s="40" t="s">
        <v>210</v>
      </c>
      <c r="C31" s="40">
        <v>4</v>
      </c>
      <c r="D31" s="29" t="s">
        <v>63</v>
      </c>
      <c r="E31" s="30">
        <v>32</v>
      </c>
      <c r="F31" s="32">
        <v>7</v>
      </c>
      <c r="G31" s="52">
        <v>10.511880000000001</v>
      </c>
      <c r="H31" s="68">
        <f t="shared" si="0"/>
        <v>0</v>
      </c>
      <c r="I31" s="47">
        <v>10.511880000000001</v>
      </c>
      <c r="J31" s="43">
        <v>10.51</v>
      </c>
      <c r="K31" s="40"/>
      <c r="L31" s="40"/>
      <c r="M31" s="43"/>
      <c r="N31" s="40"/>
      <c r="O31" s="40"/>
      <c r="P31" s="40"/>
      <c r="Q31" s="42"/>
      <c r="R31" s="40"/>
      <c r="S31" s="40"/>
      <c r="T31" s="43"/>
      <c r="U31" s="40"/>
      <c r="V31" s="40"/>
      <c r="W31" s="42"/>
      <c r="X31" s="40"/>
      <c r="Y31" s="40"/>
      <c r="Z31" s="43"/>
      <c r="AA31" s="40"/>
      <c r="AB31" s="40"/>
      <c r="AC31" s="42"/>
      <c r="AD31" s="40"/>
      <c r="AE31" s="40"/>
      <c r="AF31" s="40"/>
      <c r="AG31" s="43"/>
      <c r="AH31" s="40"/>
      <c r="AI31" s="40"/>
      <c r="AJ31" s="40"/>
      <c r="AK31" s="42"/>
      <c r="AL31" s="40"/>
      <c r="AM31" s="40"/>
      <c r="AN31" s="43"/>
      <c r="AO31" s="40"/>
      <c r="AP31" s="40"/>
      <c r="AQ31" s="42"/>
      <c r="AR31" s="40"/>
      <c r="AS31" s="40"/>
      <c r="AT31" s="43"/>
      <c r="AU31" s="40"/>
      <c r="AV31" s="40"/>
      <c r="AW31" s="42"/>
      <c r="AX31" s="40"/>
      <c r="AY31" s="40"/>
      <c r="AZ31" s="43"/>
      <c r="BA31" s="40"/>
      <c r="BB31" s="40"/>
      <c r="BC31" s="42"/>
      <c r="BD31" s="40"/>
      <c r="BE31" s="40"/>
      <c r="BF31" s="43"/>
      <c r="BG31" s="40"/>
      <c r="BH31" s="40"/>
      <c r="BI31" s="42"/>
      <c r="BJ31" s="40"/>
      <c r="BK31" s="40"/>
      <c r="BL31" s="43"/>
      <c r="BM31" s="40"/>
      <c r="BN31" s="40"/>
      <c r="BO31" s="42"/>
      <c r="BP31" s="40"/>
      <c r="BQ31" s="40"/>
      <c r="BR31" s="43"/>
      <c r="BS31" s="40"/>
      <c r="BT31" s="40"/>
      <c r="BU31" s="42"/>
      <c r="BV31" s="40"/>
      <c r="BW31" s="40"/>
      <c r="BX31" s="43"/>
      <c r="BY31" s="40"/>
      <c r="BZ31" s="40"/>
      <c r="CA31" s="42"/>
      <c r="CB31" s="40"/>
      <c r="CC31" s="75"/>
      <c r="CD31" s="43"/>
      <c r="CE31" s="40"/>
      <c r="CF31" s="40"/>
      <c r="CG31" s="42"/>
      <c r="CH31" s="40"/>
      <c r="CI31" s="40"/>
      <c r="CJ31" s="43"/>
      <c r="CK31" s="40"/>
      <c r="CL31" s="40"/>
      <c r="CM31" s="42"/>
      <c r="CN31" s="40"/>
      <c r="CO31" s="40"/>
      <c r="CP31" s="43"/>
      <c r="CQ31" s="40"/>
      <c r="CR31" s="40"/>
      <c r="CS31" s="42"/>
      <c r="CT31" s="40"/>
      <c r="CU31" s="40"/>
      <c r="CV31" s="43"/>
      <c r="CW31" s="40"/>
      <c r="CX31" s="40"/>
      <c r="CY31" s="42"/>
      <c r="CZ31" s="40"/>
      <c r="DA31" s="40"/>
      <c r="DB31" s="43"/>
      <c r="DC31" s="40"/>
      <c r="DD31" s="75" t="s">
        <v>311</v>
      </c>
      <c r="DE31" s="69">
        <v>10510</v>
      </c>
      <c r="DF31" s="40"/>
      <c r="DG31" s="40"/>
      <c r="DH31" s="68">
        <v>0</v>
      </c>
    </row>
    <row r="32" spans="1:112">
      <c r="A32" s="40">
        <v>26</v>
      </c>
      <c r="B32" s="40" t="s">
        <v>210</v>
      </c>
      <c r="C32" s="40">
        <v>4</v>
      </c>
      <c r="D32" s="29" t="s">
        <v>63</v>
      </c>
      <c r="E32" s="30">
        <v>33</v>
      </c>
      <c r="F32" s="32">
        <v>7</v>
      </c>
      <c r="G32" s="52">
        <v>10.562136000000001</v>
      </c>
      <c r="H32" s="68">
        <f t="shared" si="0"/>
        <v>0</v>
      </c>
      <c r="I32" s="47">
        <v>10.562136000000001</v>
      </c>
      <c r="J32" s="43">
        <v>10.56</v>
      </c>
      <c r="K32" s="40"/>
      <c r="L32" s="40"/>
      <c r="M32" s="43"/>
      <c r="N32" s="40"/>
      <c r="O32" s="40"/>
      <c r="P32" s="40"/>
      <c r="Q32" s="42"/>
      <c r="R32" s="40"/>
      <c r="S32" s="40"/>
      <c r="T32" s="43"/>
      <c r="U32" s="40"/>
      <c r="V32" s="40"/>
      <c r="W32" s="42"/>
      <c r="X32" s="40"/>
      <c r="Y32" s="40"/>
      <c r="Z32" s="43"/>
      <c r="AA32" s="40"/>
      <c r="AB32" s="40"/>
      <c r="AC32" s="42"/>
      <c r="AD32" s="40"/>
      <c r="AE32" s="40"/>
      <c r="AF32" s="40"/>
      <c r="AG32" s="43"/>
      <c r="AH32" s="40"/>
      <c r="AI32" s="40"/>
      <c r="AJ32" s="40"/>
      <c r="AK32" s="42"/>
      <c r="AL32" s="40"/>
      <c r="AM32" s="40"/>
      <c r="AN32" s="43"/>
      <c r="AO32" s="40"/>
      <c r="AP32" s="40"/>
      <c r="AQ32" s="42"/>
      <c r="AR32" s="40"/>
      <c r="AS32" s="40"/>
      <c r="AT32" s="43"/>
      <c r="AU32" s="40"/>
      <c r="AV32" s="40"/>
      <c r="AW32" s="42"/>
      <c r="AX32" s="40"/>
      <c r="AY32" s="40"/>
      <c r="AZ32" s="43"/>
      <c r="BA32" s="40"/>
      <c r="BB32" s="40"/>
      <c r="BC32" s="42"/>
      <c r="BD32" s="40"/>
      <c r="BE32" s="40"/>
      <c r="BF32" s="43"/>
      <c r="BG32" s="40"/>
      <c r="BH32" s="40"/>
      <c r="BI32" s="42"/>
      <c r="BJ32" s="40"/>
      <c r="BK32" s="40"/>
      <c r="BL32" s="43"/>
      <c r="BM32" s="40"/>
      <c r="BN32" s="40"/>
      <c r="BO32" s="42"/>
      <c r="BP32" s="40"/>
      <c r="BQ32" s="40"/>
      <c r="BR32" s="43"/>
      <c r="BS32" s="40"/>
      <c r="BT32" s="40"/>
      <c r="BU32" s="42"/>
      <c r="BV32" s="40"/>
      <c r="BW32" s="40"/>
      <c r="BX32" s="43"/>
      <c r="BY32" s="40"/>
      <c r="BZ32" s="40"/>
      <c r="CA32" s="42"/>
      <c r="CB32" s="40"/>
      <c r="CC32" s="75"/>
      <c r="CD32" s="43"/>
      <c r="CE32" s="40"/>
      <c r="CF32" s="40"/>
      <c r="CG32" s="42"/>
      <c r="CH32" s="40"/>
      <c r="CI32" s="40"/>
      <c r="CJ32" s="43"/>
      <c r="CK32" s="40"/>
      <c r="CL32" s="40"/>
      <c r="CM32" s="42"/>
      <c r="CN32" s="40"/>
      <c r="CO32" s="40"/>
      <c r="CP32" s="43"/>
      <c r="CQ32" s="40"/>
      <c r="CR32" s="40"/>
      <c r="CS32" s="42"/>
      <c r="CT32" s="40"/>
      <c r="CU32" s="40"/>
      <c r="CV32" s="43"/>
      <c r="CW32" s="40"/>
      <c r="CX32" s="40"/>
      <c r="CY32" s="42"/>
      <c r="CZ32" s="40"/>
      <c r="DA32" s="40"/>
      <c r="DB32" s="43"/>
      <c r="DC32" s="40"/>
      <c r="DD32" s="75" t="s">
        <v>311</v>
      </c>
      <c r="DE32" s="69">
        <v>10560</v>
      </c>
      <c r="DF32" s="40"/>
      <c r="DG32" s="40"/>
      <c r="DH32" s="68">
        <v>0</v>
      </c>
    </row>
    <row r="33" spans="1:112">
      <c r="A33" s="40">
        <v>27</v>
      </c>
      <c r="B33" s="40" t="s">
        <v>210</v>
      </c>
      <c r="C33" s="40">
        <v>4</v>
      </c>
      <c r="D33" s="29" t="s">
        <v>63</v>
      </c>
      <c r="E33" s="30">
        <v>37</v>
      </c>
      <c r="F33" s="32">
        <v>7</v>
      </c>
      <c r="G33" s="52">
        <v>10.369488</v>
      </c>
      <c r="H33" s="68">
        <f t="shared" si="0"/>
        <v>0</v>
      </c>
      <c r="I33" s="47">
        <v>10.369488</v>
      </c>
      <c r="J33" s="43">
        <v>10.37</v>
      </c>
      <c r="K33" s="40"/>
      <c r="L33" s="40"/>
      <c r="M33" s="43"/>
      <c r="N33" s="40"/>
      <c r="O33" s="40"/>
      <c r="P33" s="40"/>
      <c r="Q33" s="42"/>
      <c r="R33" s="40"/>
      <c r="S33" s="40"/>
      <c r="T33" s="43"/>
      <c r="U33" s="40"/>
      <c r="V33" s="40"/>
      <c r="W33" s="42"/>
      <c r="X33" s="40"/>
      <c r="Y33" s="40"/>
      <c r="Z33" s="43"/>
      <c r="AA33" s="40"/>
      <c r="AB33" s="40"/>
      <c r="AC33" s="42"/>
      <c r="AD33" s="40"/>
      <c r="AE33" s="40"/>
      <c r="AF33" s="40"/>
      <c r="AG33" s="43"/>
      <c r="AH33" s="40"/>
      <c r="AI33" s="40"/>
      <c r="AJ33" s="40"/>
      <c r="AK33" s="42"/>
      <c r="AL33" s="40"/>
      <c r="AM33" s="40"/>
      <c r="AN33" s="43"/>
      <c r="AO33" s="40"/>
      <c r="AP33" s="40"/>
      <c r="AQ33" s="42"/>
      <c r="AR33" s="40"/>
      <c r="AS33" s="40"/>
      <c r="AT33" s="43"/>
      <c r="AU33" s="40"/>
      <c r="AV33" s="40"/>
      <c r="AW33" s="42"/>
      <c r="AX33" s="40"/>
      <c r="AY33" s="40"/>
      <c r="AZ33" s="43"/>
      <c r="BA33" s="40"/>
      <c r="BB33" s="40"/>
      <c r="BC33" s="42"/>
      <c r="BD33" s="40"/>
      <c r="BE33" s="40"/>
      <c r="BF33" s="43"/>
      <c r="BG33" s="40"/>
      <c r="BH33" s="40"/>
      <c r="BI33" s="42"/>
      <c r="BJ33" s="40"/>
      <c r="BK33" s="40"/>
      <c r="BL33" s="43"/>
      <c r="BM33" s="40"/>
      <c r="BN33" s="40"/>
      <c r="BO33" s="42"/>
      <c r="BP33" s="40"/>
      <c r="BQ33" s="40"/>
      <c r="BR33" s="43"/>
      <c r="BS33" s="40"/>
      <c r="BT33" s="40"/>
      <c r="BU33" s="42"/>
      <c r="BV33" s="40"/>
      <c r="BW33" s="40"/>
      <c r="BX33" s="43"/>
      <c r="BY33" s="40"/>
      <c r="BZ33" s="40"/>
      <c r="CA33" s="42"/>
      <c r="CB33" s="40"/>
      <c r="CC33" s="75"/>
      <c r="CD33" s="43"/>
      <c r="CE33" s="40"/>
      <c r="CF33" s="40"/>
      <c r="CG33" s="42"/>
      <c r="CH33" s="40"/>
      <c r="CI33" s="40"/>
      <c r="CJ33" s="43"/>
      <c r="CK33" s="40"/>
      <c r="CL33" s="40"/>
      <c r="CM33" s="42"/>
      <c r="CN33" s="40"/>
      <c r="CO33" s="40"/>
      <c r="CP33" s="43"/>
      <c r="CQ33" s="40"/>
      <c r="CR33" s="40"/>
      <c r="CS33" s="42"/>
      <c r="CT33" s="40"/>
      <c r="CU33" s="40"/>
      <c r="CV33" s="43"/>
      <c r="CW33" s="40"/>
      <c r="CX33" s="40"/>
      <c r="CY33" s="42"/>
      <c r="CZ33" s="40"/>
      <c r="DA33" s="40"/>
      <c r="DB33" s="43"/>
      <c r="DC33" s="40"/>
      <c r="DD33" s="75" t="s">
        <v>311</v>
      </c>
      <c r="DE33" s="69">
        <v>10370</v>
      </c>
      <c r="DF33" s="40"/>
      <c r="DG33" s="40"/>
      <c r="DH33" s="68">
        <v>0</v>
      </c>
    </row>
    <row r="34" spans="1:112">
      <c r="A34" s="40">
        <v>28</v>
      </c>
      <c r="B34" s="40" t="s">
        <v>210</v>
      </c>
      <c r="C34" s="40">
        <v>4</v>
      </c>
      <c r="D34" s="29" t="s">
        <v>63</v>
      </c>
      <c r="E34" s="30">
        <v>38</v>
      </c>
      <c r="F34" s="32">
        <v>7</v>
      </c>
      <c r="G34" s="52">
        <v>11.006064000000002</v>
      </c>
      <c r="H34" s="68">
        <f t="shared" si="0"/>
        <v>0</v>
      </c>
      <c r="I34" s="47">
        <v>11.006064000000002</v>
      </c>
      <c r="J34" s="43">
        <v>11.01</v>
      </c>
      <c r="K34" s="40"/>
      <c r="L34" s="40"/>
      <c r="M34" s="43"/>
      <c r="N34" s="40"/>
      <c r="O34" s="40"/>
      <c r="P34" s="40"/>
      <c r="Q34" s="42"/>
      <c r="R34" s="40"/>
      <c r="S34" s="40"/>
      <c r="T34" s="43"/>
      <c r="U34" s="40"/>
      <c r="V34" s="40"/>
      <c r="W34" s="42"/>
      <c r="X34" s="40"/>
      <c r="Y34" s="40"/>
      <c r="Z34" s="43"/>
      <c r="AA34" s="40"/>
      <c r="AB34" s="40"/>
      <c r="AC34" s="42"/>
      <c r="AD34" s="40"/>
      <c r="AE34" s="40"/>
      <c r="AF34" s="40"/>
      <c r="AG34" s="43"/>
      <c r="AH34" s="40"/>
      <c r="AI34" s="40"/>
      <c r="AJ34" s="40"/>
      <c r="AK34" s="42"/>
      <c r="AL34" s="40"/>
      <c r="AM34" s="40"/>
      <c r="AN34" s="43"/>
      <c r="AO34" s="40"/>
      <c r="AP34" s="40"/>
      <c r="AQ34" s="42"/>
      <c r="AR34" s="40"/>
      <c r="AS34" s="40"/>
      <c r="AT34" s="43"/>
      <c r="AU34" s="40"/>
      <c r="AV34" s="40"/>
      <c r="AW34" s="42"/>
      <c r="AX34" s="40"/>
      <c r="AY34" s="40"/>
      <c r="AZ34" s="43"/>
      <c r="BA34" s="40"/>
      <c r="BB34" s="40"/>
      <c r="BC34" s="42"/>
      <c r="BD34" s="40"/>
      <c r="BE34" s="40"/>
      <c r="BF34" s="43"/>
      <c r="BG34" s="40"/>
      <c r="BH34" s="40"/>
      <c r="BI34" s="42"/>
      <c r="BJ34" s="40"/>
      <c r="BK34" s="40"/>
      <c r="BL34" s="43"/>
      <c r="BM34" s="40"/>
      <c r="BN34" s="40"/>
      <c r="BO34" s="42"/>
      <c r="BP34" s="40"/>
      <c r="BQ34" s="40"/>
      <c r="BR34" s="43"/>
      <c r="BS34" s="40"/>
      <c r="BT34" s="40"/>
      <c r="BU34" s="42"/>
      <c r="BV34" s="40"/>
      <c r="BW34" s="40"/>
      <c r="BX34" s="43"/>
      <c r="BY34" s="40"/>
      <c r="BZ34" s="40"/>
      <c r="CA34" s="42"/>
      <c r="CB34" s="40"/>
      <c r="CC34" s="75"/>
      <c r="CD34" s="43"/>
      <c r="CE34" s="40"/>
      <c r="CF34" s="40"/>
      <c r="CG34" s="42"/>
      <c r="CH34" s="40"/>
      <c r="CI34" s="40"/>
      <c r="CJ34" s="43"/>
      <c r="CK34" s="40"/>
      <c r="CL34" s="40"/>
      <c r="CM34" s="42"/>
      <c r="CN34" s="40"/>
      <c r="CO34" s="40"/>
      <c r="CP34" s="43"/>
      <c r="CQ34" s="40"/>
      <c r="CR34" s="40"/>
      <c r="CS34" s="42"/>
      <c r="CT34" s="40"/>
      <c r="CU34" s="40"/>
      <c r="CV34" s="43"/>
      <c r="CW34" s="40"/>
      <c r="CX34" s="40"/>
      <c r="CY34" s="42"/>
      <c r="CZ34" s="40"/>
      <c r="DA34" s="40"/>
      <c r="DB34" s="43"/>
      <c r="DC34" s="40"/>
      <c r="DD34" s="75" t="s">
        <v>311</v>
      </c>
      <c r="DE34" s="69">
        <v>11010</v>
      </c>
      <c r="DF34" s="40"/>
      <c r="DG34" s="40"/>
      <c r="DH34" s="68">
        <v>0</v>
      </c>
    </row>
    <row r="35" spans="1:112">
      <c r="A35" s="40">
        <v>29</v>
      </c>
      <c r="B35" s="40" t="s">
        <v>210</v>
      </c>
      <c r="C35" s="40">
        <v>4</v>
      </c>
      <c r="D35" s="29" t="s">
        <v>63</v>
      </c>
      <c r="E35" s="30">
        <v>39</v>
      </c>
      <c r="F35" s="32">
        <v>7</v>
      </c>
      <c r="G35" s="52">
        <v>9.2554800000000021</v>
      </c>
      <c r="H35" s="68">
        <f t="shared" si="0"/>
        <v>0</v>
      </c>
      <c r="I35" s="47">
        <v>9.2554800000000021</v>
      </c>
      <c r="J35" s="43">
        <v>9.26</v>
      </c>
      <c r="K35" s="40"/>
      <c r="L35" s="40"/>
      <c r="M35" s="43"/>
      <c r="N35" s="40"/>
      <c r="O35" s="40"/>
      <c r="P35" s="40"/>
      <c r="Q35" s="42"/>
      <c r="R35" s="40"/>
      <c r="S35" s="40"/>
      <c r="T35" s="43"/>
      <c r="U35" s="40"/>
      <c r="V35" s="40"/>
      <c r="W35" s="42"/>
      <c r="X35" s="40"/>
      <c r="Y35" s="40"/>
      <c r="Z35" s="43"/>
      <c r="AA35" s="40"/>
      <c r="AB35" s="40"/>
      <c r="AC35" s="42"/>
      <c r="AD35" s="40"/>
      <c r="AE35" s="40"/>
      <c r="AF35" s="40"/>
      <c r="AG35" s="43"/>
      <c r="AH35" s="40"/>
      <c r="AI35" s="40"/>
      <c r="AJ35" s="40"/>
      <c r="AK35" s="42"/>
      <c r="AL35" s="40"/>
      <c r="AM35" s="40"/>
      <c r="AN35" s="43"/>
      <c r="AO35" s="40"/>
      <c r="AP35" s="40"/>
      <c r="AQ35" s="42"/>
      <c r="AR35" s="40"/>
      <c r="AS35" s="40"/>
      <c r="AT35" s="43"/>
      <c r="AU35" s="40"/>
      <c r="AV35" s="40"/>
      <c r="AW35" s="42"/>
      <c r="AX35" s="40"/>
      <c r="AY35" s="40"/>
      <c r="AZ35" s="43"/>
      <c r="BA35" s="40"/>
      <c r="BB35" s="40"/>
      <c r="BC35" s="42"/>
      <c r="BD35" s="40"/>
      <c r="BE35" s="40"/>
      <c r="BF35" s="43"/>
      <c r="BG35" s="40"/>
      <c r="BH35" s="40"/>
      <c r="BI35" s="42"/>
      <c r="BJ35" s="40"/>
      <c r="BK35" s="40"/>
      <c r="BL35" s="43"/>
      <c r="BM35" s="40"/>
      <c r="BN35" s="40"/>
      <c r="BO35" s="42"/>
      <c r="BP35" s="40"/>
      <c r="BQ35" s="40"/>
      <c r="BR35" s="43"/>
      <c r="BS35" s="40"/>
      <c r="BT35" s="40"/>
      <c r="BU35" s="42"/>
      <c r="BV35" s="40"/>
      <c r="BW35" s="40"/>
      <c r="BX35" s="43"/>
      <c r="BY35" s="40"/>
      <c r="BZ35" s="40"/>
      <c r="CA35" s="42"/>
      <c r="CB35" s="40"/>
      <c r="CC35" s="75"/>
      <c r="CD35" s="43"/>
      <c r="CE35" s="40"/>
      <c r="CF35" s="40"/>
      <c r="CG35" s="42"/>
      <c r="CH35" s="40"/>
      <c r="CI35" s="40"/>
      <c r="CJ35" s="43"/>
      <c r="CK35" s="40"/>
      <c r="CL35" s="40"/>
      <c r="CM35" s="42"/>
      <c r="CN35" s="40"/>
      <c r="CO35" s="40"/>
      <c r="CP35" s="43"/>
      <c r="CQ35" s="40"/>
      <c r="CR35" s="40"/>
      <c r="CS35" s="42"/>
      <c r="CT35" s="40"/>
      <c r="CU35" s="40"/>
      <c r="CV35" s="43"/>
      <c r="CW35" s="40"/>
      <c r="CX35" s="40"/>
      <c r="CY35" s="42"/>
      <c r="CZ35" s="40"/>
      <c r="DA35" s="40"/>
      <c r="DB35" s="43"/>
      <c r="DC35" s="40"/>
      <c r="DD35" s="75" t="s">
        <v>311</v>
      </c>
      <c r="DE35" s="69">
        <v>9260</v>
      </c>
      <c r="DF35" s="40"/>
      <c r="DG35" s="40"/>
      <c r="DH35" s="68">
        <v>0</v>
      </c>
    </row>
    <row r="36" spans="1:112">
      <c r="A36" s="40">
        <v>30</v>
      </c>
      <c r="B36" s="40" t="s">
        <v>210</v>
      </c>
      <c r="C36" s="40">
        <v>4</v>
      </c>
      <c r="D36" s="29" t="s">
        <v>63</v>
      </c>
      <c r="E36" s="30">
        <v>41</v>
      </c>
      <c r="F36" s="32">
        <v>7</v>
      </c>
      <c r="G36" s="52">
        <v>9.3057359999999996</v>
      </c>
      <c r="H36" s="68">
        <f t="shared" si="0"/>
        <v>0</v>
      </c>
      <c r="I36" s="47">
        <v>9.3057359999999996</v>
      </c>
      <c r="J36" s="43">
        <v>9.31</v>
      </c>
      <c r="K36" s="40"/>
      <c r="L36" s="40"/>
      <c r="M36" s="43"/>
      <c r="N36" s="40"/>
      <c r="O36" s="40"/>
      <c r="P36" s="40"/>
      <c r="Q36" s="42"/>
      <c r="R36" s="40"/>
      <c r="S36" s="40"/>
      <c r="T36" s="43"/>
      <c r="U36" s="40"/>
      <c r="V36" s="40"/>
      <c r="W36" s="42"/>
      <c r="X36" s="40"/>
      <c r="Y36" s="40"/>
      <c r="Z36" s="43"/>
      <c r="AA36" s="40"/>
      <c r="AB36" s="40"/>
      <c r="AC36" s="42"/>
      <c r="AD36" s="40"/>
      <c r="AE36" s="40"/>
      <c r="AF36" s="40"/>
      <c r="AG36" s="43"/>
      <c r="AH36" s="40"/>
      <c r="AI36" s="40"/>
      <c r="AJ36" s="40"/>
      <c r="AK36" s="42"/>
      <c r="AL36" s="40"/>
      <c r="AM36" s="40"/>
      <c r="AN36" s="43"/>
      <c r="AO36" s="40"/>
      <c r="AP36" s="40"/>
      <c r="AQ36" s="42"/>
      <c r="AR36" s="40"/>
      <c r="AS36" s="40"/>
      <c r="AT36" s="43"/>
      <c r="AU36" s="40"/>
      <c r="AV36" s="40"/>
      <c r="AW36" s="42"/>
      <c r="AX36" s="40"/>
      <c r="AY36" s="40"/>
      <c r="AZ36" s="43"/>
      <c r="BA36" s="40"/>
      <c r="BB36" s="40"/>
      <c r="BC36" s="42"/>
      <c r="BD36" s="40"/>
      <c r="BE36" s="40"/>
      <c r="BF36" s="43"/>
      <c r="BG36" s="40"/>
      <c r="BH36" s="40"/>
      <c r="BI36" s="42"/>
      <c r="BJ36" s="40"/>
      <c r="BK36" s="40"/>
      <c r="BL36" s="43"/>
      <c r="BM36" s="40"/>
      <c r="BN36" s="40"/>
      <c r="BO36" s="42"/>
      <c r="BP36" s="40"/>
      <c r="BQ36" s="40"/>
      <c r="BR36" s="43"/>
      <c r="BS36" s="40"/>
      <c r="BT36" s="40"/>
      <c r="BU36" s="42"/>
      <c r="BV36" s="40"/>
      <c r="BW36" s="40"/>
      <c r="BX36" s="43"/>
      <c r="BY36" s="40"/>
      <c r="BZ36" s="40"/>
      <c r="CA36" s="42"/>
      <c r="CB36" s="40"/>
      <c r="CC36" s="75"/>
      <c r="CD36" s="43"/>
      <c r="CE36" s="40"/>
      <c r="CF36" s="40"/>
      <c r="CG36" s="42"/>
      <c r="CH36" s="40"/>
      <c r="CI36" s="40"/>
      <c r="CJ36" s="43"/>
      <c r="CK36" s="40"/>
      <c r="CL36" s="40"/>
      <c r="CM36" s="42"/>
      <c r="CN36" s="40"/>
      <c r="CO36" s="40"/>
      <c r="CP36" s="43"/>
      <c r="CQ36" s="40"/>
      <c r="CR36" s="40"/>
      <c r="CS36" s="42"/>
      <c r="CT36" s="40"/>
      <c r="CU36" s="40"/>
      <c r="CV36" s="43"/>
      <c r="CW36" s="40"/>
      <c r="CX36" s="40"/>
      <c r="CY36" s="42"/>
      <c r="CZ36" s="40"/>
      <c r="DA36" s="40"/>
      <c r="DB36" s="43"/>
      <c r="DC36" s="40"/>
      <c r="DD36" s="75" t="s">
        <v>311</v>
      </c>
      <c r="DE36" s="69">
        <v>9310</v>
      </c>
      <c r="DF36" s="40"/>
      <c r="DG36" s="40"/>
      <c r="DH36" s="68">
        <v>0</v>
      </c>
    </row>
    <row r="37" spans="1:112">
      <c r="A37" s="40">
        <v>31</v>
      </c>
      <c r="B37" s="40" t="s">
        <v>210</v>
      </c>
      <c r="C37" s="40">
        <v>4</v>
      </c>
      <c r="D37" s="29" t="s">
        <v>63</v>
      </c>
      <c r="E37" s="30">
        <v>42</v>
      </c>
      <c r="F37" s="32">
        <v>7</v>
      </c>
      <c r="G37" s="52">
        <v>11.952551999999999</v>
      </c>
      <c r="H37" s="68">
        <f t="shared" si="0"/>
        <v>0</v>
      </c>
      <c r="I37" s="47">
        <v>11.952551999999999</v>
      </c>
      <c r="J37" s="43">
        <v>11.95</v>
      </c>
      <c r="K37" s="40"/>
      <c r="L37" s="40"/>
      <c r="M37" s="43"/>
      <c r="N37" s="40"/>
      <c r="O37" s="40"/>
      <c r="P37" s="40"/>
      <c r="Q37" s="42"/>
      <c r="R37" s="40"/>
      <c r="S37" s="40"/>
      <c r="T37" s="43"/>
      <c r="U37" s="40"/>
      <c r="V37" s="40"/>
      <c r="W37" s="42"/>
      <c r="X37" s="40"/>
      <c r="Y37" s="40"/>
      <c r="Z37" s="43"/>
      <c r="AA37" s="40"/>
      <c r="AB37" s="40"/>
      <c r="AC37" s="42"/>
      <c r="AD37" s="40"/>
      <c r="AE37" s="40"/>
      <c r="AF37" s="40"/>
      <c r="AG37" s="43"/>
      <c r="AH37" s="40"/>
      <c r="AI37" s="40"/>
      <c r="AJ37" s="40"/>
      <c r="AK37" s="42"/>
      <c r="AL37" s="40"/>
      <c r="AM37" s="40"/>
      <c r="AN37" s="43"/>
      <c r="AO37" s="40"/>
      <c r="AP37" s="40"/>
      <c r="AQ37" s="42"/>
      <c r="AR37" s="40"/>
      <c r="AS37" s="40"/>
      <c r="AT37" s="43"/>
      <c r="AU37" s="40"/>
      <c r="AV37" s="40"/>
      <c r="AW37" s="42"/>
      <c r="AX37" s="40"/>
      <c r="AY37" s="40"/>
      <c r="AZ37" s="43"/>
      <c r="BA37" s="40"/>
      <c r="BB37" s="40"/>
      <c r="BC37" s="42"/>
      <c r="BD37" s="40"/>
      <c r="BE37" s="40"/>
      <c r="BF37" s="43"/>
      <c r="BG37" s="40"/>
      <c r="BH37" s="40"/>
      <c r="BI37" s="42"/>
      <c r="BJ37" s="40"/>
      <c r="BK37" s="40"/>
      <c r="BL37" s="43"/>
      <c r="BM37" s="40"/>
      <c r="BN37" s="40"/>
      <c r="BO37" s="42"/>
      <c r="BP37" s="40"/>
      <c r="BQ37" s="40"/>
      <c r="BR37" s="43"/>
      <c r="BS37" s="40"/>
      <c r="BT37" s="40"/>
      <c r="BU37" s="42"/>
      <c r="BV37" s="40"/>
      <c r="BW37" s="40"/>
      <c r="BX37" s="43"/>
      <c r="BY37" s="40"/>
      <c r="BZ37" s="40"/>
      <c r="CA37" s="42"/>
      <c r="CB37" s="40"/>
      <c r="CC37" s="75"/>
      <c r="CD37" s="43"/>
      <c r="CE37" s="40"/>
      <c r="CF37" s="40"/>
      <c r="CG37" s="42"/>
      <c r="CH37" s="40"/>
      <c r="CI37" s="40"/>
      <c r="CJ37" s="43"/>
      <c r="CK37" s="40"/>
      <c r="CL37" s="40"/>
      <c r="CM37" s="42"/>
      <c r="CN37" s="40"/>
      <c r="CO37" s="40"/>
      <c r="CP37" s="43"/>
      <c r="CQ37" s="40"/>
      <c r="CR37" s="40"/>
      <c r="CS37" s="42"/>
      <c r="CT37" s="40"/>
      <c r="CU37" s="40"/>
      <c r="CV37" s="43"/>
      <c r="CW37" s="40"/>
      <c r="CX37" s="40"/>
      <c r="CY37" s="42"/>
      <c r="CZ37" s="40"/>
      <c r="DA37" s="40"/>
      <c r="DB37" s="43"/>
      <c r="DC37" s="40"/>
      <c r="DD37" s="75" t="s">
        <v>311</v>
      </c>
      <c r="DE37" s="69">
        <v>11950</v>
      </c>
      <c r="DF37" s="40"/>
      <c r="DG37" s="40"/>
      <c r="DH37" s="68">
        <v>0</v>
      </c>
    </row>
    <row r="38" spans="1:112">
      <c r="A38" s="40">
        <v>32</v>
      </c>
      <c r="B38" s="40" t="s">
        <v>210</v>
      </c>
      <c r="C38" s="40">
        <v>4</v>
      </c>
      <c r="D38" s="29" t="s">
        <v>63</v>
      </c>
      <c r="E38" s="30">
        <v>43</v>
      </c>
      <c r="F38" s="32">
        <v>7</v>
      </c>
      <c r="G38" s="52">
        <v>17.455584000000002</v>
      </c>
      <c r="H38" s="68">
        <f t="shared" si="0"/>
        <v>0</v>
      </c>
      <c r="I38" s="47">
        <v>17.455584000000002</v>
      </c>
      <c r="J38" s="43">
        <v>17.46</v>
      </c>
      <c r="K38" s="40"/>
      <c r="L38" s="40"/>
      <c r="M38" s="43"/>
      <c r="N38" s="40"/>
      <c r="O38" s="40"/>
      <c r="P38" s="40"/>
      <c r="Q38" s="42"/>
      <c r="R38" s="40"/>
      <c r="S38" s="40"/>
      <c r="T38" s="43"/>
      <c r="U38" s="40"/>
      <c r="V38" s="40"/>
      <c r="W38" s="42"/>
      <c r="X38" s="40"/>
      <c r="Y38" s="40"/>
      <c r="Z38" s="43"/>
      <c r="AA38" s="40"/>
      <c r="AB38" s="40"/>
      <c r="AC38" s="42"/>
      <c r="AD38" s="40"/>
      <c r="AE38" s="40"/>
      <c r="AF38" s="40"/>
      <c r="AG38" s="43"/>
      <c r="AH38" s="40"/>
      <c r="AI38" s="40"/>
      <c r="AJ38" s="40"/>
      <c r="AK38" s="42"/>
      <c r="AL38" s="40"/>
      <c r="AM38" s="40"/>
      <c r="AN38" s="43"/>
      <c r="AO38" s="40"/>
      <c r="AP38" s="40"/>
      <c r="AQ38" s="42"/>
      <c r="AR38" s="40"/>
      <c r="AS38" s="40"/>
      <c r="AT38" s="43"/>
      <c r="AU38" s="40"/>
      <c r="AV38" s="40"/>
      <c r="AW38" s="42"/>
      <c r="AX38" s="40"/>
      <c r="AY38" s="40"/>
      <c r="AZ38" s="43"/>
      <c r="BA38" s="40"/>
      <c r="BB38" s="40"/>
      <c r="BC38" s="42"/>
      <c r="BD38" s="40"/>
      <c r="BE38" s="40"/>
      <c r="BF38" s="43"/>
      <c r="BG38" s="40"/>
      <c r="BH38" s="40"/>
      <c r="BI38" s="42"/>
      <c r="BJ38" s="40"/>
      <c r="BK38" s="40"/>
      <c r="BL38" s="43"/>
      <c r="BM38" s="40"/>
      <c r="BN38" s="40"/>
      <c r="BO38" s="42"/>
      <c r="BP38" s="40"/>
      <c r="BQ38" s="40"/>
      <c r="BR38" s="43"/>
      <c r="BS38" s="40"/>
      <c r="BT38" s="40"/>
      <c r="BU38" s="42"/>
      <c r="BV38" s="40"/>
      <c r="BW38" s="40"/>
      <c r="BX38" s="43"/>
      <c r="BY38" s="40"/>
      <c r="BZ38" s="40"/>
      <c r="CA38" s="42"/>
      <c r="CB38" s="40"/>
      <c r="CC38" s="75"/>
      <c r="CD38" s="43"/>
      <c r="CE38" s="40"/>
      <c r="CF38" s="40"/>
      <c r="CG38" s="42"/>
      <c r="CH38" s="40"/>
      <c r="CI38" s="40"/>
      <c r="CJ38" s="43"/>
      <c r="CK38" s="40"/>
      <c r="CL38" s="40"/>
      <c r="CM38" s="42"/>
      <c r="CN38" s="40"/>
      <c r="CO38" s="40"/>
      <c r="CP38" s="43"/>
      <c r="CQ38" s="40"/>
      <c r="CR38" s="40"/>
      <c r="CS38" s="42"/>
      <c r="CT38" s="40"/>
      <c r="CU38" s="40"/>
      <c r="CV38" s="43"/>
      <c r="CW38" s="40"/>
      <c r="CX38" s="40"/>
      <c r="CY38" s="42"/>
      <c r="CZ38" s="40"/>
      <c r="DA38" s="40"/>
      <c r="DB38" s="43"/>
      <c r="DC38" s="40"/>
      <c r="DD38" s="75" t="s">
        <v>311</v>
      </c>
      <c r="DE38" s="69">
        <v>17460</v>
      </c>
      <c r="DF38" s="40"/>
      <c r="DG38" s="40"/>
      <c r="DH38" s="68">
        <v>0</v>
      </c>
    </row>
    <row r="39" spans="1:112">
      <c r="A39" s="40">
        <v>33</v>
      </c>
      <c r="B39" s="40" t="s">
        <v>210</v>
      </c>
      <c r="C39" s="40">
        <v>4</v>
      </c>
      <c r="D39" s="29" t="s">
        <v>63</v>
      </c>
      <c r="E39" s="30">
        <v>44</v>
      </c>
      <c r="F39" s="32">
        <v>7</v>
      </c>
      <c r="G39" s="52">
        <v>11.114951999999999</v>
      </c>
      <c r="H39" s="68">
        <f t="shared" si="0"/>
        <v>0</v>
      </c>
      <c r="I39" s="47">
        <v>11.114951999999999</v>
      </c>
      <c r="J39" s="43">
        <v>11.11</v>
      </c>
      <c r="K39" s="40"/>
      <c r="L39" s="40"/>
      <c r="M39" s="43"/>
      <c r="N39" s="40"/>
      <c r="O39" s="40"/>
      <c r="P39" s="40"/>
      <c r="Q39" s="42"/>
      <c r="R39" s="40"/>
      <c r="S39" s="40"/>
      <c r="T39" s="43"/>
      <c r="U39" s="40"/>
      <c r="V39" s="40"/>
      <c r="W39" s="42"/>
      <c r="X39" s="40"/>
      <c r="Y39" s="40"/>
      <c r="Z39" s="43"/>
      <c r="AA39" s="40"/>
      <c r="AB39" s="40"/>
      <c r="AC39" s="42"/>
      <c r="AD39" s="40"/>
      <c r="AE39" s="40"/>
      <c r="AF39" s="40"/>
      <c r="AG39" s="43"/>
      <c r="AH39" s="40"/>
      <c r="AI39" s="40"/>
      <c r="AJ39" s="40"/>
      <c r="AK39" s="42"/>
      <c r="AL39" s="40"/>
      <c r="AM39" s="40"/>
      <c r="AN39" s="43"/>
      <c r="AO39" s="40"/>
      <c r="AP39" s="40"/>
      <c r="AQ39" s="42"/>
      <c r="AR39" s="40"/>
      <c r="AS39" s="40"/>
      <c r="AT39" s="43"/>
      <c r="AU39" s="40"/>
      <c r="AV39" s="40"/>
      <c r="AW39" s="42"/>
      <c r="AX39" s="40"/>
      <c r="AY39" s="40"/>
      <c r="AZ39" s="43"/>
      <c r="BA39" s="40"/>
      <c r="BB39" s="40"/>
      <c r="BC39" s="42"/>
      <c r="BD39" s="40"/>
      <c r="BE39" s="40"/>
      <c r="BF39" s="43"/>
      <c r="BG39" s="40"/>
      <c r="BH39" s="40"/>
      <c r="BI39" s="42"/>
      <c r="BJ39" s="40"/>
      <c r="BK39" s="40"/>
      <c r="BL39" s="43"/>
      <c r="BM39" s="40"/>
      <c r="BN39" s="40"/>
      <c r="BO39" s="42"/>
      <c r="BP39" s="40"/>
      <c r="BQ39" s="40"/>
      <c r="BR39" s="43"/>
      <c r="BS39" s="40"/>
      <c r="BT39" s="40"/>
      <c r="BU39" s="42"/>
      <c r="BV39" s="40"/>
      <c r="BW39" s="40"/>
      <c r="BX39" s="43"/>
      <c r="BY39" s="40"/>
      <c r="BZ39" s="40"/>
      <c r="CA39" s="42"/>
      <c r="CB39" s="40"/>
      <c r="CC39" s="75"/>
      <c r="CD39" s="43"/>
      <c r="CE39" s="40"/>
      <c r="CF39" s="40"/>
      <c r="CG39" s="42"/>
      <c r="CH39" s="40"/>
      <c r="CI39" s="40"/>
      <c r="CJ39" s="43"/>
      <c r="CK39" s="40"/>
      <c r="CL39" s="40"/>
      <c r="CM39" s="42"/>
      <c r="CN39" s="40"/>
      <c r="CO39" s="40"/>
      <c r="CP39" s="43"/>
      <c r="CQ39" s="40"/>
      <c r="CR39" s="40"/>
      <c r="CS39" s="42"/>
      <c r="CT39" s="40"/>
      <c r="CU39" s="40"/>
      <c r="CV39" s="43"/>
      <c r="CW39" s="40"/>
      <c r="CX39" s="40"/>
      <c r="CY39" s="42"/>
      <c r="CZ39" s="40"/>
      <c r="DA39" s="40"/>
      <c r="DB39" s="43"/>
      <c r="DC39" s="40"/>
      <c r="DD39" s="75" t="s">
        <v>311</v>
      </c>
      <c r="DE39" s="69">
        <v>11110</v>
      </c>
      <c r="DF39" s="40"/>
      <c r="DG39" s="40"/>
      <c r="DH39" s="68">
        <v>0</v>
      </c>
    </row>
    <row r="40" spans="1:112">
      <c r="A40" s="40">
        <v>34</v>
      </c>
      <c r="B40" s="40" t="s">
        <v>210</v>
      </c>
      <c r="C40" s="40">
        <v>4</v>
      </c>
      <c r="D40" s="29" t="s">
        <v>64</v>
      </c>
      <c r="E40" s="30" t="s">
        <v>65</v>
      </c>
      <c r="F40" s="30">
        <v>7</v>
      </c>
      <c r="G40" s="52">
        <v>7.2703660000000001</v>
      </c>
      <c r="H40" s="68">
        <f t="shared" si="0"/>
        <v>0</v>
      </c>
      <c r="I40" s="47">
        <v>7.2703660000000001</v>
      </c>
      <c r="J40" s="43">
        <v>7.27</v>
      </c>
      <c r="K40" s="40"/>
      <c r="L40" s="40"/>
      <c r="M40" s="43"/>
      <c r="N40" s="40"/>
      <c r="O40" s="40"/>
      <c r="P40" s="40"/>
      <c r="Q40" s="42"/>
      <c r="R40" s="40"/>
      <c r="S40" s="40"/>
      <c r="T40" s="43"/>
      <c r="U40" s="40"/>
      <c r="V40" s="40"/>
      <c r="W40" s="42"/>
      <c r="X40" s="40"/>
      <c r="Y40" s="40"/>
      <c r="Z40" s="43"/>
      <c r="AA40" s="40"/>
      <c r="AB40" s="40"/>
      <c r="AC40" s="42"/>
      <c r="AD40" s="40"/>
      <c r="AE40" s="40"/>
      <c r="AF40" s="40"/>
      <c r="AG40" s="43"/>
      <c r="AH40" s="40"/>
      <c r="AI40" s="40"/>
      <c r="AJ40" s="40"/>
      <c r="AK40" s="42"/>
      <c r="AL40" s="40"/>
      <c r="AM40" s="40"/>
      <c r="AN40" s="43"/>
      <c r="AO40" s="40"/>
      <c r="AP40" s="40"/>
      <c r="AQ40" s="42"/>
      <c r="AR40" s="40"/>
      <c r="AS40" s="40"/>
      <c r="AT40" s="43"/>
      <c r="AU40" s="40"/>
      <c r="AV40" s="40"/>
      <c r="AW40" s="42"/>
      <c r="AX40" s="40"/>
      <c r="AY40" s="40"/>
      <c r="AZ40" s="43"/>
      <c r="BA40" s="40"/>
      <c r="BB40" s="40"/>
      <c r="BC40" s="42"/>
      <c r="BD40" s="40"/>
      <c r="BE40" s="40"/>
      <c r="BF40" s="43"/>
      <c r="BG40" s="40"/>
      <c r="BH40" s="40"/>
      <c r="BI40" s="42"/>
      <c r="BJ40" s="40"/>
      <c r="BK40" s="40"/>
      <c r="BL40" s="43"/>
      <c r="BM40" s="40"/>
      <c r="BN40" s="40"/>
      <c r="BO40" s="42"/>
      <c r="BP40" s="40"/>
      <c r="BQ40" s="40"/>
      <c r="BR40" s="43"/>
      <c r="BS40" s="40"/>
      <c r="BT40" s="40"/>
      <c r="BU40" s="42"/>
      <c r="BV40" s="40"/>
      <c r="BW40" s="40"/>
      <c r="BX40" s="43"/>
      <c r="BY40" s="40"/>
      <c r="BZ40" s="40"/>
      <c r="CA40" s="42"/>
      <c r="CB40" s="40"/>
      <c r="CC40" s="75"/>
      <c r="CD40" s="43"/>
      <c r="CE40" s="40"/>
      <c r="CF40" s="40"/>
      <c r="CG40" s="42"/>
      <c r="CH40" s="40"/>
      <c r="CI40" s="40"/>
      <c r="CJ40" s="43"/>
      <c r="CK40" s="40"/>
      <c r="CL40" s="40"/>
      <c r="CM40" s="42"/>
      <c r="CN40" s="40"/>
      <c r="CO40" s="40"/>
      <c r="CP40" s="43"/>
      <c r="CQ40" s="40"/>
      <c r="CR40" s="40"/>
      <c r="CS40" s="42"/>
      <c r="CT40" s="40"/>
      <c r="CU40" s="40"/>
      <c r="CV40" s="43"/>
      <c r="CW40" s="40"/>
      <c r="CX40" s="40"/>
      <c r="CY40" s="42"/>
      <c r="CZ40" s="40"/>
      <c r="DA40" s="40"/>
      <c r="DB40" s="43"/>
      <c r="DC40" s="40"/>
      <c r="DD40" s="75" t="s">
        <v>311</v>
      </c>
      <c r="DE40" s="69">
        <v>7270</v>
      </c>
      <c r="DF40" s="40"/>
      <c r="DG40" s="40"/>
      <c r="DH40" s="68">
        <v>0</v>
      </c>
    </row>
    <row r="41" spans="1:112">
      <c r="A41" s="40">
        <v>37</v>
      </c>
      <c r="B41" s="40" t="s">
        <v>210</v>
      </c>
      <c r="C41" s="40">
        <v>5</v>
      </c>
      <c r="D41" s="29" t="s">
        <v>67</v>
      </c>
      <c r="E41" s="30" t="s">
        <v>68</v>
      </c>
      <c r="F41" s="30">
        <v>6</v>
      </c>
      <c r="G41" s="52">
        <v>61.099080000000001</v>
      </c>
      <c r="H41" s="68">
        <f t="shared" si="0"/>
        <v>0</v>
      </c>
      <c r="I41" s="47">
        <v>61.099080000000001</v>
      </c>
      <c r="J41" s="43">
        <v>61.1</v>
      </c>
      <c r="K41" s="40"/>
      <c r="L41" s="40"/>
      <c r="M41" s="43"/>
      <c r="N41" s="40"/>
      <c r="O41" s="40"/>
      <c r="P41" s="40"/>
      <c r="Q41" s="42"/>
      <c r="R41" s="40"/>
      <c r="S41" s="40"/>
      <c r="T41" s="43"/>
      <c r="U41" s="40"/>
      <c r="V41" s="40"/>
      <c r="W41" s="42"/>
      <c r="X41" s="40"/>
      <c r="Y41" s="40"/>
      <c r="Z41" s="43"/>
      <c r="AA41" s="40"/>
      <c r="AB41" s="40"/>
      <c r="AC41" s="42"/>
      <c r="AD41" s="40" t="s">
        <v>403</v>
      </c>
      <c r="AE41" s="40" t="s">
        <v>324</v>
      </c>
      <c r="AF41" s="40">
        <v>75</v>
      </c>
      <c r="AG41" s="43">
        <v>61100</v>
      </c>
      <c r="AH41" s="40"/>
      <c r="AI41" s="40"/>
      <c r="AJ41" s="40"/>
      <c r="AK41" s="42"/>
      <c r="AL41" s="40"/>
      <c r="AM41" s="40"/>
      <c r="AN41" s="43"/>
      <c r="AO41" s="40"/>
      <c r="AP41" s="40"/>
      <c r="AQ41" s="42"/>
      <c r="AR41" s="40"/>
      <c r="AS41" s="40"/>
      <c r="AT41" s="43"/>
      <c r="AU41" s="40"/>
      <c r="AV41" s="40"/>
      <c r="AW41" s="42"/>
      <c r="AX41" s="40"/>
      <c r="AY41" s="40"/>
      <c r="AZ41" s="43"/>
      <c r="BA41" s="40"/>
      <c r="BB41" s="40"/>
      <c r="BC41" s="42"/>
      <c r="BD41" s="40"/>
      <c r="BE41" s="40"/>
      <c r="BF41" s="43"/>
      <c r="BG41" s="40"/>
      <c r="BH41" s="40"/>
      <c r="BI41" s="42"/>
      <c r="BJ41" s="40"/>
      <c r="BK41" s="40"/>
      <c r="BL41" s="43"/>
      <c r="BM41" s="40"/>
      <c r="BN41" s="40"/>
      <c r="BO41" s="42"/>
      <c r="BP41" s="40"/>
      <c r="BQ41" s="40"/>
      <c r="BR41" s="43"/>
      <c r="BS41" s="40"/>
      <c r="BT41" s="40"/>
      <c r="BU41" s="42"/>
      <c r="BV41" s="40"/>
      <c r="BW41" s="40"/>
      <c r="BX41" s="43"/>
      <c r="BY41" s="40"/>
      <c r="BZ41" s="40"/>
      <c r="CA41" s="42"/>
      <c r="CB41" s="40"/>
      <c r="CC41" s="75"/>
      <c r="CD41" s="43"/>
      <c r="CE41" s="40"/>
      <c r="CF41" s="40"/>
      <c r="CG41" s="42"/>
      <c r="CH41" s="40"/>
      <c r="CI41" s="40"/>
      <c r="CJ41" s="43"/>
      <c r="CK41" s="40"/>
      <c r="CL41" s="40"/>
      <c r="CM41" s="42"/>
      <c r="CN41" s="40"/>
      <c r="CO41" s="40"/>
      <c r="CP41" s="43"/>
      <c r="CQ41" s="40"/>
      <c r="CR41" s="40"/>
      <c r="CS41" s="42"/>
      <c r="CT41" s="40"/>
      <c r="CU41" s="40"/>
      <c r="CV41" s="43"/>
      <c r="CW41" s="40"/>
      <c r="CX41" s="40"/>
      <c r="CY41" s="42"/>
      <c r="CZ41" s="40"/>
      <c r="DA41" s="40"/>
      <c r="DB41" s="43"/>
      <c r="DC41" s="40"/>
      <c r="DD41" s="75"/>
      <c r="DE41" s="69">
        <v>0</v>
      </c>
      <c r="DF41" s="40"/>
      <c r="DG41" s="40"/>
      <c r="DH41" s="68">
        <v>0</v>
      </c>
    </row>
    <row r="42" spans="1:112">
      <c r="A42" s="40">
        <v>38</v>
      </c>
      <c r="B42" s="40" t="s">
        <v>210</v>
      </c>
      <c r="C42" s="40">
        <v>5</v>
      </c>
      <c r="D42" s="29" t="s">
        <v>69</v>
      </c>
      <c r="E42" s="30">
        <v>119</v>
      </c>
      <c r="F42" s="30">
        <v>7</v>
      </c>
      <c r="G42" s="52">
        <v>85.678108000000009</v>
      </c>
      <c r="H42" s="68">
        <f t="shared" si="0"/>
        <v>19.002359999999999</v>
      </c>
      <c r="I42" s="47">
        <v>66.675748000000013</v>
      </c>
      <c r="J42" s="43">
        <v>85</v>
      </c>
      <c r="K42" s="40"/>
      <c r="L42" s="40"/>
      <c r="M42" s="43"/>
      <c r="N42" s="40"/>
      <c r="O42" s="40"/>
      <c r="P42" s="40"/>
      <c r="Q42" s="42"/>
      <c r="R42" s="40"/>
      <c r="S42" s="40"/>
      <c r="T42" s="43"/>
      <c r="U42" s="40"/>
      <c r="V42" s="40"/>
      <c r="W42" s="42"/>
      <c r="X42" s="40"/>
      <c r="Y42" s="40"/>
      <c r="Z42" s="43"/>
      <c r="AA42" s="40"/>
      <c r="AB42" s="40"/>
      <c r="AC42" s="42"/>
      <c r="AD42" s="40" t="s">
        <v>403</v>
      </c>
      <c r="AE42" s="40" t="s">
        <v>324</v>
      </c>
      <c r="AF42" s="40">
        <v>35</v>
      </c>
      <c r="AG42" s="43">
        <v>35000</v>
      </c>
      <c r="AH42" s="40"/>
      <c r="AI42" s="40"/>
      <c r="AJ42" s="40"/>
      <c r="AK42" s="42"/>
      <c r="AL42" s="40"/>
      <c r="AM42" s="40"/>
      <c r="AN42" s="43"/>
      <c r="AO42" s="40"/>
      <c r="AP42" s="40"/>
      <c r="AQ42" s="42"/>
      <c r="AR42" s="40"/>
      <c r="AS42" s="40"/>
      <c r="AT42" s="43"/>
      <c r="AU42" s="40"/>
      <c r="AV42" s="40"/>
      <c r="AW42" s="42"/>
      <c r="AX42" s="40"/>
      <c r="AY42" s="40"/>
      <c r="AZ42" s="43"/>
      <c r="BA42" s="44" t="s">
        <v>409</v>
      </c>
      <c r="BB42" s="40">
        <v>3</v>
      </c>
      <c r="BC42" s="42">
        <v>1535.37</v>
      </c>
      <c r="BD42" s="40"/>
      <c r="BE42" s="40"/>
      <c r="BF42" s="43"/>
      <c r="BG42" s="40"/>
      <c r="BH42" s="40"/>
      <c r="BI42" s="42"/>
      <c r="BJ42" s="40"/>
      <c r="BK42" s="40"/>
      <c r="BL42" s="43"/>
      <c r="BM42" s="40"/>
      <c r="BN42" s="40"/>
      <c r="BO42" s="42"/>
      <c r="BP42" s="40"/>
      <c r="BQ42" s="40"/>
      <c r="BR42" s="43"/>
      <c r="BS42" s="40"/>
      <c r="BT42" s="40"/>
      <c r="BU42" s="42"/>
      <c r="BV42" s="40" t="s">
        <v>408</v>
      </c>
      <c r="BW42" s="40" t="s">
        <v>363</v>
      </c>
      <c r="BX42" s="43">
        <v>50000</v>
      </c>
      <c r="BY42" s="40"/>
      <c r="BZ42" s="40"/>
      <c r="CA42" s="42"/>
      <c r="CB42" s="40"/>
      <c r="CC42" s="75"/>
      <c r="CD42" s="43"/>
      <c r="CE42" s="40"/>
      <c r="CF42" s="40"/>
      <c r="CG42" s="42"/>
      <c r="CH42" s="40"/>
      <c r="CI42" s="40"/>
      <c r="CJ42" s="43"/>
      <c r="CK42" s="40"/>
      <c r="CL42" s="40"/>
      <c r="CM42" s="42"/>
      <c r="CN42" s="40"/>
      <c r="CO42" s="40"/>
      <c r="CP42" s="43"/>
      <c r="CQ42" s="40"/>
      <c r="CR42" s="40"/>
      <c r="CS42" s="42"/>
      <c r="CT42" s="40"/>
      <c r="CU42" s="40"/>
      <c r="CV42" s="43"/>
      <c r="CW42" s="40"/>
      <c r="CX42" s="40"/>
      <c r="CY42" s="42"/>
      <c r="CZ42" s="40"/>
      <c r="DA42" s="40"/>
      <c r="DB42" s="43"/>
      <c r="DC42" s="40"/>
      <c r="DD42" s="75"/>
      <c r="DE42" s="69">
        <v>0</v>
      </c>
      <c r="DF42" s="40" t="s">
        <v>409</v>
      </c>
      <c r="DG42" s="40" t="s">
        <v>359</v>
      </c>
      <c r="DH42" s="68">
        <v>17466.990000000002</v>
      </c>
    </row>
    <row r="43" spans="1:112">
      <c r="A43" s="40">
        <v>46</v>
      </c>
      <c r="B43" s="40" t="s">
        <v>210</v>
      </c>
      <c r="C43" s="40">
        <v>4</v>
      </c>
      <c r="D43" s="29" t="s">
        <v>73</v>
      </c>
      <c r="E43" s="30">
        <v>16</v>
      </c>
      <c r="F43" s="30">
        <v>7</v>
      </c>
      <c r="G43" s="52">
        <v>9.135428000000001</v>
      </c>
      <c r="H43" s="68">
        <f t="shared" si="0"/>
        <v>0</v>
      </c>
      <c r="I43" s="47">
        <v>9.135428000000001</v>
      </c>
      <c r="J43" s="43">
        <v>9.14</v>
      </c>
      <c r="K43" s="40"/>
      <c r="L43" s="40"/>
      <c r="M43" s="43"/>
      <c r="N43" s="40"/>
      <c r="O43" s="40"/>
      <c r="P43" s="40"/>
      <c r="Q43" s="42"/>
      <c r="R43" s="40"/>
      <c r="S43" s="40"/>
      <c r="T43" s="43"/>
      <c r="U43" s="40"/>
      <c r="V43" s="40"/>
      <c r="W43" s="42"/>
      <c r="X43" s="40"/>
      <c r="Y43" s="40"/>
      <c r="Z43" s="43"/>
      <c r="AA43" s="40"/>
      <c r="AB43" s="40"/>
      <c r="AC43" s="42"/>
      <c r="AD43" s="40"/>
      <c r="AE43" s="40"/>
      <c r="AF43" s="40"/>
      <c r="AG43" s="43"/>
      <c r="AH43" s="40"/>
      <c r="AI43" s="40"/>
      <c r="AJ43" s="40"/>
      <c r="AK43" s="42"/>
      <c r="AL43" s="40"/>
      <c r="AM43" s="40"/>
      <c r="AN43" s="43"/>
      <c r="AO43" s="40"/>
      <c r="AP43" s="40"/>
      <c r="AQ43" s="42"/>
      <c r="AR43" s="40"/>
      <c r="AS43" s="40"/>
      <c r="AT43" s="43"/>
      <c r="AU43" s="40"/>
      <c r="AV43" s="40"/>
      <c r="AW43" s="42"/>
      <c r="AX43" s="40"/>
      <c r="AY43" s="40"/>
      <c r="AZ43" s="43"/>
      <c r="BA43" s="40"/>
      <c r="BB43" s="40"/>
      <c r="BC43" s="42"/>
      <c r="BD43" s="40"/>
      <c r="BE43" s="40"/>
      <c r="BF43" s="43"/>
      <c r="BG43" s="40"/>
      <c r="BH43" s="40"/>
      <c r="BI43" s="42"/>
      <c r="BJ43" s="40"/>
      <c r="BK43" s="40"/>
      <c r="BL43" s="43"/>
      <c r="BM43" s="40"/>
      <c r="BN43" s="40"/>
      <c r="BO43" s="42"/>
      <c r="BP43" s="40"/>
      <c r="BQ43" s="40"/>
      <c r="BR43" s="43"/>
      <c r="BS43" s="40"/>
      <c r="BT43" s="40"/>
      <c r="BU43" s="42"/>
      <c r="BV43" s="40"/>
      <c r="BW43" s="40"/>
      <c r="BX43" s="43"/>
      <c r="BY43" s="40"/>
      <c r="BZ43" s="40"/>
      <c r="CA43" s="42"/>
      <c r="CB43" s="40"/>
      <c r="CC43" s="75"/>
      <c r="CD43" s="43"/>
      <c r="CE43" s="40"/>
      <c r="CF43" s="40"/>
      <c r="CG43" s="42"/>
      <c r="CH43" s="40"/>
      <c r="CI43" s="40"/>
      <c r="CJ43" s="43"/>
      <c r="CK43" s="40"/>
      <c r="CL43" s="40"/>
      <c r="CM43" s="42"/>
      <c r="CN43" s="40"/>
      <c r="CO43" s="40"/>
      <c r="CP43" s="43"/>
      <c r="CQ43" s="40"/>
      <c r="CR43" s="40"/>
      <c r="CS43" s="42"/>
      <c r="CT43" s="40"/>
      <c r="CU43" s="40"/>
      <c r="CV43" s="43"/>
      <c r="CW43" s="40"/>
      <c r="CX43" s="40"/>
      <c r="CY43" s="42"/>
      <c r="CZ43" s="40"/>
      <c r="DA43" s="40"/>
      <c r="DB43" s="43"/>
      <c r="DC43" s="40"/>
      <c r="DD43" s="75" t="s">
        <v>311</v>
      </c>
      <c r="DE43" s="69">
        <v>9140</v>
      </c>
      <c r="DF43" s="40"/>
      <c r="DG43" s="40"/>
      <c r="DH43" s="68">
        <v>0</v>
      </c>
    </row>
    <row r="44" spans="1:112">
      <c r="A44" s="40">
        <v>47</v>
      </c>
      <c r="B44" s="40" t="s">
        <v>210</v>
      </c>
      <c r="C44" s="40">
        <v>4</v>
      </c>
      <c r="D44" s="29" t="s">
        <v>73</v>
      </c>
      <c r="E44" s="30">
        <v>22</v>
      </c>
      <c r="F44" s="30">
        <v>6</v>
      </c>
      <c r="G44" s="52">
        <v>43.254662000000003</v>
      </c>
      <c r="H44" s="68">
        <f t="shared" si="0"/>
        <v>27.986229999999999</v>
      </c>
      <c r="I44" s="47">
        <v>15.268432000000004</v>
      </c>
      <c r="J44" s="43">
        <v>43</v>
      </c>
      <c r="K44" s="40"/>
      <c r="L44" s="40"/>
      <c r="M44" s="43"/>
      <c r="N44" s="40"/>
      <c r="O44" s="40"/>
      <c r="P44" s="40"/>
      <c r="Q44" s="42"/>
      <c r="R44" s="40"/>
      <c r="S44" s="40"/>
      <c r="T44" s="43"/>
      <c r="U44" s="40"/>
      <c r="V44" s="40"/>
      <c r="W44" s="42"/>
      <c r="X44" s="40"/>
      <c r="Y44" s="40"/>
      <c r="Z44" s="43"/>
      <c r="AA44" s="40"/>
      <c r="AB44" s="40"/>
      <c r="AC44" s="42"/>
      <c r="AD44" s="40"/>
      <c r="AE44" s="40"/>
      <c r="AF44" s="40"/>
      <c r="AG44" s="43"/>
      <c r="AH44" s="40"/>
      <c r="AI44" s="40"/>
      <c r="AJ44" s="40"/>
      <c r="AK44" s="42"/>
      <c r="AL44" s="40"/>
      <c r="AM44" s="40"/>
      <c r="AN44" s="43"/>
      <c r="AO44" s="40"/>
      <c r="AP44" s="40"/>
      <c r="AQ44" s="42"/>
      <c r="AR44" s="40"/>
      <c r="AS44" s="40"/>
      <c r="AT44" s="43"/>
      <c r="AU44" s="40"/>
      <c r="AV44" s="40"/>
      <c r="AW44" s="42"/>
      <c r="AX44" s="40"/>
      <c r="AY44" s="40"/>
      <c r="AZ44" s="43"/>
      <c r="BA44" s="40"/>
      <c r="BB44" s="40"/>
      <c r="BC44" s="42"/>
      <c r="BD44" s="40" t="s">
        <v>409</v>
      </c>
      <c r="BE44" s="40">
        <v>43</v>
      </c>
      <c r="BF44" s="43">
        <v>43000</v>
      </c>
      <c r="BG44" s="40" t="s">
        <v>409</v>
      </c>
      <c r="BH44" s="40">
        <v>23</v>
      </c>
      <c r="BI44" s="42">
        <v>27986.23</v>
      </c>
      <c r="BJ44" s="40"/>
      <c r="BK44" s="40"/>
      <c r="BL44" s="43"/>
      <c r="BM44" s="40"/>
      <c r="BN44" s="40"/>
      <c r="BO44" s="42"/>
      <c r="BP44" s="40"/>
      <c r="BQ44" s="40"/>
      <c r="BR44" s="43"/>
      <c r="BS44" s="40"/>
      <c r="BT44" s="40"/>
      <c r="BU44" s="42"/>
      <c r="BV44" s="40"/>
      <c r="BW44" s="40"/>
      <c r="BX44" s="43"/>
      <c r="BY44" s="40"/>
      <c r="BZ44" s="40"/>
      <c r="CA44" s="42"/>
      <c r="CB44" s="40"/>
      <c r="CC44" s="75"/>
      <c r="CD44" s="43"/>
      <c r="CE44" s="40"/>
      <c r="CF44" s="40"/>
      <c r="CG44" s="42"/>
      <c r="CH44" s="40"/>
      <c r="CI44" s="40"/>
      <c r="CJ44" s="43"/>
      <c r="CK44" s="40"/>
      <c r="CL44" s="40"/>
      <c r="CM44" s="42"/>
      <c r="CN44" s="40"/>
      <c r="CO44" s="40"/>
      <c r="CP44" s="43"/>
      <c r="CQ44" s="40"/>
      <c r="CR44" s="40"/>
      <c r="CS44" s="42"/>
      <c r="CT44" s="40"/>
      <c r="CU44" s="40"/>
      <c r="CV44" s="43"/>
      <c r="CW44" s="40"/>
      <c r="CX44" s="40"/>
      <c r="CY44" s="42"/>
      <c r="CZ44" s="40"/>
      <c r="DA44" s="40"/>
      <c r="DB44" s="43"/>
      <c r="DC44" s="40"/>
      <c r="DD44" s="75"/>
      <c r="DE44" s="69">
        <v>0</v>
      </c>
      <c r="DF44" s="40"/>
      <c r="DG44" s="40"/>
      <c r="DH44" s="68">
        <v>0</v>
      </c>
    </row>
    <row r="45" spans="1:112">
      <c r="A45" s="40">
        <v>48</v>
      </c>
      <c r="B45" s="40" t="s">
        <v>210</v>
      </c>
      <c r="C45" s="40">
        <v>4</v>
      </c>
      <c r="D45" s="29" t="s">
        <v>73</v>
      </c>
      <c r="E45" s="30">
        <v>28</v>
      </c>
      <c r="F45" s="30">
        <v>6</v>
      </c>
      <c r="G45" s="52">
        <v>42.585092000000003</v>
      </c>
      <c r="H45" s="68">
        <f t="shared" si="0"/>
        <v>0</v>
      </c>
      <c r="I45" s="47">
        <v>42.585092000000003</v>
      </c>
      <c r="J45" s="43">
        <v>42.59</v>
      </c>
      <c r="K45" s="40" t="s">
        <v>409</v>
      </c>
      <c r="L45" s="40">
        <v>1</v>
      </c>
      <c r="M45" s="43">
        <v>42590</v>
      </c>
      <c r="N45" s="40"/>
      <c r="O45" s="40"/>
      <c r="P45" s="40"/>
      <c r="Q45" s="42"/>
      <c r="R45" s="40"/>
      <c r="S45" s="40"/>
      <c r="T45" s="43"/>
      <c r="U45" s="40"/>
      <c r="V45" s="40"/>
      <c r="W45" s="42"/>
      <c r="X45" s="40"/>
      <c r="Y45" s="40"/>
      <c r="Z45" s="43"/>
      <c r="AA45" s="40"/>
      <c r="AB45" s="40"/>
      <c r="AC45" s="42"/>
      <c r="AD45" s="40"/>
      <c r="AE45" s="40"/>
      <c r="AF45" s="40"/>
      <c r="AG45" s="43"/>
      <c r="AH45" s="40"/>
      <c r="AI45" s="40"/>
      <c r="AJ45" s="40"/>
      <c r="AK45" s="42"/>
      <c r="AL45" s="40"/>
      <c r="AM45" s="40"/>
      <c r="AN45" s="43"/>
      <c r="AO45" s="40"/>
      <c r="AP45" s="40"/>
      <c r="AQ45" s="42"/>
      <c r="AR45" s="40"/>
      <c r="AS45" s="40"/>
      <c r="AT45" s="43"/>
      <c r="AU45" s="40"/>
      <c r="AV45" s="40"/>
      <c r="AW45" s="42"/>
      <c r="AX45" s="40"/>
      <c r="AY45" s="40"/>
      <c r="AZ45" s="43"/>
      <c r="BA45" s="40"/>
      <c r="BB45" s="40"/>
      <c r="BC45" s="42"/>
      <c r="BD45" s="40"/>
      <c r="BE45" s="40"/>
      <c r="BF45" s="43"/>
      <c r="BG45" s="40"/>
      <c r="BH45" s="40"/>
      <c r="BI45" s="42"/>
      <c r="BJ45" s="40"/>
      <c r="BK45" s="40"/>
      <c r="BL45" s="43"/>
      <c r="BM45" s="40"/>
      <c r="BN45" s="40"/>
      <c r="BO45" s="42"/>
      <c r="BP45" s="40"/>
      <c r="BQ45" s="40"/>
      <c r="BR45" s="43"/>
      <c r="BS45" s="40"/>
      <c r="BT45" s="40"/>
      <c r="BU45" s="42"/>
      <c r="BV45" s="40"/>
      <c r="BW45" s="40"/>
      <c r="BX45" s="43"/>
      <c r="BY45" s="40"/>
      <c r="BZ45" s="40"/>
      <c r="CA45" s="42"/>
      <c r="CB45" s="40"/>
      <c r="CC45" s="75"/>
      <c r="CD45" s="43"/>
      <c r="CE45" s="40"/>
      <c r="CF45" s="40"/>
      <c r="CG45" s="42"/>
      <c r="CH45" s="40"/>
      <c r="CI45" s="40"/>
      <c r="CJ45" s="43"/>
      <c r="CK45" s="40"/>
      <c r="CL45" s="40"/>
      <c r="CM45" s="42"/>
      <c r="CN45" s="40"/>
      <c r="CO45" s="40"/>
      <c r="CP45" s="43"/>
      <c r="CQ45" s="40"/>
      <c r="CR45" s="40"/>
      <c r="CS45" s="42"/>
      <c r="CT45" s="40"/>
      <c r="CU45" s="40"/>
      <c r="CV45" s="43"/>
      <c r="CW45" s="40"/>
      <c r="CX45" s="40"/>
      <c r="CY45" s="42"/>
      <c r="CZ45" s="40"/>
      <c r="DA45" s="40"/>
      <c r="DB45" s="43"/>
      <c r="DC45" s="40"/>
      <c r="DD45" s="75"/>
      <c r="DE45" s="69">
        <v>0</v>
      </c>
      <c r="DF45" s="40"/>
      <c r="DG45" s="40"/>
      <c r="DH45" s="68">
        <v>0</v>
      </c>
    </row>
    <row r="46" spans="1:112">
      <c r="A46" s="40">
        <v>49</v>
      </c>
      <c r="B46" s="40" t="s">
        <v>210</v>
      </c>
      <c r="C46" s="40">
        <v>4</v>
      </c>
      <c r="D46" s="29" t="s">
        <v>73</v>
      </c>
      <c r="E46" s="30">
        <v>34</v>
      </c>
      <c r="F46" s="30">
        <v>6</v>
      </c>
      <c r="G46" s="52">
        <v>10.203648000000001</v>
      </c>
      <c r="H46" s="68">
        <f t="shared" si="0"/>
        <v>0</v>
      </c>
      <c r="I46" s="47">
        <v>10.203648000000001</v>
      </c>
      <c r="J46" s="43">
        <v>10.199999999999999</v>
      </c>
      <c r="K46" s="40"/>
      <c r="L46" s="40"/>
      <c r="M46" s="43"/>
      <c r="N46" s="40"/>
      <c r="O46" s="40"/>
      <c r="P46" s="40"/>
      <c r="Q46" s="42"/>
      <c r="R46" s="40"/>
      <c r="S46" s="40"/>
      <c r="T46" s="43"/>
      <c r="U46" s="40"/>
      <c r="V46" s="40"/>
      <c r="W46" s="42"/>
      <c r="X46" s="40"/>
      <c r="Y46" s="40"/>
      <c r="Z46" s="43"/>
      <c r="AA46" s="40"/>
      <c r="AB46" s="40"/>
      <c r="AC46" s="42"/>
      <c r="AD46" s="40"/>
      <c r="AE46" s="40"/>
      <c r="AF46" s="40"/>
      <c r="AG46" s="43"/>
      <c r="AH46" s="40"/>
      <c r="AI46" s="40"/>
      <c r="AJ46" s="40"/>
      <c r="AK46" s="42"/>
      <c r="AL46" s="40"/>
      <c r="AM46" s="40"/>
      <c r="AN46" s="43"/>
      <c r="AO46" s="40"/>
      <c r="AP46" s="40"/>
      <c r="AQ46" s="42"/>
      <c r="AR46" s="40"/>
      <c r="AS46" s="40"/>
      <c r="AT46" s="43"/>
      <c r="AU46" s="40"/>
      <c r="AV46" s="40"/>
      <c r="AW46" s="42"/>
      <c r="AX46" s="40"/>
      <c r="AY46" s="40"/>
      <c r="AZ46" s="43"/>
      <c r="BA46" s="40"/>
      <c r="BB46" s="40"/>
      <c r="BC46" s="42"/>
      <c r="BD46" s="40"/>
      <c r="BE46" s="40"/>
      <c r="BF46" s="43"/>
      <c r="BG46" s="40"/>
      <c r="BH46" s="40"/>
      <c r="BI46" s="42"/>
      <c r="BJ46" s="40"/>
      <c r="BK46" s="40"/>
      <c r="BL46" s="43"/>
      <c r="BM46" s="40"/>
      <c r="BN46" s="40"/>
      <c r="BO46" s="42"/>
      <c r="BP46" s="40"/>
      <c r="BQ46" s="40"/>
      <c r="BR46" s="43"/>
      <c r="BS46" s="40"/>
      <c r="BT46" s="40"/>
      <c r="BU46" s="42"/>
      <c r="BV46" s="40"/>
      <c r="BW46" s="40"/>
      <c r="BX46" s="43"/>
      <c r="BY46" s="40"/>
      <c r="BZ46" s="40"/>
      <c r="CA46" s="42"/>
      <c r="CB46" s="40"/>
      <c r="CC46" s="75"/>
      <c r="CD46" s="43"/>
      <c r="CE46" s="40"/>
      <c r="CF46" s="40"/>
      <c r="CG46" s="42"/>
      <c r="CH46" s="40"/>
      <c r="CI46" s="40"/>
      <c r="CJ46" s="43"/>
      <c r="CK46" s="40"/>
      <c r="CL46" s="40"/>
      <c r="CM46" s="42"/>
      <c r="CN46" s="40"/>
      <c r="CO46" s="40"/>
      <c r="CP46" s="43"/>
      <c r="CQ46" s="40"/>
      <c r="CR46" s="40"/>
      <c r="CS46" s="42"/>
      <c r="CT46" s="40"/>
      <c r="CU46" s="40"/>
      <c r="CV46" s="43"/>
      <c r="CW46" s="40"/>
      <c r="CX46" s="40"/>
      <c r="CY46" s="42"/>
      <c r="CZ46" s="40"/>
      <c r="DA46" s="40"/>
      <c r="DB46" s="43"/>
      <c r="DC46" s="40"/>
      <c r="DD46" s="75" t="s">
        <v>311</v>
      </c>
      <c r="DE46" s="69">
        <v>10200</v>
      </c>
      <c r="DF46" s="40"/>
      <c r="DG46" s="40"/>
      <c r="DH46" s="68">
        <v>0</v>
      </c>
    </row>
    <row r="47" spans="1:112">
      <c r="A47" s="40">
        <v>50</v>
      </c>
      <c r="B47" s="40" t="s">
        <v>210</v>
      </c>
      <c r="C47" s="40">
        <v>4</v>
      </c>
      <c r="D47" s="29" t="s">
        <v>74</v>
      </c>
      <c r="E47" s="30" t="s">
        <v>75</v>
      </c>
      <c r="F47" s="30">
        <v>7</v>
      </c>
      <c r="G47" s="52">
        <v>27.854390000000002</v>
      </c>
      <c r="H47" s="68">
        <f t="shared" si="0"/>
        <v>0</v>
      </c>
      <c r="I47" s="47">
        <v>27.854390000000002</v>
      </c>
      <c r="J47" s="43">
        <v>22.5</v>
      </c>
      <c r="K47" s="40"/>
      <c r="L47" s="40"/>
      <c r="M47" s="43"/>
      <c r="N47" s="40"/>
      <c r="O47" s="40"/>
      <c r="P47" s="40"/>
      <c r="Q47" s="42"/>
      <c r="R47" s="40"/>
      <c r="S47" s="40"/>
      <c r="T47" s="43"/>
      <c r="U47" s="40"/>
      <c r="V47" s="40"/>
      <c r="W47" s="42"/>
      <c r="X47" s="40"/>
      <c r="Y47" s="40"/>
      <c r="Z47" s="43"/>
      <c r="AA47" s="40"/>
      <c r="AB47" s="40"/>
      <c r="AC47" s="42"/>
      <c r="AD47" s="40"/>
      <c r="AE47" s="40"/>
      <c r="AF47" s="40"/>
      <c r="AG47" s="43"/>
      <c r="AH47" s="40"/>
      <c r="AI47" s="40"/>
      <c r="AJ47" s="40"/>
      <c r="AK47" s="42"/>
      <c r="AL47" s="40"/>
      <c r="AM47" s="40"/>
      <c r="AN47" s="43"/>
      <c r="AO47" s="40"/>
      <c r="AP47" s="40"/>
      <c r="AQ47" s="42"/>
      <c r="AR47" s="40"/>
      <c r="AS47" s="40"/>
      <c r="AT47" s="43"/>
      <c r="AU47" s="40"/>
      <c r="AV47" s="40"/>
      <c r="AW47" s="42"/>
      <c r="AX47" s="40"/>
      <c r="AY47" s="40"/>
      <c r="AZ47" s="43"/>
      <c r="BA47" s="40"/>
      <c r="BB47" s="40"/>
      <c r="BC47" s="42"/>
      <c r="BD47" s="40"/>
      <c r="BE47" s="40"/>
      <c r="BF47" s="43"/>
      <c r="BG47" s="40"/>
      <c r="BH47" s="40"/>
      <c r="BI47" s="42"/>
      <c r="BJ47" s="40"/>
      <c r="BK47" s="40"/>
      <c r="BL47" s="43"/>
      <c r="BM47" s="40"/>
      <c r="BN47" s="40"/>
      <c r="BO47" s="42"/>
      <c r="BP47" s="40"/>
      <c r="BQ47" s="40"/>
      <c r="BR47" s="43"/>
      <c r="BS47" s="40"/>
      <c r="BT47" s="40"/>
      <c r="BU47" s="42"/>
      <c r="BV47" s="40"/>
      <c r="BW47" s="40"/>
      <c r="BX47" s="43"/>
      <c r="BY47" s="40"/>
      <c r="BZ47" s="40"/>
      <c r="CA47" s="42"/>
      <c r="CB47" s="40" t="s">
        <v>410</v>
      </c>
      <c r="CC47" s="75">
        <v>50</v>
      </c>
      <c r="CD47" s="43">
        <v>22500</v>
      </c>
      <c r="CE47" s="40"/>
      <c r="CF47" s="40"/>
      <c r="CG47" s="42"/>
      <c r="CH47" s="40"/>
      <c r="CI47" s="40"/>
      <c r="CJ47" s="43"/>
      <c r="CK47" s="40"/>
      <c r="CL47" s="40"/>
      <c r="CM47" s="42"/>
      <c r="CN47" s="40"/>
      <c r="CO47" s="40"/>
      <c r="CP47" s="43"/>
      <c r="CQ47" s="40"/>
      <c r="CR47" s="40"/>
      <c r="CS47" s="42"/>
      <c r="CT47" s="40"/>
      <c r="CU47" s="40"/>
      <c r="CV47" s="43"/>
      <c r="CW47" s="40"/>
      <c r="CX47" s="40"/>
      <c r="CY47" s="42"/>
      <c r="CZ47" s="40"/>
      <c r="DA47" s="40"/>
      <c r="DB47" s="43"/>
      <c r="DC47" s="40"/>
      <c r="DD47" s="75"/>
      <c r="DE47" s="69">
        <v>0</v>
      </c>
      <c r="DF47" s="40"/>
      <c r="DG47" s="40"/>
      <c r="DH47" s="68">
        <v>0</v>
      </c>
    </row>
    <row r="48" spans="1:112">
      <c r="A48" s="40">
        <v>51</v>
      </c>
      <c r="B48" s="40" t="s">
        <v>210</v>
      </c>
      <c r="C48" s="40">
        <v>4</v>
      </c>
      <c r="D48" s="29" t="s">
        <v>74</v>
      </c>
      <c r="E48" s="30">
        <v>27</v>
      </c>
      <c r="F48" s="30">
        <v>7</v>
      </c>
      <c r="G48" s="52">
        <v>32.110090000000007</v>
      </c>
      <c r="H48" s="68">
        <f t="shared" si="0"/>
        <v>0</v>
      </c>
      <c r="I48" s="47">
        <v>32.110090000000007</v>
      </c>
      <c r="J48" s="43">
        <v>32.11</v>
      </c>
      <c r="K48" s="40"/>
      <c r="L48" s="40"/>
      <c r="M48" s="43"/>
      <c r="N48" s="40"/>
      <c r="O48" s="40"/>
      <c r="P48" s="40"/>
      <c r="Q48" s="42"/>
      <c r="R48" s="40"/>
      <c r="S48" s="40"/>
      <c r="T48" s="43"/>
      <c r="U48" s="40"/>
      <c r="V48" s="40"/>
      <c r="W48" s="42"/>
      <c r="X48" s="40"/>
      <c r="Y48" s="40"/>
      <c r="Z48" s="43"/>
      <c r="AA48" s="40"/>
      <c r="AB48" s="40"/>
      <c r="AC48" s="42"/>
      <c r="AD48" s="40"/>
      <c r="AE48" s="40"/>
      <c r="AF48" s="40"/>
      <c r="AG48" s="43"/>
      <c r="AH48" s="40"/>
      <c r="AI48" s="40"/>
      <c r="AJ48" s="40"/>
      <c r="AK48" s="42"/>
      <c r="AL48" s="40"/>
      <c r="AM48" s="40"/>
      <c r="AN48" s="43"/>
      <c r="AO48" s="40"/>
      <c r="AP48" s="40"/>
      <c r="AQ48" s="42"/>
      <c r="AR48" s="40"/>
      <c r="AS48" s="40"/>
      <c r="AT48" s="43"/>
      <c r="AU48" s="40"/>
      <c r="AV48" s="40"/>
      <c r="AW48" s="42"/>
      <c r="AX48" s="40"/>
      <c r="AY48" s="40"/>
      <c r="AZ48" s="43"/>
      <c r="BA48" s="40"/>
      <c r="BB48" s="40"/>
      <c r="BC48" s="42"/>
      <c r="BD48" s="40"/>
      <c r="BE48" s="40"/>
      <c r="BF48" s="43"/>
      <c r="BG48" s="40"/>
      <c r="BH48" s="40"/>
      <c r="BI48" s="42"/>
      <c r="BJ48" s="40"/>
      <c r="BK48" s="40"/>
      <c r="BL48" s="43"/>
      <c r="BM48" s="40"/>
      <c r="BN48" s="40"/>
      <c r="BO48" s="42"/>
      <c r="BP48" s="40"/>
      <c r="BQ48" s="40"/>
      <c r="BR48" s="43"/>
      <c r="BS48" s="40"/>
      <c r="BT48" s="40"/>
      <c r="BU48" s="42"/>
      <c r="BV48" s="40"/>
      <c r="BW48" s="40"/>
      <c r="BX48" s="43"/>
      <c r="BY48" s="40"/>
      <c r="BZ48" s="40"/>
      <c r="CA48" s="42"/>
      <c r="CB48" s="40"/>
      <c r="CC48" s="75"/>
      <c r="CD48" s="43"/>
      <c r="CE48" s="40"/>
      <c r="CF48" s="40"/>
      <c r="CG48" s="42"/>
      <c r="CH48" s="40"/>
      <c r="CI48" s="40"/>
      <c r="CJ48" s="43"/>
      <c r="CK48" s="40"/>
      <c r="CL48" s="40"/>
      <c r="CM48" s="42"/>
      <c r="CN48" s="40"/>
      <c r="CO48" s="40"/>
      <c r="CP48" s="43"/>
      <c r="CQ48" s="40"/>
      <c r="CR48" s="40"/>
      <c r="CS48" s="42"/>
      <c r="CT48" s="40"/>
      <c r="CU48" s="40"/>
      <c r="CV48" s="43"/>
      <c r="CW48" s="40"/>
      <c r="CX48" s="40"/>
      <c r="CY48" s="42"/>
      <c r="CZ48" s="40"/>
      <c r="DA48" s="40"/>
      <c r="DB48" s="43"/>
      <c r="DC48" s="40"/>
      <c r="DD48" s="75" t="s">
        <v>311</v>
      </c>
      <c r="DE48" s="69">
        <v>32110</v>
      </c>
      <c r="DF48" s="40"/>
      <c r="DG48" s="40"/>
      <c r="DH48" s="68">
        <v>0</v>
      </c>
    </row>
    <row r="49" spans="1:112">
      <c r="A49" s="40">
        <v>52</v>
      </c>
      <c r="B49" s="40" t="s">
        <v>210</v>
      </c>
      <c r="C49" s="40">
        <v>4</v>
      </c>
      <c r="D49" s="29" t="s">
        <v>74</v>
      </c>
      <c r="E49" s="30" t="s">
        <v>76</v>
      </c>
      <c r="F49" s="30">
        <v>7</v>
      </c>
      <c r="G49" s="52">
        <v>26.077978000000002</v>
      </c>
      <c r="H49" s="68">
        <f t="shared" si="0"/>
        <v>0</v>
      </c>
      <c r="I49" s="47">
        <v>26.077978000000002</v>
      </c>
      <c r="J49" s="43">
        <v>26.08</v>
      </c>
      <c r="K49" s="40"/>
      <c r="L49" s="40"/>
      <c r="M49" s="43"/>
      <c r="N49" s="40"/>
      <c r="O49" s="40"/>
      <c r="P49" s="40"/>
      <c r="Q49" s="42"/>
      <c r="R49" s="40"/>
      <c r="S49" s="40"/>
      <c r="T49" s="43"/>
      <c r="U49" s="40"/>
      <c r="V49" s="40"/>
      <c r="W49" s="42"/>
      <c r="X49" s="40"/>
      <c r="Y49" s="40"/>
      <c r="Z49" s="43"/>
      <c r="AA49" s="40"/>
      <c r="AB49" s="40"/>
      <c r="AC49" s="42"/>
      <c r="AD49" s="40"/>
      <c r="AE49" s="40"/>
      <c r="AF49" s="40"/>
      <c r="AG49" s="43"/>
      <c r="AH49" s="40"/>
      <c r="AI49" s="40"/>
      <c r="AJ49" s="40"/>
      <c r="AK49" s="42"/>
      <c r="AL49" s="40"/>
      <c r="AM49" s="40"/>
      <c r="AN49" s="43"/>
      <c r="AO49" s="40"/>
      <c r="AP49" s="40"/>
      <c r="AQ49" s="42"/>
      <c r="AR49" s="40"/>
      <c r="AS49" s="40"/>
      <c r="AT49" s="43"/>
      <c r="AU49" s="40"/>
      <c r="AV49" s="40"/>
      <c r="AW49" s="42"/>
      <c r="AX49" s="40"/>
      <c r="AY49" s="40"/>
      <c r="AZ49" s="43"/>
      <c r="BA49" s="40"/>
      <c r="BB49" s="40"/>
      <c r="BC49" s="42"/>
      <c r="BD49" s="40"/>
      <c r="BE49" s="40"/>
      <c r="BF49" s="43"/>
      <c r="BG49" s="40"/>
      <c r="BH49" s="40"/>
      <c r="BI49" s="42"/>
      <c r="BJ49" s="40"/>
      <c r="BK49" s="40"/>
      <c r="BL49" s="43"/>
      <c r="BM49" s="40"/>
      <c r="BN49" s="40"/>
      <c r="BO49" s="42"/>
      <c r="BP49" s="40"/>
      <c r="BQ49" s="40"/>
      <c r="BR49" s="43"/>
      <c r="BS49" s="40"/>
      <c r="BT49" s="40"/>
      <c r="BU49" s="42"/>
      <c r="BV49" s="40"/>
      <c r="BW49" s="40"/>
      <c r="BX49" s="43"/>
      <c r="BY49" s="40"/>
      <c r="BZ49" s="40"/>
      <c r="CA49" s="42"/>
      <c r="CB49" s="40"/>
      <c r="CC49" s="75"/>
      <c r="CD49" s="43"/>
      <c r="CE49" s="40"/>
      <c r="CF49" s="40"/>
      <c r="CG49" s="42"/>
      <c r="CH49" s="40"/>
      <c r="CI49" s="40"/>
      <c r="CJ49" s="43"/>
      <c r="CK49" s="40"/>
      <c r="CL49" s="40"/>
      <c r="CM49" s="42"/>
      <c r="CN49" s="40"/>
      <c r="CO49" s="40"/>
      <c r="CP49" s="43"/>
      <c r="CQ49" s="40"/>
      <c r="CR49" s="40"/>
      <c r="CS49" s="42"/>
      <c r="CT49" s="40"/>
      <c r="CU49" s="40"/>
      <c r="CV49" s="43"/>
      <c r="CW49" s="40"/>
      <c r="CX49" s="40"/>
      <c r="CY49" s="42"/>
      <c r="CZ49" s="40"/>
      <c r="DA49" s="40"/>
      <c r="DB49" s="43"/>
      <c r="DC49" s="40"/>
      <c r="DD49" s="75" t="s">
        <v>311</v>
      </c>
      <c r="DE49" s="69">
        <v>26080</v>
      </c>
      <c r="DF49" s="40"/>
      <c r="DG49" s="40"/>
      <c r="DH49" s="68">
        <v>0</v>
      </c>
    </row>
    <row r="50" spans="1:112">
      <c r="A50" s="40">
        <v>53</v>
      </c>
      <c r="B50" s="40" t="s">
        <v>210</v>
      </c>
      <c r="C50" s="40">
        <v>4</v>
      </c>
      <c r="D50" s="29" t="s">
        <v>74</v>
      </c>
      <c r="E50" s="30">
        <v>37</v>
      </c>
      <c r="F50" s="30">
        <v>7</v>
      </c>
      <c r="G50" s="52">
        <v>36.72457</v>
      </c>
      <c r="H50" s="68">
        <f t="shared" si="0"/>
        <v>0</v>
      </c>
      <c r="I50" s="47">
        <v>36.72457</v>
      </c>
      <c r="J50" s="43">
        <v>37</v>
      </c>
      <c r="K50" s="40"/>
      <c r="L50" s="40"/>
      <c r="M50" s="43"/>
      <c r="N50" s="40"/>
      <c r="O50" s="40"/>
      <c r="P50" s="40"/>
      <c r="Q50" s="42"/>
      <c r="R50" s="40"/>
      <c r="S50" s="40"/>
      <c r="T50" s="43"/>
      <c r="U50" s="40"/>
      <c r="V50" s="40"/>
      <c r="W50" s="42"/>
      <c r="X50" s="40"/>
      <c r="Y50" s="40"/>
      <c r="Z50" s="43"/>
      <c r="AA50" s="40"/>
      <c r="AB50" s="40"/>
      <c r="AC50" s="42"/>
      <c r="AD50" s="40"/>
      <c r="AE50" s="40"/>
      <c r="AF50" s="40"/>
      <c r="AG50" s="43"/>
      <c r="AH50" s="40"/>
      <c r="AI50" s="40"/>
      <c r="AJ50" s="40"/>
      <c r="AK50" s="42"/>
      <c r="AL50" s="40"/>
      <c r="AM50" s="40"/>
      <c r="AN50" s="43"/>
      <c r="AO50" s="40"/>
      <c r="AP50" s="40"/>
      <c r="AQ50" s="42"/>
      <c r="AR50" s="40"/>
      <c r="AS50" s="40"/>
      <c r="AT50" s="43"/>
      <c r="AU50" s="40"/>
      <c r="AV50" s="40"/>
      <c r="AW50" s="42"/>
      <c r="AX50" s="40"/>
      <c r="AY50" s="40"/>
      <c r="AZ50" s="43"/>
      <c r="BA50" s="40"/>
      <c r="BB50" s="40"/>
      <c r="BC50" s="42"/>
      <c r="BD50" s="40"/>
      <c r="BE50" s="40"/>
      <c r="BF50" s="43"/>
      <c r="BG50" s="40"/>
      <c r="BH50" s="40"/>
      <c r="BI50" s="42"/>
      <c r="BJ50" s="40"/>
      <c r="BK50" s="40"/>
      <c r="BL50" s="43"/>
      <c r="BM50" s="40"/>
      <c r="BN50" s="40"/>
      <c r="BO50" s="42"/>
      <c r="BP50" s="40"/>
      <c r="BQ50" s="40"/>
      <c r="BR50" s="43"/>
      <c r="BS50" s="40"/>
      <c r="BT50" s="40"/>
      <c r="BU50" s="42"/>
      <c r="BV50" s="40"/>
      <c r="BW50" s="40"/>
      <c r="BX50" s="43"/>
      <c r="BY50" s="40"/>
      <c r="BZ50" s="40"/>
      <c r="CA50" s="42"/>
      <c r="CB50" s="40"/>
      <c r="CC50" s="75"/>
      <c r="CD50" s="43"/>
      <c r="CE50" s="40"/>
      <c r="CF50" s="40"/>
      <c r="CG50" s="42"/>
      <c r="CH50" s="40"/>
      <c r="CI50" s="40"/>
      <c r="CJ50" s="43"/>
      <c r="CK50" s="40"/>
      <c r="CL50" s="40"/>
      <c r="CM50" s="42"/>
      <c r="CN50" s="40" t="s">
        <v>402</v>
      </c>
      <c r="CO50" s="40">
        <v>15</v>
      </c>
      <c r="CP50" s="43">
        <v>27000</v>
      </c>
      <c r="CQ50" s="40"/>
      <c r="CR50" s="40"/>
      <c r="CS50" s="42"/>
      <c r="CT50" s="40"/>
      <c r="CU50" s="40"/>
      <c r="CV50" s="43"/>
      <c r="CW50" s="40"/>
      <c r="CX50" s="40"/>
      <c r="CY50" s="42"/>
      <c r="CZ50" s="40"/>
      <c r="DA50" s="40"/>
      <c r="DB50" s="43"/>
      <c r="DC50" s="40" t="s">
        <v>408</v>
      </c>
      <c r="DD50" s="75" t="s">
        <v>318</v>
      </c>
      <c r="DE50" s="69">
        <v>10000</v>
      </c>
      <c r="DF50" s="40"/>
      <c r="DG50" s="40"/>
      <c r="DH50" s="68">
        <v>0</v>
      </c>
    </row>
    <row r="51" spans="1:112">
      <c r="A51" s="40">
        <v>54</v>
      </c>
      <c r="B51" s="40" t="s">
        <v>210</v>
      </c>
      <c r="C51" s="40">
        <v>4</v>
      </c>
      <c r="D51" s="29" t="s">
        <v>74</v>
      </c>
      <c r="E51" s="30" t="s">
        <v>77</v>
      </c>
      <c r="F51" s="30">
        <v>7</v>
      </c>
      <c r="G51" s="52">
        <v>36.624756000000005</v>
      </c>
      <c r="H51" s="68">
        <f t="shared" si="0"/>
        <v>0</v>
      </c>
      <c r="I51" s="47">
        <v>36.624756000000005</v>
      </c>
      <c r="J51" s="43">
        <v>36.619999999999997</v>
      </c>
      <c r="K51" s="40"/>
      <c r="L51" s="40"/>
      <c r="M51" s="43"/>
      <c r="N51" s="40"/>
      <c r="O51" s="40"/>
      <c r="P51" s="40"/>
      <c r="Q51" s="42"/>
      <c r="R51" s="40"/>
      <c r="S51" s="40"/>
      <c r="T51" s="43"/>
      <c r="U51" s="40"/>
      <c r="V51" s="40"/>
      <c r="W51" s="42"/>
      <c r="X51" s="40"/>
      <c r="Y51" s="40"/>
      <c r="Z51" s="43"/>
      <c r="AA51" s="40"/>
      <c r="AB51" s="40"/>
      <c r="AC51" s="42"/>
      <c r="AD51" s="40"/>
      <c r="AE51" s="40"/>
      <c r="AF51" s="40"/>
      <c r="AG51" s="43"/>
      <c r="AH51" s="40"/>
      <c r="AI51" s="40"/>
      <c r="AJ51" s="40"/>
      <c r="AK51" s="42"/>
      <c r="AL51" s="40"/>
      <c r="AM51" s="40"/>
      <c r="AN51" s="43"/>
      <c r="AO51" s="40"/>
      <c r="AP51" s="40"/>
      <c r="AQ51" s="42"/>
      <c r="AR51" s="40"/>
      <c r="AS51" s="40"/>
      <c r="AT51" s="43"/>
      <c r="AU51" s="40"/>
      <c r="AV51" s="40"/>
      <c r="AW51" s="42"/>
      <c r="AX51" s="40"/>
      <c r="AY51" s="40"/>
      <c r="AZ51" s="43"/>
      <c r="BA51" s="40"/>
      <c r="BB51" s="40"/>
      <c r="BC51" s="42"/>
      <c r="BD51" s="40"/>
      <c r="BE51" s="40"/>
      <c r="BF51" s="43"/>
      <c r="BG51" s="40"/>
      <c r="BH51" s="40"/>
      <c r="BI51" s="42"/>
      <c r="BJ51" s="40"/>
      <c r="BK51" s="40"/>
      <c r="BL51" s="43"/>
      <c r="BM51" s="40"/>
      <c r="BN51" s="40"/>
      <c r="BO51" s="42"/>
      <c r="BP51" s="40"/>
      <c r="BQ51" s="40"/>
      <c r="BR51" s="43"/>
      <c r="BS51" s="40"/>
      <c r="BT51" s="40"/>
      <c r="BU51" s="42"/>
      <c r="BV51" s="40"/>
      <c r="BW51" s="40"/>
      <c r="BX51" s="43"/>
      <c r="BY51" s="40"/>
      <c r="BZ51" s="40"/>
      <c r="CA51" s="42"/>
      <c r="CB51" s="40"/>
      <c r="CC51" s="75"/>
      <c r="CD51" s="43"/>
      <c r="CE51" s="40"/>
      <c r="CF51" s="40"/>
      <c r="CG51" s="42"/>
      <c r="CH51" s="40"/>
      <c r="CI51" s="40"/>
      <c r="CJ51" s="43"/>
      <c r="CK51" s="40"/>
      <c r="CL51" s="40"/>
      <c r="CM51" s="42"/>
      <c r="CN51" s="40"/>
      <c r="CO51" s="40"/>
      <c r="CP51" s="43"/>
      <c r="CQ51" s="40"/>
      <c r="CR51" s="40"/>
      <c r="CS51" s="42"/>
      <c r="CT51" s="40"/>
      <c r="CU51" s="40"/>
      <c r="CV51" s="43"/>
      <c r="CW51" s="40"/>
      <c r="CX51" s="40"/>
      <c r="CY51" s="42"/>
      <c r="CZ51" s="40"/>
      <c r="DA51" s="40"/>
      <c r="DB51" s="43"/>
      <c r="DC51" s="40"/>
      <c r="DD51" s="75" t="s">
        <v>311</v>
      </c>
      <c r="DE51" s="69">
        <v>36620</v>
      </c>
      <c r="DF51" s="40"/>
      <c r="DG51" s="40"/>
      <c r="DH51" s="68">
        <v>0</v>
      </c>
    </row>
    <row r="52" spans="1:112">
      <c r="A52" s="40">
        <v>55</v>
      </c>
      <c r="B52" s="40" t="s">
        <v>210</v>
      </c>
      <c r="C52" s="40">
        <v>4</v>
      </c>
      <c r="D52" s="29" t="s">
        <v>74</v>
      </c>
      <c r="E52" s="30">
        <v>43</v>
      </c>
      <c r="F52" s="30">
        <v>7</v>
      </c>
      <c r="G52" s="52">
        <v>42.282046000000001</v>
      </c>
      <c r="H52" s="68">
        <f t="shared" si="0"/>
        <v>20.589490000000001</v>
      </c>
      <c r="I52" s="47">
        <v>42.282046000000001</v>
      </c>
      <c r="J52" s="43">
        <v>41.6</v>
      </c>
      <c r="K52" s="40"/>
      <c r="L52" s="40"/>
      <c r="M52" s="43"/>
      <c r="N52" s="40"/>
      <c r="O52" s="40"/>
      <c r="P52" s="40"/>
      <c r="Q52" s="42"/>
      <c r="R52" s="40"/>
      <c r="S52" s="40"/>
      <c r="T52" s="43"/>
      <c r="U52" s="40"/>
      <c r="V52" s="40"/>
      <c r="W52" s="42"/>
      <c r="X52" s="40"/>
      <c r="Y52" s="40"/>
      <c r="Z52" s="43"/>
      <c r="AA52" s="40"/>
      <c r="AB52" s="40"/>
      <c r="AC52" s="42"/>
      <c r="AD52" s="40" t="s">
        <v>403</v>
      </c>
      <c r="AE52" s="40" t="s">
        <v>308</v>
      </c>
      <c r="AF52" s="40">
        <v>52</v>
      </c>
      <c r="AG52" s="43">
        <v>41600</v>
      </c>
      <c r="AH52" s="44" t="s">
        <v>403</v>
      </c>
      <c r="AI52" s="40">
        <v>19.79</v>
      </c>
      <c r="AJ52" s="40">
        <v>4</v>
      </c>
      <c r="AK52" s="42">
        <v>20589.490000000002</v>
      </c>
      <c r="AL52" s="40"/>
      <c r="AM52" s="40"/>
      <c r="AN52" s="43"/>
      <c r="AO52" s="40"/>
      <c r="AP52" s="40"/>
      <c r="AQ52" s="42"/>
      <c r="AR52" s="40"/>
      <c r="AS52" s="40"/>
      <c r="AT52" s="43"/>
      <c r="AU52" s="40"/>
      <c r="AV52" s="40"/>
      <c r="AW52" s="42"/>
      <c r="AX52" s="40"/>
      <c r="AY52" s="40"/>
      <c r="AZ52" s="43"/>
      <c r="BA52" s="40"/>
      <c r="BB52" s="40"/>
      <c r="BC52" s="42"/>
      <c r="BD52" s="40"/>
      <c r="BE52" s="40"/>
      <c r="BF52" s="43"/>
      <c r="BG52" s="40"/>
      <c r="BH52" s="40"/>
      <c r="BI52" s="42"/>
      <c r="BJ52" s="40"/>
      <c r="BK52" s="40"/>
      <c r="BL52" s="43"/>
      <c r="BM52" s="40"/>
      <c r="BN52" s="40"/>
      <c r="BO52" s="42"/>
      <c r="BP52" s="40"/>
      <c r="BQ52" s="40"/>
      <c r="BR52" s="43"/>
      <c r="BS52" s="40"/>
      <c r="BT52" s="40"/>
      <c r="BU52" s="42"/>
      <c r="BV52" s="40"/>
      <c r="BW52" s="40"/>
      <c r="BX52" s="43"/>
      <c r="BY52" s="40"/>
      <c r="BZ52" s="40"/>
      <c r="CA52" s="42"/>
      <c r="CB52" s="40"/>
      <c r="CC52" s="75"/>
      <c r="CD52" s="43"/>
      <c r="CE52" s="40"/>
      <c r="CF52" s="40"/>
      <c r="CG52" s="42"/>
      <c r="CH52" s="40"/>
      <c r="CI52" s="40"/>
      <c r="CJ52" s="43"/>
      <c r="CK52" s="40"/>
      <c r="CL52" s="40"/>
      <c r="CM52" s="42"/>
      <c r="CN52" s="40"/>
      <c r="CO52" s="40"/>
      <c r="CP52" s="43"/>
      <c r="CQ52" s="40"/>
      <c r="CR52" s="40"/>
      <c r="CS52" s="42"/>
      <c r="CT52" s="40"/>
      <c r="CU52" s="40"/>
      <c r="CV52" s="43"/>
      <c r="CW52" s="40"/>
      <c r="CX52" s="40"/>
      <c r="CY52" s="42"/>
      <c r="CZ52" s="40"/>
      <c r="DA52" s="40"/>
      <c r="DB52" s="43"/>
      <c r="DC52" s="40"/>
      <c r="DD52" s="75"/>
      <c r="DE52" s="69">
        <v>0</v>
      </c>
      <c r="DF52" s="40"/>
      <c r="DG52" s="40"/>
      <c r="DH52" s="68">
        <v>0</v>
      </c>
    </row>
    <row r="53" spans="1:112">
      <c r="A53" s="40">
        <v>57</v>
      </c>
      <c r="B53" s="40" t="s">
        <v>210</v>
      </c>
      <c r="C53" s="40">
        <v>4</v>
      </c>
      <c r="D53" s="29" t="s">
        <v>78</v>
      </c>
      <c r="E53" s="30">
        <v>4</v>
      </c>
      <c r="F53" s="30">
        <v>7</v>
      </c>
      <c r="G53" s="52">
        <v>45.374192000000001</v>
      </c>
      <c r="H53" s="68">
        <f t="shared" si="0"/>
        <v>0</v>
      </c>
      <c r="I53" s="47">
        <v>45.374192000000001</v>
      </c>
      <c r="J53" s="43">
        <v>45.37</v>
      </c>
      <c r="K53" s="40"/>
      <c r="L53" s="40"/>
      <c r="M53" s="43"/>
      <c r="N53" s="40"/>
      <c r="O53" s="40"/>
      <c r="P53" s="40"/>
      <c r="Q53" s="42"/>
      <c r="R53" s="40"/>
      <c r="S53" s="40"/>
      <c r="T53" s="43"/>
      <c r="U53" s="40"/>
      <c r="V53" s="40"/>
      <c r="W53" s="42"/>
      <c r="X53" s="40"/>
      <c r="Y53" s="40"/>
      <c r="Z53" s="43"/>
      <c r="AA53" s="40"/>
      <c r="AB53" s="40"/>
      <c r="AC53" s="42"/>
      <c r="AD53" s="40"/>
      <c r="AE53" s="40"/>
      <c r="AF53" s="40"/>
      <c r="AG53" s="43"/>
      <c r="AH53" s="40"/>
      <c r="AI53" s="40"/>
      <c r="AJ53" s="40"/>
      <c r="AK53" s="42"/>
      <c r="AL53" s="40"/>
      <c r="AM53" s="40"/>
      <c r="AN53" s="43"/>
      <c r="AO53" s="40"/>
      <c r="AP53" s="40"/>
      <c r="AQ53" s="42"/>
      <c r="AR53" s="40"/>
      <c r="AS53" s="40"/>
      <c r="AT53" s="43"/>
      <c r="AU53" s="40"/>
      <c r="AV53" s="40"/>
      <c r="AW53" s="42"/>
      <c r="AX53" s="40"/>
      <c r="AY53" s="40"/>
      <c r="AZ53" s="43"/>
      <c r="BA53" s="40"/>
      <c r="BB53" s="40"/>
      <c r="BC53" s="42"/>
      <c r="BD53" s="40"/>
      <c r="BE53" s="40"/>
      <c r="BF53" s="43"/>
      <c r="BG53" s="40"/>
      <c r="BH53" s="40"/>
      <c r="BI53" s="42"/>
      <c r="BJ53" s="40"/>
      <c r="BK53" s="40"/>
      <c r="BL53" s="43"/>
      <c r="BM53" s="40"/>
      <c r="BN53" s="40"/>
      <c r="BO53" s="42"/>
      <c r="BP53" s="40"/>
      <c r="BQ53" s="40"/>
      <c r="BR53" s="43"/>
      <c r="BS53" s="40"/>
      <c r="BT53" s="40"/>
      <c r="BU53" s="42"/>
      <c r="BV53" s="40"/>
      <c r="BW53" s="40"/>
      <c r="BX53" s="43"/>
      <c r="BY53" s="40"/>
      <c r="BZ53" s="40"/>
      <c r="CA53" s="42"/>
      <c r="CB53" s="40"/>
      <c r="CC53" s="75"/>
      <c r="CD53" s="43"/>
      <c r="CE53" s="40"/>
      <c r="CF53" s="40"/>
      <c r="CG53" s="42"/>
      <c r="CH53" s="40"/>
      <c r="CI53" s="40"/>
      <c r="CJ53" s="43"/>
      <c r="CK53" s="40"/>
      <c r="CL53" s="40"/>
      <c r="CM53" s="42"/>
      <c r="CN53" s="40"/>
      <c r="CO53" s="40"/>
      <c r="CP53" s="43"/>
      <c r="CQ53" s="40"/>
      <c r="CR53" s="40"/>
      <c r="CS53" s="42"/>
      <c r="CT53" s="40"/>
      <c r="CU53" s="40"/>
      <c r="CV53" s="43"/>
      <c r="CW53" s="40"/>
      <c r="CX53" s="40"/>
      <c r="CY53" s="42"/>
      <c r="CZ53" s="40"/>
      <c r="DA53" s="40"/>
      <c r="DB53" s="43"/>
      <c r="DC53" s="40" t="s">
        <v>402</v>
      </c>
      <c r="DD53" s="75" t="s">
        <v>392</v>
      </c>
      <c r="DE53" s="69">
        <v>45370</v>
      </c>
      <c r="DF53" s="40"/>
      <c r="DG53" s="40"/>
      <c r="DH53" s="68">
        <v>0</v>
      </c>
    </row>
    <row r="54" spans="1:112">
      <c r="A54" s="40">
        <v>58</v>
      </c>
      <c r="B54" s="40" t="s">
        <v>210</v>
      </c>
      <c r="C54" s="40">
        <v>4</v>
      </c>
      <c r="D54" s="29" t="s">
        <v>78</v>
      </c>
      <c r="E54" s="30">
        <v>8</v>
      </c>
      <c r="F54" s="30">
        <v>7</v>
      </c>
      <c r="G54" s="52">
        <v>52.76042600000001</v>
      </c>
      <c r="H54" s="68">
        <f t="shared" si="0"/>
        <v>0</v>
      </c>
      <c r="I54" s="47">
        <v>52.76042600000001</v>
      </c>
      <c r="J54" s="43">
        <v>52.76</v>
      </c>
      <c r="K54" s="40"/>
      <c r="L54" s="40"/>
      <c r="M54" s="43"/>
      <c r="N54" s="40"/>
      <c r="O54" s="40"/>
      <c r="P54" s="40"/>
      <c r="Q54" s="42"/>
      <c r="R54" s="40"/>
      <c r="S54" s="40"/>
      <c r="T54" s="43"/>
      <c r="U54" s="40"/>
      <c r="V54" s="40"/>
      <c r="W54" s="42"/>
      <c r="X54" s="40"/>
      <c r="Y54" s="40"/>
      <c r="Z54" s="43"/>
      <c r="AA54" s="40"/>
      <c r="AB54" s="40"/>
      <c r="AC54" s="42"/>
      <c r="AD54" s="40"/>
      <c r="AE54" s="40"/>
      <c r="AF54" s="40"/>
      <c r="AG54" s="43"/>
      <c r="AH54" s="40"/>
      <c r="AI54" s="40"/>
      <c r="AJ54" s="40"/>
      <c r="AK54" s="42"/>
      <c r="AL54" s="40"/>
      <c r="AM54" s="40"/>
      <c r="AN54" s="43"/>
      <c r="AO54" s="40"/>
      <c r="AP54" s="40"/>
      <c r="AQ54" s="42"/>
      <c r="AR54" s="40"/>
      <c r="AS54" s="40"/>
      <c r="AT54" s="43"/>
      <c r="AU54" s="40"/>
      <c r="AV54" s="40"/>
      <c r="AW54" s="42"/>
      <c r="AX54" s="40"/>
      <c r="AY54" s="40"/>
      <c r="AZ54" s="43"/>
      <c r="BA54" s="40"/>
      <c r="BB54" s="40"/>
      <c r="BC54" s="42"/>
      <c r="BD54" s="40"/>
      <c r="BE54" s="40"/>
      <c r="BF54" s="43"/>
      <c r="BG54" s="40"/>
      <c r="BH54" s="40"/>
      <c r="BI54" s="42"/>
      <c r="BJ54" s="40"/>
      <c r="BK54" s="40"/>
      <c r="BL54" s="43"/>
      <c r="BM54" s="40"/>
      <c r="BN54" s="40"/>
      <c r="BO54" s="42"/>
      <c r="BP54" s="40"/>
      <c r="BQ54" s="40"/>
      <c r="BR54" s="43"/>
      <c r="BS54" s="40"/>
      <c r="BT54" s="40"/>
      <c r="BU54" s="42"/>
      <c r="BV54" s="40"/>
      <c r="BW54" s="40"/>
      <c r="BX54" s="43"/>
      <c r="BY54" s="40"/>
      <c r="BZ54" s="40"/>
      <c r="CA54" s="42"/>
      <c r="CB54" s="40"/>
      <c r="CC54" s="75"/>
      <c r="CD54" s="43"/>
      <c r="CE54" s="40"/>
      <c r="CF54" s="40"/>
      <c r="CG54" s="42"/>
      <c r="CH54" s="40"/>
      <c r="CI54" s="40"/>
      <c r="CJ54" s="43"/>
      <c r="CK54" s="40"/>
      <c r="CL54" s="40"/>
      <c r="CM54" s="42"/>
      <c r="CN54" s="40"/>
      <c r="CO54" s="40"/>
      <c r="CP54" s="43"/>
      <c r="CQ54" s="40"/>
      <c r="CR54" s="40"/>
      <c r="CS54" s="42"/>
      <c r="CT54" s="40"/>
      <c r="CU54" s="40"/>
      <c r="CV54" s="43"/>
      <c r="CW54" s="40"/>
      <c r="CX54" s="40"/>
      <c r="CY54" s="42"/>
      <c r="CZ54" s="40"/>
      <c r="DA54" s="40"/>
      <c r="DB54" s="43"/>
      <c r="DC54" s="40" t="s">
        <v>323</v>
      </c>
      <c r="DD54" s="75" t="s">
        <v>393</v>
      </c>
      <c r="DE54" s="69">
        <v>52760</v>
      </c>
      <c r="DF54" s="40"/>
      <c r="DG54" s="40"/>
      <c r="DH54" s="68">
        <v>0</v>
      </c>
    </row>
    <row r="55" spans="1:112">
      <c r="A55" s="40">
        <v>60</v>
      </c>
      <c r="B55" s="40" t="s">
        <v>210</v>
      </c>
      <c r="C55" s="40">
        <v>4</v>
      </c>
      <c r="D55" s="29" t="s">
        <v>78</v>
      </c>
      <c r="E55" s="30">
        <v>10</v>
      </c>
      <c r="F55" s="30">
        <v>7</v>
      </c>
      <c r="G55" s="52">
        <v>12.385312000000003</v>
      </c>
      <c r="H55" s="68">
        <f t="shared" si="0"/>
        <v>0</v>
      </c>
      <c r="I55" s="47">
        <v>12.385312000000003</v>
      </c>
      <c r="J55" s="43">
        <v>12.39</v>
      </c>
      <c r="K55" s="40"/>
      <c r="L55" s="40"/>
      <c r="M55" s="43"/>
      <c r="N55" s="40"/>
      <c r="O55" s="40"/>
      <c r="P55" s="40"/>
      <c r="Q55" s="42"/>
      <c r="R55" s="40"/>
      <c r="S55" s="40"/>
      <c r="T55" s="43"/>
      <c r="U55" s="40"/>
      <c r="V55" s="40"/>
      <c r="W55" s="42"/>
      <c r="X55" s="40"/>
      <c r="Y55" s="40"/>
      <c r="Z55" s="43"/>
      <c r="AA55" s="40"/>
      <c r="AB55" s="40"/>
      <c r="AC55" s="42"/>
      <c r="AD55" s="40"/>
      <c r="AE55" s="40"/>
      <c r="AF55" s="40"/>
      <c r="AG55" s="43"/>
      <c r="AH55" s="40"/>
      <c r="AI55" s="40"/>
      <c r="AJ55" s="40"/>
      <c r="AK55" s="42"/>
      <c r="AL55" s="40"/>
      <c r="AM55" s="40"/>
      <c r="AN55" s="43"/>
      <c r="AO55" s="40"/>
      <c r="AP55" s="40"/>
      <c r="AQ55" s="42"/>
      <c r="AR55" s="40"/>
      <c r="AS55" s="40"/>
      <c r="AT55" s="43"/>
      <c r="AU55" s="40"/>
      <c r="AV55" s="40"/>
      <c r="AW55" s="42"/>
      <c r="AX55" s="40"/>
      <c r="AY55" s="40"/>
      <c r="AZ55" s="43"/>
      <c r="BA55" s="40"/>
      <c r="BB55" s="40"/>
      <c r="BC55" s="42"/>
      <c r="BD55" s="40"/>
      <c r="BE55" s="40"/>
      <c r="BF55" s="43"/>
      <c r="BG55" s="40"/>
      <c r="BH55" s="40"/>
      <c r="BI55" s="42"/>
      <c r="BJ55" s="40"/>
      <c r="BK55" s="40"/>
      <c r="BL55" s="43"/>
      <c r="BM55" s="40"/>
      <c r="BN55" s="40"/>
      <c r="BO55" s="42"/>
      <c r="BP55" s="40"/>
      <c r="BQ55" s="40"/>
      <c r="BR55" s="43"/>
      <c r="BS55" s="40"/>
      <c r="BT55" s="40"/>
      <c r="BU55" s="42"/>
      <c r="BV55" s="40"/>
      <c r="BW55" s="40"/>
      <c r="BX55" s="43"/>
      <c r="BY55" s="40"/>
      <c r="BZ55" s="40"/>
      <c r="CA55" s="42"/>
      <c r="CB55" s="40"/>
      <c r="CC55" s="75"/>
      <c r="CD55" s="43"/>
      <c r="CE55" s="40"/>
      <c r="CF55" s="40"/>
      <c r="CG55" s="42"/>
      <c r="CH55" s="40"/>
      <c r="CI55" s="40"/>
      <c r="CJ55" s="43"/>
      <c r="CK55" s="40"/>
      <c r="CL55" s="40"/>
      <c r="CM55" s="42"/>
      <c r="CN55" s="40"/>
      <c r="CO55" s="40"/>
      <c r="CP55" s="43"/>
      <c r="CQ55" s="40"/>
      <c r="CR55" s="40"/>
      <c r="CS55" s="42"/>
      <c r="CT55" s="40"/>
      <c r="CU55" s="40"/>
      <c r="CV55" s="43"/>
      <c r="CW55" s="40"/>
      <c r="CX55" s="40"/>
      <c r="CY55" s="42"/>
      <c r="CZ55" s="40"/>
      <c r="DA55" s="40"/>
      <c r="DB55" s="43"/>
      <c r="DC55" s="40"/>
      <c r="DD55" s="75" t="s">
        <v>311</v>
      </c>
      <c r="DE55" s="69">
        <v>12390</v>
      </c>
      <c r="DF55" s="40"/>
      <c r="DG55" s="40"/>
      <c r="DH55" s="68">
        <v>0</v>
      </c>
    </row>
    <row r="56" spans="1:112">
      <c r="A56" s="40">
        <v>61</v>
      </c>
      <c r="B56" s="40" t="s">
        <v>210</v>
      </c>
      <c r="C56" s="40">
        <v>4</v>
      </c>
      <c r="D56" s="29" t="s">
        <v>78</v>
      </c>
      <c r="E56" s="30">
        <v>11</v>
      </c>
      <c r="F56" s="30">
        <v>7</v>
      </c>
      <c r="G56" s="52">
        <v>12.295966</v>
      </c>
      <c r="H56" s="68">
        <f t="shared" si="0"/>
        <v>0</v>
      </c>
      <c r="I56" s="47">
        <v>12.295966</v>
      </c>
      <c r="J56" s="43">
        <v>12.33</v>
      </c>
      <c r="K56" s="40"/>
      <c r="L56" s="40"/>
      <c r="M56" s="43"/>
      <c r="N56" s="40"/>
      <c r="O56" s="40"/>
      <c r="P56" s="40"/>
      <c r="Q56" s="42"/>
      <c r="R56" s="40"/>
      <c r="S56" s="40"/>
      <c r="T56" s="43"/>
      <c r="U56" s="40"/>
      <c r="V56" s="40"/>
      <c r="W56" s="42"/>
      <c r="X56" s="40"/>
      <c r="Y56" s="40"/>
      <c r="Z56" s="43"/>
      <c r="AA56" s="40"/>
      <c r="AB56" s="40"/>
      <c r="AC56" s="42"/>
      <c r="AD56" s="40"/>
      <c r="AE56" s="40"/>
      <c r="AF56" s="40"/>
      <c r="AG56" s="43"/>
      <c r="AH56" s="40"/>
      <c r="AI56" s="40"/>
      <c r="AJ56" s="40"/>
      <c r="AK56" s="42"/>
      <c r="AL56" s="40"/>
      <c r="AM56" s="40"/>
      <c r="AN56" s="43"/>
      <c r="AO56" s="40"/>
      <c r="AP56" s="40"/>
      <c r="AQ56" s="42"/>
      <c r="AR56" s="40"/>
      <c r="AS56" s="40"/>
      <c r="AT56" s="43"/>
      <c r="AU56" s="40"/>
      <c r="AV56" s="40"/>
      <c r="AW56" s="42"/>
      <c r="AX56" s="40"/>
      <c r="AY56" s="40"/>
      <c r="AZ56" s="43"/>
      <c r="BA56" s="40"/>
      <c r="BB56" s="40"/>
      <c r="BC56" s="42"/>
      <c r="BD56" s="40"/>
      <c r="BE56" s="40"/>
      <c r="BF56" s="43"/>
      <c r="BG56" s="40"/>
      <c r="BH56" s="40"/>
      <c r="BI56" s="42"/>
      <c r="BJ56" s="40"/>
      <c r="BK56" s="40"/>
      <c r="BL56" s="43"/>
      <c r="BM56" s="40"/>
      <c r="BN56" s="40"/>
      <c r="BO56" s="42"/>
      <c r="BP56" s="40"/>
      <c r="BQ56" s="40"/>
      <c r="BR56" s="43"/>
      <c r="BS56" s="40"/>
      <c r="BT56" s="40"/>
      <c r="BU56" s="42"/>
      <c r="BV56" s="40"/>
      <c r="BW56" s="40"/>
      <c r="BX56" s="43"/>
      <c r="BY56" s="40"/>
      <c r="BZ56" s="40"/>
      <c r="CA56" s="42"/>
      <c r="CB56" s="40"/>
      <c r="CC56" s="75"/>
      <c r="CD56" s="43"/>
      <c r="CE56" s="40"/>
      <c r="CF56" s="40"/>
      <c r="CG56" s="42"/>
      <c r="CH56" s="40"/>
      <c r="CI56" s="40"/>
      <c r="CJ56" s="43"/>
      <c r="CK56" s="40"/>
      <c r="CL56" s="40"/>
      <c r="CM56" s="42"/>
      <c r="CN56" s="40"/>
      <c r="CO56" s="40"/>
      <c r="CP56" s="43"/>
      <c r="CQ56" s="40"/>
      <c r="CR56" s="40"/>
      <c r="CS56" s="42"/>
      <c r="CT56" s="40"/>
      <c r="CU56" s="40"/>
      <c r="CV56" s="43"/>
      <c r="CW56" s="40"/>
      <c r="CX56" s="40"/>
      <c r="CY56" s="42"/>
      <c r="CZ56" s="40"/>
      <c r="DA56" s="40"/>
      <c r="DB56" s="43"/>
      <c r="DC56" s="40"/>
      <c r="DD56" s="75" t="s">
        <v>311</v>
      </c>
      <c r="DE56" s="69">
        <v>12330</v>
      </c>
      <c r="DF56" s="40"/>
      <c r="DG56" s="40"/>
      <c r="DH56" s="68">
        <v>0</v>
      </c>
    </row>
    <row r="57" spans="1:112">
      <c r="A57" s="40">
        <v>62</v>
      </c>
      <c r="B57" s="40" t="s">
        <v>210</v>
      </c>
      <c r="C57" s="40">
        <v>4</v>
      </c>
      <c r="D57" s="29" t="s">
        <v>78</v>
      </c>
      <c r="E57" s="30">
        <v>12</v>
      </c>
      <c r="F57" s="30">
        <v>7</v>
      </c>
      <c r="G57" s="52">
        <v>12.418812000000001</v>
      </c>
      <c r="H57" s="68">
        <f t="shared" si="0"/>
        <v>0</v>
      </c>
      <c r="I57" s="47">
        <v>12.418812000000001</v>
      </c>
      <c r="J57" s="43">
        <v>12.42</v>
      </c>
      <c r="K57" s="40"/>
      <c r="L57" s="40"/>
      <c r="M57" s="43"/>
      <c r="N57" s="40"/>
      <c r="O57" s="40"/>
      <c r="P57" s="40"/>
      <c r="Q57" s="42"/>
      <c r="R57" s="40"/>
      <c r="S57" s="40"/>
      <c r="T57" s="43"/>
      <c r="U57" s="40"/>
      <c r="V57" s="40"/>
      <c r="W57" s="42"/>
      <c r="X57" s="40"/>
      <c r="Y57" s="40"/>
      <c r="Z57" s="43"/>
      <c r="AA57" s="40"/>
      <c r="AB57" s="40"/>
      <c r="AC57" s="42"/>
      <c r="AD57" s="40"/>
      <c r="AE57" s="40"/>
      <c r="AF57" s="40"/>
      <c r="AG57" s="43"/>
      <c r="AH57" s="40"/>
      <c r="AI57" s="40"/>
      <c r="AJ57" s="40"/>
      <c r="AK57" s="42"/>
      <c r="AL57" s="40"/>
      <c r="AM57" s="40"/>
      <c r="AN57" s="43"/>
      <c r="AO57" s="40"/>
      <c r="AP57" s="40"/>
      <c r="AQ57" s="42"/>
      <c r="AR57" s="40"/>
      <c r="AS57" s="40"/>
      <c r="AT57" s="43"/>
      <c r="AU57" s="40"/>
      <c r="AV57" s="40"/>
      <c r="AW57" s="42"/>
      <c r="AX57" s="40"/>
      <c r="AY57" s="40"/>
      <c r="AZ57" s="43"/>
      <c r="BA57" s="40"/>
      <c r="BB57" s="40"/>
      <c r="BC57" s="42"/>
      <c r="BD57" s="40"/>
      <c r="BE57" s="40"/>
      <c r="BF57" s="43"/>
      <c r="BG57" s="40"/>
      <c r="BH57" s="40"/>
      <c r="BI57" s="42"/>
      <c r="BJ57" s="40"/>
      <c r="BK57" s="40"/>
      <c r="BL57" s="43"/>
      <c r="BM57" s="40"/>
      <c r="BN57" s="40"/>
      <c r="BO57" s="42"/>
      <c r="BP57" s="40"/>
      <c r="BQ57" s="40"/>
      <c r="BR57" s="43"/>
      <c r="BS57" s="40"/>
      <c r="BT57" s="40"/>
      <c r="BU57" s="42"/>
      <c r="BV57" s="40"/>
      <c r="BW57" s="40"/>
      <c r="BX57" s="43"/>
      <c r="BY57" s="40"/>
      <c r="BZ57" s="40"/>
      <c r="CA57" s="42"/>
      <c r="CB57" s="40"/>
      <c r="CC57" s="75"/>
      <c r="CD57" s="43"/>
      <c r="CE57" s="40"/>
      <c r="CF57" s="40"/>
      <c r="CG57" s="42"/>
      <c r="CH57" s="40"/>
      <c r="CI57" s="40"/>
      <c r="CJ57" s="43"/>
      <c r="CK57" s="40"/>
      <c r="CL57" s="40"/>
      <c r="CM57" s="42"/>
      <c r="CN57" s="40"/>
      <c r="CO57" s="40"/>
      <c r="CP57" s="43"/>
      <c r="CQ57" s="40"/>
      <c r="CR57" s="40"/>
      <c r="CS57" s="42"/>
      <c r="CT57" s="40"/>
      <c r="CU57" s="40"/>
      <c r="CV57" s="43"/>
      <c r="CW57" s="40"/>
      <c r="CX57" s="40"/>
      <c r="CY57" s="42"/>
      <c r="CZ57" s="40"/>
      <c r="DA57" s="40"/>
      <c r="DB57" s="43"/>
      <c r="DC57" s="40"/>
      <c r="DD57" s="75" t="s">
        <v>311</v>
      </c>
      <c r="DE57" s="69">
        <v>12420</v>
      </c>
      <c r="DF57" s="40"/>
      <c r="DG57" s="40"/>
      <c r="DH57" s="68">
        <v>0</v>
      </c>
    </row>
    <row r="58" spans="1:112">
      <c r="A58" s="40">
        <v>63</v>
      </c>
      <c r="B58" s="40" t="s">
        <v>210</v>
      </c>
      <c r="C58" s="40">
        <v>4</v>
      </c>
      <c r="D58" s="29" t="s">
        <v>78</v>
      </c>
      <c r="E58" s="30">
        <v>13</v>
      </c>
      <c r="F58" s="30">
        <v>7</v>
      </c>
      <c r="G58" s="52">
        <v>12.530492000000001</v>
      </c>
      <c r="H58" s="68">
        <f t="shared" si="0"/>
        <v>0</v>
      </c>
      <c r="I58" s="47">
        <v>12.530492000000001</v>
      </c>
      <c r="J58" s="43">
        <v>12.53</v>
      </c>
      <c r="K58" s="40"/>
      <c r="L58" s="40"/>
      <c r="M58" s="43"/>
      <c r="N58" s="40"/>
      <c r="O58" s="40"/>
      <c r="P58" s="40"/>
      <c r="Q58" s="42"/>
      <c r="R58" s="40"/>
      <c r="S58" s="40"/>
      <c r="T58" s="43"/>
      <c r="U58" s="40"/>
      <c r="V58" s="40"/>
      <c r="W58" s="42"/>
      <c r="X58" s="40"/>
      <c r="Y58" s="40"/>
      <c r="Z58" s="43"/>
      <c r="AA58" s="40"/>
      <c r="AB58" s="40"/>
      <c r="AC58" s="42"/>
      <c r="AD58" s="40"/>
      <c r="AE58" s="40"/>
      <c r="AF58" s="40"/>
      <c r="AG58" s="43"/>
      <c r="AH58" s="40"/>
      <c r="AI58" s="40"/>
      <c r="AJ58" s="40"/>
      <c r="AK58" s="42"/>
      <c r="AL58" s="40"/>
      <c r="AM58" s="40"/>
      <c r="AN58" s="43"/>
      <c r="AO58" s="40"/>
      <c r="AP58" s="40"/>
      <c r="AQ58" s="42"/>
      <c r="AR58" s="40"/>
      <c r="AS58" s="40"/>
      <c r="AT58" s="43"/>
      <c r="AU58" s="40"/>
      <c r="AV58" s="40"/>
      <c r="AW58" s="42"/>
      <c r="AX58" s="40"/>
      <c r="AY58" s="40"/>
      <c r="AZ58" s="43"/>
      <c r="BA58" s="40"/>
      <c r="BB58" s="40"/>
      <c r="BC58" s="42"/>
      <c r="BD58" s="40"/>
      <c r="BE58" s="40"/>
      <c r="BF58" s="43"/>
      <c r="BG58" s="40"/>
      <c r="BH58" s="40"/>
      <c r="BI58" s="42"/>
      <c r="BJ58" s="40"/>
      <c r="BK58" s="40"/>
      <c r="BL58" s="43"/>
      <c r="BM58" s="40"/>
      <c r="BN58" s="40"/>
      <c r="BO58" s="42"/>
      <c r="BP58" s="40"/>
      <c r="BQ58" s="40"/>
      <c r="BR58" s="43"/>
      <c r="BS58" s="40"/>
      <c r="BT58" s="40"/>
      <c r="BU58" s="42"/>
      <c r="BV58" s="40"/>
      <c r="BW58" s="40"/>
      <c r="BX58" s="43"/>
      <c r="BY58" s="40"/>
      <c r="BZ58" s="40"/>
      <c r="CA58" s="42"/>
      <c r="CB58" s="40"/>
      <c r="CC58" s="75"/>
      <c r="CD58" s="43"/>
      <c r="CE58" s="40"/>
      <c r="CF58" s="40"/>
      <c r="CG58" s="42"/>
      <c r="CH58" s="40"/>
      <c r="CI58" s="40"/>
      <c r="CJ58" s="43"/>
      <c r="CK58" s="40"/>
      <c r="CL58" s="40"/>
      <c r="CM58" s="42"/>
      <c r="CN58" s="40"/>
      <c r="CO58" s="40"/>
      <c r="CP58" s="43"/>
      <c r="CQ58" s="40"/>
      <c r="CR58" s="40"/>
      <c r="CS58" s="42"/>
      <c r="CT58" s="40"/>
      <c r="CU58" s="40"/>
      <c r="CV58" s="43"/>
      <c r="CW58" s="40"/>
      <c r="CX58" s="40"/>
      <c r="CY58" s="42"/>
      <c r="CZ58" s="40"/>
      <c r="DA58" s="40"/>
      <c r="DB58" s="43"/>
      <c r="DC58" s="40"/>
      <c r="DD58" s="75" t="s">
        <v>311</v>
      </c>
      <c r="DE58" s="69">
        <v>12530</v>
      </c>
      <c r="DF58" s="40"/>
      <c r="DG58" s="40"/>
      <c r="DH58" s="68">
        <v>0</v>
      </c>
    </row>
    <row r="59" spans="1:112">
      <c r="A59" s="40">
        <v>64</v>
      </c>
      <c r="B59" s="40" t="s">
        <v>210</v>
      </c>
      <c r="C59" s="40">
        <v>4</v>
      </c>
      <c r="D59" s="29" t="s">
        <v>78</v>
      </c>
      <c r="E59" s="30">
        <v>15</v>
      </c>
      <c r="F59" s="30">
        <v>7</v>
      </c>
      <c r="G59" s="52">
        <v>6.2987540000000006</v>
      </c>
      <c r="H59" s="68">
        <f t="shared" si="0"/>
        <v>0</v>
      </c>
      <c r="I59" s="47">
        <v>6.2987540000000006</v>
      </c>
      <c r="J59" s="43">
        <v>6.3</v>
      </c>
      <c r="K59" s="40"/>
      <c r="L59" s="40"/>
      <c r="M59" s="43"/>
      <c r="N59" s="40"/>
      <c r="O59" s="40"/>
      <c r="P59" s="40"/>
      <c r="Q59" s="42"/>
      <c r="R59" s="40"/>
      <c r="S59" s="40"/>
      <c r="T59" s="43"/>
      <c r="U59" s="40"/>
      <c r="V59" s="40"/>
      <c r="W59" s="42"/>
      <c r="X59" s="40"/>
      <c r="Y59" s="40"/>
      <c r="Z59" s="43"/>
      <c r="AA59" s="40"/>
      <c r="AB59" s="40"/>
      <c r="AC59" s="42"/>
      <c r="AD59" s="40"/>
      <c r="AE59" s="40"/>
      <c r="AF59" s="40"/>
      <c r="AG59" s="43"/>
      <c r="AH59" s="40"/>
      <c r="AI59" s="40"/>
      <c r="AJ59" s="40"/>
      <c r="AK59" s="42"/>
      <c r="AL59" s="40"/>
      <c r="AM59" s="40"/>
      <c r="AN59" s="43"/>
      <c r="AO59" s="40"/>
      <c r="AP59" s="40"/>
      <c r="AQ59" s="42"/>
      <c r="AR59" s="40"/>
      <c r="AS59" s="40"/>
      <c r="AT59" s="43"/>
      <c r="AU59" s="40"/>
      <c r="AV59" s="40"/>
      <c r="AW59" s="42"/>
      <c r="AX59" s="40"/>
      <c r="AY59" s="40"/>
      <c r="AZ59" s="43"/>
      <c r="BA59" s="40"/>
      <c r="BB59" s="40"/>
      <c r="BC59" s="42"/>
      <c r="BD59" s="40"/>
      <c r="BE59" s="40"/>
      <c r="BF59" s="43"/>
      <c r="BG59" s="40"/>
      <c r="BH59" s="40"/>
      <c r="BI59" s="42"/>
      <c r="BJ59" s="40"/>
      <c r="BK59" s="40"/>
      <c r="BL59" s="43"/>
      <c r="BM59" s="40"/>
      <c r="BN59" s="40"/>
      <c r="BO59" s="42"/>
      <c r="BP59" s="40"/>
      <c r="BQ59" s="40"/>
      <c r="BR59" s="43"/>
      <c r="BS59" s="40"/>
      <c r="BT59" s="40"/>
      <c r="BU59" s="42"/>
      <c r="BV59" s="40"/>
      <c r="BW59" s="40"/>
      <c r="BX59" s="43"/>
      <c r="BY59" s="40"/>
      <c r="BZ59" s="40"/>
      <c r="CA59" s="42"/>
      <c r="CB59" s="40"/>
      <c r="CC59" s="75"/>
      <c r="CD59" s="43"/>
      <c r="CE59" s="40"/>
      <c r="CF59" s="40"/>
      <c r="CG59" s="42"/>
      <c r="CH59" s="40"/>
      <c r="CI59" s="40"/>
      <c r="CJ59" s="43"/>
      <c r="CK59" s="40"/>
      <c r="CL59" s="40"/>
      <c r="CM59" s="42"/>
      <c r="CN59" s="40"/>
      <c r="CO59" s="40"/>
      <c r="CP59" s="43"/>
      <c r="CQ59" s="40"/>
      <c r="CR59" s="40"/>
      <c r="CS59" s="42"/>
      <c r="CT59" s="40"/>
      <c r="CU59" s="40"/>
      <c r="CV59" s="43"/>
      <c r="CW59" s="40"/>
      <c r="CX59" s="40"/>
      <c r="CY59" s="42"/>
      <c r="CZ59" s="40"/>
      <c r="DA59" s="40"/>
      <c r="DB59" s="43"/>
      <c r="DC59" s="40"/>
      <c r="DD59" s="75" t="s">
        <v>311</v>
      </c>
      <c r="DE59" s="69">
        <v>6300</v>
      </c>
      <c r="DF59" s="40"/>
      <c r="DG59" s="40"/>
      <c r="DH59" s="68">
        <v>0</v>
      </c>
    </row>
    <row r="60" spans="1:112">
      <c r="A60" s="40">
        <v>65</v>
      </c>
      <c r="B60" s="40" t="s">
        <v>210</v>
      </c>
      <c r="C60" s="40">
        <v>4</v>
      </c>
      <c r="D60" s="29" t="s">
        <v>78</v>
      </c>
      <c r="E60" s="30">
        <v>16</v>
      </c>
      <c r="F60" s="30">
        <v>7</v>
      </c>
      <c r="G60" s="52">
        <v>6.30992</v>
      </c>
      <c r="H60" s="68">
        <f t="shared" si="0"/>
        <v>0</v>
      </c>
      <c r="I60" s="47">
        <v>6.30992</v>
      </c>
      <c r="J60" s="43">
        <v>6.31</v>
      </c>
      <c r="K60" s="40"/>
      <c r="L60" s="40"/>
      <c r="M60" s="43"/>
      <c r="N60" s="40"/>
      <c r="O60" s="40"/>
      <c r="P60" s="40"/>
      <c r="Q60" s="42"/>
      <c r="R60" s="40"/>
      <c r="S60" s="40"/>
      <c r="T60" s="43"/>
      <c r="U60" s="40"/>
      <c r="V60" s="40"/>
      <c r="W60" s="42"/>
      <c r="X60" s="40"/>
      <c r="Y60" s="40"/>
      <c r="Z60" s="43"/>
      <c r="AA60" s="40"/>
      <c r="AB60" s="40"/>
      <c r="AC60" s="42"/>
      <c r="AD60" s="40"/>
      <c r="AE60" s="40"/>
      <c r="AF60" s="40"/>
      <c r="AG60" s="43"/>
      <c r="AH60" s="40"/>
      <c r="AI60" s="40"/>
      <c r="AJ60" s="40"/>
      <c r="AK60" s="42"/>
      <c r="AL60" s="40"/>
      <c r="AM60" s="40"/>
      <c r="AN60" s="43"/>
      <c r="AO60" s="40"/>
      <c r="AP60" s="40"/>
      <c r="AQ60" s="42"/>
      <c r="AR60" s="40"/>
      <c r="AS60" s="40"/>
      <c r="AT60" s="43"/>
      <c r="AU60" s="40"/>
      <c r="AV60" s="40"/>
      <c r="AW60" s="42"/>
      <c r="AX60" s="40"/>
      <c r="AY60" s="40"/>
      <c r="AZ60" s="43"/>
      <c r="BA60" s="40"/>
      <c r="BB60" s="40"/>
      <c r="BC60" s="42"/>
      <c r="BD60" s="40"/>
      <c r="BE60" s="40"/>
      <c r="BF60" s="43"/>
      <c r="BG60" s="40"/>
      <c r="BH60" s="40"/>
      <c r="BI60" s="42"/>
      <c r="BJ60" s="40"/>
      <c r="BK60" s="40"/>
      <c r="BL60" s="43"/>
      <c r="BM60" s="40"/>
      <c r="BN60" s="40"/>
      <c r="BO60" s="42"/>
      <c r="BP60" s="40"/>
      <c r="BQ60" s="40"/>
      <c r="BR60" s="43"/>
      <c r="BS60" s="40"/>
      <c r="BT60" s="40"/>
      <c r="BU60" s="42"/>
      <c r="BV60" s="40"/>
      <c r="BW60" s="40"/>
      <c r="BX60" s="43"/>
      <c r="BY60" s="40"/>
      <c r="BZ60" s="40"/>
      <c r="CA60" s="42"/>
      <c r="CB60" s="40"/>
      <c r="CC60" s="75"/>
      <c r="CD60" s="43"/>
      <c r="CE60" s="40"/>
      <c r="CF60" s="40"/>
      <c r="CG60" s="42"/>
      <c r="CH60" s="40"/>
      <c r="CI60" s="40"/>
      <c r="CJ60" s="43"/>
      <c r="CK60" s="40"/>
      <c r="CL60" s="40"/>
      <c r="CM60" s="42"/>
      <c r="CN60" s="40"/>
      <c r="CO60" s="40"/>
      <c r="CP60" s="43"/>
      <c r="CQ60" s="40"/>
      <c r="CR60" s="40"/>
      <c r="CS60" s="42"/>
      <c r="CT60" s="40"/>
      <c r="CU60" s="40"/>
      <c r="CV60" s="43"/>
      <c r="CW60" s="40"/>
      <c r="CX60" s="40"/>
      <c r="CY60" s="42"/>
      <c r="CZ60" s="40"/>
      <c r="DA60" s="40"/>
      <c r="DB60" s="43"/>
      <c r="DC60" s="40"/>
      <c r="DD60" s="75" t="s">
        <v>311</v>
      </c>
      <c r="DE60" s="69">
        <v>6310</v>
      </c>
      <c r="DF60" s="40"/>
      <c r="DG60" s="40"/>
      <c r="DH60" s="68">
        <v>0</v>
      </c>
    </row>
    <row r="61" spans="1:112">
      <c r="A61" s="40">
        <v>66</v>
      </c>
      <c r="B61" s="40" t="s">
        <v>210</v>
      </c>
      <c r="C61" s="40">
        <v>4</v>
      </c>
      <c r="D61" s="29" t="s">
        <v>78</v>
      </c>
      <c r="E61" s="30">
        <v>17</v>
      </c>
      <c r="F61" s="30">
        <v>7</v>
      </c>
      <c r="G61" s="52">
        <v>12.61984</v>
      </c>
      <c r="H61" s="68">
        <f t="shared" si="0"/>
        <v>0</v>
      </c>
      <c r="I61" s="47">
        <v>12.61984</v>
      </c>
      <c r="J61" s="43">
        <v>12.62</v>
      </c>
      <c r="K61" s="40"/>
      <c r="L61" s="40"/>
      <c r="M61" s="43"/>
      <c r="N61" s="40"/>
      <c r="O61" s="40"/>
      <c r="P61" s="40"/>
      <c r="Q61" s="42"/>
      <c r="R61" s="40"/>
      <c r="S61" s="40"/>
      <c r="T61" s="43"/>
      <c r="U61" s="40"/>
      <c r="V61" s="40"/>
      <c r="W61" s="42"/>
      <c r="X61" s="40"/>
      <c r="Y61" s="40"/>
      <c r="Z61" s="43"/>
      <c r="AA61" s="40"/>
      <c r="AB61" s="40"/>
      <c r="AC61" s="42"/>
      <c r="AD61" s="40"/>
      <c r="AE61" s="40"/>
      <c r="AF61" s="40"/>
      <c r="AG61" s="43"/>
      <c r="AH61" s="40"/>
      <c r="AI61" s="40"/>
      <c r="AJ61" s="40"/>
      <c r="AK61" s="42"/>
      <c r="AL61" s="40"/>
      <c r="AM61" s="40"/>
      <c r="AN61" s="43"/>
      <c r="AO61" s="40"/>
      <c r="AP61" s="40"/>
      <c r="AQ61" s="42"/>
      <c r="AR61" s="40"/>
      <c r="AS61" s="40"/>
      <c r="AT61" s="43"/>
      <c r="AU61" s="40"/>
      <c r="AV61" s="40"/>
      <c r="AW61" s="42"/>
      <c r="AX61" s="40"/>
      <c r="AY61" s="40"/>
      <c r="AZ61" s="43"/>
      <c r="BA61" s="40"/>
      <c r="BB61" s="40"/>
      <c r="BC61" s="42"/>
      <c r="BD61" s="40"/>
      <c r="BE61" s="40"/>
      <c r="BF61" s="43"/>
      <c r="BG61" s="40"/>
      <c r="BH61" s="40"/>
      <c r="BI61" s="42"/>
      <c r="BJ61" s="40"/>
      <c r="BK61" s="40"/>
      <c r="BL61" s="43"/>
      <c r="BM61" s="40"/>
      <c r="BN61" s="40"/>
      <c r="BO61" s="42"/>
      <c r="BP61" s="40"/>
      <c r="BQ61" s="40"/>
      <c r="BR61" s="43"/>
      <c r="BS61" s="40"/>
      <c r="BT61" s="40"/>
      <c r="BU61" s="42"/>
      <c r="BV61" s="40"/>
      <c r="BW61" s="40"/>
      <c r="BX61" s="43"/>
      <c r="BY61" s="40"/>
      <c r="BZ61" s="40"/>
      <c r="CA61" s="42"/>
      <c r="CB61" s="40"/>
      <c r="CC61" s="75"/>
      <c r="CD61" s="43"/>
      <c r="CE61" s="40"/>
      <c r="CF61" s="40"/>
      <c r="CG61" s="42"/>
      <c r="CH61" s="40"/>
      <c r="CI61" s="40"/>
      <c r="CJ61" s="43"/>
      <c r="CK61" s="40"/>
      <c r="CL61" s="40"/>
      <c r="CM61" s="42"/>
      <c r="CN61" s="40"/>
      <c r="CO61" s="40"/>
      <c r="CP61" s="43"/>
      <c r="CQ61" s="40"/>
      <c r="CR61" s="40"/>
      <c r="CS61" s="42"/>
      <c r="CT61" s="40"/>
      <c r="CU61" s="40"/>
      <c r="CV61" s="43"/>
      <c r="CW61" s="40"/>
      <c r="CX61" s="40"/>
      <c r="CY61" s="42"/>
      <c r="CZ61" s="40"/>
      <c r="DA61" s="40"/>
      <c r="DB61" s="43"/>
      <c r="DC61" s="40"/>
      <c r="DD61" s="75" t="s">
        <v>311</v>
      </c>
      <c r="DE61" s="69">
        <v>12620</v>
      </c>
      <c r="DF61" s="40"/>
      <c r="DG61" s="40"/>
      <c r="DH61" s="68">
        <v>0</v>
      </c>
    </row>
    <row r="62" spans="1:112">
      <c r="A62" s="40">
        <v>67</v>
      </c>
      <c r="B62" s="40" t="s">
        <v>210</v>
      </c>
      <c r="C62" s="40">
        <v>4</v>
      </c>
      <c r="D62" s="29" t="s">
        <v>78</v>
      </c>
      <c r="E62" s="30">
        <v>18</v>
      </c>
      <c r="F62" s="30">
        <v>7</v>
      </c>
      <c r="G62" s="52">
        <v>12.273632000000001</v>
      </c>
      <c r="H62" s="68">
        <f t="shared" si="0"/>
        <v>0</v>
      </c>
      <c r="I62" s="47">
        <v>12.273632000000001</v>
      </c>
      <c r="J62" s="43">
        <v>12.27</v>
      </c>
      <c r="K62" s="40"/>
      <c r="L62" s="40"/>
      <c r="M62" s="43"/>
      <c r="N62" s="40"/>
      <c r="O62" s="40"/>
      <c r="P62" s="40"/>
      <c r="Q62" s="42"/>
      <c r="R62" s="40"/>
      <c r="S62" s="40"/>
      <c r="T62" s="43"/>
      <c r="U62" s="40"/>
      <c r="V62" s="40"/>
      <c r="W62" s="42"/>
      <c r="X62" s="40"/>
      <c r="Y62" s="40"/>
      <c r="Z62" s="43"/>
      <c r="AA62" s="40"/>
      <c r="AB62" s="40"/>
      <c r="AC62" s="42"/>
      <c r="AD62" s="40"/>
      <c r="AE62" s="40"/>
      <c r="AF62" s="40"/>
      <c r="AG62" s="43"/>
      <c r="AH62" s="40"/>
      <c r="AI62" s="40"/>
      <c r="AJ62" s="40"/>
      <c r="AK62" s="42"/>
      <c r="AL62" s="40"/>
      <c r="AM62" s="40"/>
      <c r="AN62" s="43"/>
      <c r="AO62" s="40"/>
      <c r="AP62" s="40"/>
      <c r="AQ62" s="42"/>
      <c r="AR62" s="40"/>
      <c r="AS62" s="40"/>
      <c r="AT62" s="43"/>
      <c r="AU62" s="40"/>
      <c r="AV62" s="40"/>
      <c r="AW62" s="42"/>
      <c r="AX62" s="40"/>
      <c r="AY62" s="40"/>
      <c r="AZ62" s="43"/>
      <c r="BA62" s="40"/>
      <c r="BB62" s="40"/>
      <c r="BC62" s="42"/>
      <c r="BD62" s="40"/>
      <c r="BE62" s="40"/>
      <c r="BF62" s="43"/>
      <c r="BG62" s="40"/>
      <c r="BH62" s="40"/>
      <c r="BI62" s="42"/>
      <c r="BJ62" s="40"/>
      <c r="BK62" s="40"/>
      <c r="BL62" s="43"/>
      <c r="BM62" s="40"/>
      <c r="BN62" s="40"/>
      <c r="BO62" s="42"/>
      <c r="BP62" s="40"/>
      <c r="BQ62" s="40"/>
      <c r="BR62" s="43"/>
      <c r="BS62" s="40"/>
      <c r="BT62" s="40"/>
      <c r="BU62" s="42"/>
      <c r="BV62" s="40"/>
      <c r="BW62" s="40"/>
      <c r="BX62" s="43"/>
      <c r="BY62" s="40"/>
      <c r="BZ62" s="40"/>
      <c r="CA62" s="42"/>
      <c r="CB62" s="40"/>
      <c r="CC62" s="75"/>
      <c r="CD62" s="43"/>
      <c r="CE62" s="40"/>
      <c r="CF62" s="40"/>
      <c r="CG62" s="42"/>
      <c r="CH62" s="40"/>
      <c r="CI62" s="40"/>
      <c r="CJ62" s="43"/>
      <c r="CK62" s="40"/>
      <c r="CL62" s="40"/>
      <c r="CM62" s="42"/>
      <c r="CN62" s="40"/>
      <c r="CO62" s="40"/>
      <c r="CP62" s="43"/>
      <c r="CQ62" s="40"/>
      <c r="CR62" s="40"/>
      <c r="CS62" s="42"/>
      <c r="CT62" s="40"/>
      <c r="CU62" s="40"/>
      <c r="CV62" s="43"/>
      <c r="CW62" s="40"/>
      <c r="CX62" s="40"/>
      <c r="CY62" s="42"/>
      <c r="CZ62" s="40"/>
      <c r="DA62" s="40"/>
      <c r="DB62" s="43"/>
      <c r="DC62" s="40"/>
      <c r="DD62" s="75" t="s">
        <v>311</v>
      </c>
      <c r="DE62" s="69">
        <v>12270</v>
      </c>
      <c r="DF62" s="40"/>
      <c r="DG62" s="40"/>
      <c r="DH62" s="68">
        <v>0</v>
      </c>
    </row>
    <row r="63" spans="1:112">
      <c r="A63" s="40">
        <v>68</v>
      </c>
      <c r="B63" s="40" t="s">
        <v>210</v>
      </c>
      <c r="C63" s="40">
        <v>4</v>
      </c>
      <c r="D63" s="29" t="s">
        <v>78</v>
      </c>
      <c r="E63" s="30">
        <v>19</v>
      </c>
      <c r="F63" s="30">
        <v>7</v>
      </c>
      <c r="G63" s="52">
        <v>12.564</v>
      </c>
      <c r="H63" s="68">
        <f t="shared" si="0"/>
        <v>0</v>
      </c>
      <c r="I63" s="47">
        <v>12.564</v>
      </c>
      <c r="J63" s="43">
        <v>12.56</v>
      </c>
      <c r="K63" s="40"/>
      <c r="L63" s="40"/>
      <c r="M63" s="43"/>
      <c r="N63" s="40"/>
      <c r="O63" s="40"/>
      <c r="P63" s="40"/>
      <c r="Q63" s="42"/>
      <c r="R63" s="40"/>
      <c r="S63" s="40"/>
      <c r="T63" s="43"/>
      <c r="U63" s="40"/>
      <c r="V63" s="40"/>
      <c r="W63" s="42"/>
      <c r="X63" s="40"/>
      <c r="Y63" s="40"/>
      <c r="Z63" s="43"/>
      <c r="AA63" s="40"/>
      <c r="AB63" s="40"/>
      <c r="AC63" s="42"/>
      <c r="AD63" s="40"/>
      <c r="AE63" s="40"/>
      <c r="AF63" s="40"/>
      <c r="AG63" s="43"/>
      <c r="AH63" s="40"/>
      <c r="AI63" s="40"/>
      <c r="AJ63" s="40"/>
      <c r="AK63" s="42"/>
      <c r="AL63" s="40"/>
      <c r="AM63" s="40"/>
      <c r="AN63" s="43"/>
      <c r="AO63" s="40"/>
      <c r="AP63" s="40"/>
      <c r="AQ63" s="42"/>
      <c r="AR63" s="40"/>
      <c r="AS63" s="40"/>
      <c r="AT63" s="43"/>
      <c r="AU63" s="40"/>
      <c r="AV63" s="40"/>
      <c r="AW63" s="42"/>
      <c r="AX63" s="40"/>
      <c r="AY63" s="40"/>
      <c r="AZ63" s="43"/>
      <c r="BA63" s="40"/>
      <c r="BB63" s="40"/>
      <c r="BC63" s="42"/>
      <c r="BD63" s="40"/>
      <c r="BE63" s="40"/>
      <c r="BF63" s="43"/>
      <c r="BG63" s="40"/>
      <c r="BH63" s="40"/>
      <c r="BI63" s="42"/>
      <c r="BJ63" s="40"/>
      <c r="BK63" s="40"/>
      <c r="BL63" s="43"/>
      <c r="BM63" s="40"/>
      <c r="BN63" s="40"/>
      <c r="BO63" s="42"/>
      <c r="BP63" s="40"/>
      <c r="BQ63" s="40"/>
      <c r="BR63" s="43"/>
      <c r="BS63" s="40"/>
      <c r="BT63" s="40"/>
      <c r="BU63" s="42"/>
      <c r="BV63" s="40"/>
      <c r="BW63" s="40"/>
      <c r="BX63" s="43"/>
      <c r="BY63" s="40"/>
      <c r="BZ63" s="40"/>
      <c r="CA63" s="42"/>
      <c r="CB63" s="40"/>
      <c r="CC63" s="75"/>
      <c r="CD63" s="43"/>
      <c r="CE63" s="40"/>
      <c r="CF63" s="40"/>
      <c r="CG63" s="42"/>
      <c r="CH63" s="40"/>
      <c r="CI63" s="40"/>
      <c r="CJ63" s="43"/>
      <c r="CK63" s="40"/>
      <c r="CL63" s="40"/>
      <c r="CM63" s="42"/>
      <c r="CN63" s="40"/>
      <c r="CO63" s="40"/>
      <c r="CP63" s="43"/>
      <c r="CQ63" s="40"/>
      <c r="CR63" s="40"/>
      <c r="CS63" s="42"/>
      <c r="CT63" s="40"/>
      <c r="CU63" s="40"/>
      <c r="CV63" s="43"/>
      <c r="CW63" s="40"/>
      <c r="CX63" s="40"/>
      <c r="CY63" s="42"/>
      <c r="CZ63" s="40"/>
      <c r="DA63" s="40"/>
      <c r="DB63" s="43"/>
      <c r="DC63" s="40"/>
      <c r="DD63" s="75" t="s">
        <v>311</v>
      </c>
      <c r="DE63" s="69">
        <v>12560</v>
      </c>
      <c r="DF63" s="40"/>
      <c r="DG63" s="40"/>
      <c r="DH63" s="68">
        <v>0</v>
      </c>
    </row>
    <row r="64" spans="1:112">
      <c r="A64" s="40">
        <v>69</v>
      </c>
      <c r="B64" s="40" t="s">
        <v>210</v>
      </c>
      <c r="C64" s="40">
        <v>4</v>
      </c>
      <c r="D64" s="29" t="s">
        <v>78</v>
      </c>
      <c r="E64" s="30">
        <v>20</v>
      </c>
      <c r="F64" s="30">
        <v>7</v>
      </c>
      <c r="G64" s="52">
        <v>7.5677200000000004</v>
      </c>
      <c r="H64" s="68">
        <f t="shared" si="0"/>
        <v>0</v>
      </c>
      <c r="I64" s="47">
        <v>7.5677200000000004</v>
      </c>
      <c r="J64" s="43">
        <v>7.57</v>
      </c>
      <c r="K64" s="40"/>
      <c r="L64" s="40"/>
      <c r="M64" s="43"/>
      <c r="N64" s="40"/>
      <c r="O64" s="40"/>
      <c r="P64" s="40"/>
      <c r="Q64" s="42"/>
      <c r="R64" s="40"/>
      <c r="S64" s="40"/>
      <c r="T64" s="43"/>
      <c r="U64" s="40"/>
      <c r="V64" s="40"/>
      <c r="W64" s="42"/>
      <c r="X64" s="40"/>
      <c r="Y64" s="40"/>
      <c r="Z64" s="43"/>
      <c r="AA64" s="40"/>
      <c r="AB64" s="40"/>
      <c r="AC64" s="42"/>
      <c r="AD64" s="40"/>
      <c r="AE64" s="40"/>
      <c r="AF64" s="40"/>
      <c r="AG64" s="43"/>
      <c r="AH64" s="40"/>
      <c r="AI64" s="40"/>
      <c r="AJ64" s="40"/>
      <c r="AK64" s="42"/>
      <c r="AL64" s="40"/>
      <c r="AM64" s="40"/>
      <c r="AN64" s="43"/>
      <c r="AO64" s="40"/>
      <c r="AP64" s="40"/>
      <c r="AQ64" s="42"/>
      <c r="AR64" s="40"/>
      <c r="AS64" s="40"/>
      <c r="AT64" s="43"/>
      <c r="AU64" s="40"/>
      <c r="AV64" s="40"/>
      <c r="AW64" s="42"/>
      <c r="AX64" s="40"/>
      <c r="AY64" s="40"/>
      <c r="AZ64" s="43"/>
      <c r="BA64" s="40"/>
      <c r="BB64" s="40"/>
      <c r="BC64" s="42"/>
      <c r="BD64" s="40"/>
      <c r="BE64" s="40"/>
      <c r="BF64" s="43"/>
      <c r="BG64" s="40"/>
      <c r="BH64" s="40"/>
      <c r="BI64" s="42"/>
      <c r="BJ64" s="40"/>
      <c r="BK64" s="40"/>
      <c r="BL64" s="43"/>
      <c r="BM64" s="40"/>
      <c r="BN64" s="40"/>
      <c r="BO64" s="42"/>
      <c r="BP64" s="40"/>
      <c r="BQ64" s="40"/>
      <c r="BR64" s="43"/>
      <c r="BS64" s="40"/>
      <c r="BT64" s="40"/>
      <c r="BU64" s="42"/>
      <c r="BV64" s="40"/>
      <c r="BW64" s="40"/>
      <c r="BX64" s="43"/>
      <c r="BY64" s="40"/>
      <c r="BZ64" s="40"/>
      <c r="CA64" s="42"/>
      <c r="CB64" s="40"/>
      <c r="CC64" s="75"/>
      <c r="CD64" s="43"/>
      <c r="CE64" s="40"/>
      <c r="CF64" s="40"/>
      <c r="CG64" s="42"/>
      <c r="CH64" s="40"/>
      <c r="CI64" s="40"/>
      <c r="CJ64" s="43"/>
      <c r="CK64" s="40"/>
      <c r="CL64" s="40"/>
      <c r="CM64" s="42"/>
      <c r="CN64" s="40"/>
      <c r="CO64" s="40"/>
      <c r="CP64" s="43"/>
      <c r="CQ64" s="40"/>
      <c r="CR64" s="40"/>
      <c r="CS64" s="42"/>
      <c r="CT64" s="40"/>
      <c r="CU64" s="40"/>
      <c r="CV64" s="43"/>
      <c r="CW64" s="40"/>
      <c r="CX64" s="40"/>
      <c r="CY64" s="42"/>
      <c r="CZ64" s="40"/>
      <c r="DA64" s="40"/>
      <c r="DB64" s="43"/>
      <c r="DC64" s="40"/>
      <c r="DD64" s="75" t="s">
        <v>311</v>
      </c>
      <c r="DE64" s="69">
        <v>7570</v>
      </c>
      <c r="DF64" s="40"/>
      <c r="DG64" s="40"/>
      <c r="DH64" s="68">
        <v>0</v>
      </c>
    </row>
    <row r="65" spans="1:112">
      <c r="A65" s="40">
        <v>70</v>
      </c>
      <c r="B65" s="40" t="s">
        <v>210</v>
      </c>
      <c r="C65" s="40">
        <v>4</v>
      </c>
      <c r="D65" s="29" t="s">
        <v>78</v>
      </c>
      <c r="E65" s="30">
        <v>21</v>
      </c>
      <c r="F65" s="30">
        <v>7</v>
      </c>
      <c r="G65" s="52">
        <v>12.597504000000001</v>
      </c>
      <c r="H65" s="68">
        <f t="shared" si="0"/>
        <v>0</v>
      </c>
      <c r="I65" s="47">
        <v>12.597504000000001</v>
      </c>
      <c r="J65" s="43">
        <v>12.6</v>
      </c>
      <c r="K65" s="40"/>
      <c r="L65" s="40"/>
      <c r="M65" s="43"/>
      <c r="N65" s="40"/>
      <c r="O65" s="40"/>
      <c r="P65" s="40"/>
      <c r="Q65" s="42"/>
      <c r="R65" s="40"/>
      <c r="S65" s="40"/>
      <c r="T65" s="43"/>
      <c r="U65" s="40"/>
      <c r="V65" s="40"/>
      <c r="W65" s="42"/>
      <c r="X65" s="40"/>
      <c r="Y65" s="40"/>
      <c r="Z65" s="43"/>
      <c r="AA65" s="40"/>
      <c r="AB65" s="40"/>
      <c r="AC65" s="42"/>
      <c r="AD65" s="40"/>
      <c r="AE65" s="40"/>
      <c r="AF65" s="40"/>
      <c r="AG65" s="43"/>
      <c r="AH65" s="40"/>
      <c r="AI65" s="40"/>
      <c r="AJ65" s="40"/>
      <c r="AK65" s="42"/>
      <c r="AL65" s="40"/>
      <c r="AM65" s="40"/>
      <c r="AN65" s="43"/>
      <c r="AO65" s="40"/>
      <c r="AP65" s="40"/>
      <c r="AQ65" s="42"/>
      <c r="AR65" s="40"/>
      <c r="AS65" s="40"/>
      <c r="AT65" s="43"/>
      <c r="AU65" s="40"/>
      <c r="AV65" s="40"/>
      <c r="AW65" s="42"/>
      <c r="AX65" s="40"/>
      <c r="AY65" s="40"/>
      <c r="AZ65" s="43"/>
      <c r="BA65" s="40"/>
      <c r="BB65" s="40"/>
      <c r="BC65" s="42"/>
      <c r="BD65" s="40"/>
      <c r="BE65" s="40"/>
      <c r="BF65" s="43"/>
      <c r="BG65" s="40"/>
      <c r="BH65" s="40"/>
      <c r="BI65" s="42"/>
      <c r="BJ65" s="40"/>
      <c r="BK65" s="40"/>
      <c r="BL65" s="43"/>
      <c r="BM65" s="40"/>
      <c r="BN65" s="40"/>
      <c r="BO65" s="42"/>
      <c r="BP65" s="40"/>
      <c r="BQ65" s="40"/>
      <c r="BR65" s="43"/>
      <c r="BS65" s="40"/>
      <c r="BT65" s="40"/>
      <c r="BU65" s="42"/>
      <c r="BV65" s="40"/>
      <c r="BW65" s="40"/>
      <c r="BX65" s="43"/>
      <c r="BY65" s="40"/>
      <c r="BZ65" s="40"/>
      <c r="CA65" s="42"/>
      <c r="CB65" s="40"/>
      <c r="CC65" s="75"/>
      <c r="CD65" s="43"/>
      <c r="CE65" s="40"/>
      <c r="CF65" s="40"/>
      <c r="CG65" s="42"/>
      <c r="CH65" s="40"/>
      <c r="CI65" s="40"/>
      <c r="CJ65" s="43"/>
      <c r="CK65" s="40"/>
      <c r="CL65" s="40"/>
      <c r="CM65" s="42"/>
      <c r="CN65" s="40"/>
      <c r="CO65" s="40"/>
      <c r="CP65" s="43"/>
      <c r="CQ65" s="40"/>
      <c r="CR65" s="40"/>
      <c r="CS65" s="42"/>
      <c r="CT65" s="40"/>
      <c r="CU65" s="40"/>
      <c r="CV65" s="43"/>
      <c r="CW65" s="40"/>
      <c r="CX65" s="40"/>
      <c r="CY65" s="42"/>
      <c r="CZ65" s="40"/>
      <c r="DA65" s="40"/>
      <c r="DB65" s="43"/>
      <c r="DC65" s="40"/>
      <c r="DD65" s="75" t="s">
        <v>311</v>
      </c>
      <c r="DE65" s="69">
        <v>12600</v>
      </c>
      <c r="DF65" s="40"/>
      <c r="DG65" s="40"/>
      <c r="DH65" s="68">
        <v>0</v>
      </c>
    </row>
    <row r="66" spans="1:112">
      <c r="A66" s="40">
        <v>71</v>
      </c>
      <c r="B66" s="40" t="s">
        <v>210</v>
      </c>
      <c r="C66" s="40">
        <v>6</v>
      </c>
      <c r="D66" s="29" t="s">
        <v>79</v>
      </c>
      <c r="E66" s="30">
        <v>106</v>
      </c>
      <c r="F66" s="30">
        <v>7</v>
      </c>
      <c r="G66" s="52">
        <v>8.7110400000000006</v>
      </c>
      <c r="H66" s="68">
        <f t="shared" si="0"/>
        <v>0</v>
      </c>
      <c r="I66" s="47">
        <v>8.7110400000000006</v>
      </c>
      <c r="J66" s="43">
        <v>8.7100000000000009</v>
      </c>
      <c r="K66" s="40"/>
      <c r="L66" s="40"/>
      <c r="M66" s="43"/>
      <c r="N66" s="40"/>
      <c r="O66" s="40"/>
      <c r="P66" s="40"/>
      <c r="Q66" s="42"/>
      <c r="R66" s="40"/>
      <c r="S66" s="40"/>
      <c r="T66" s="43"/>
      <c r="U66" s="40"/>
      <c r="V66" s="40"/>
      <c r="W66" s="42"/>
      <c r="X66" s="40"/>
      <c r="Y66" s="40"/>
      <c r="Z66" s="43"/>
      <c r="AA66" s="40"/>
      <c r="AB66" s="40"/>
      <c r="AC66" s="42"/>
      <c r="AD66" s="40"/>
      <c r="AE66" s="40"/>
      <c r="AF66" s="40"/>
      <c r="AG66" s="43"/>
      <c r="AH66" s="40"/>
      <c r="AI66" s="40"/>
      <c r="AJ66" s="40"/>
      <c r="AK66" s="42"/>
      <c r="AL66" s="40"/>
      <c r="AM66" s="40"/>
      <c r="AN66" s="43"/>
      <c r="AO66" s="40"/>
      <c r="AP66" s="40"/>
      <c r="AQ66" s="42"/>
      <c r="AR66" s="40"/>
      <c r="AS66" s="40"/>
      <c r="AT66" s="43"/>
      <c r="AU66" s="40"/>
      <c r="AV66" s="40"/>
      <c r="AW66" s="42"/>
      <c r="AX66" s="40"/>
      <c r="AY66" s="40"/>
      <c r="AZ66" s="43"/>
      <c r="BA66" s="40"/>
      <c r="BB66" s="40"/>
      <c r="BC66" s="42"/>
      <c r="BD66" s="40"/>
      <c r="BE66" s="40"/>
      <c r="BF66" s="43"/>
      <c r="BG66" s="40"/>
      <c r="BH66" s="40"/>
      <c r="BI66" s="42"/>
      <c r="BJ66" s="40"/>
      <c r="BK66" s="40"/>
      <c r="BL66" s="43"/>
      <c r="BM66" s="40"/>
      <c r="BN66" s="40"/>
      <c r="BO66" s="42"/>
      <c r="BP66" s="40"/>
      <c r="BQ66" s="40"/>
      <c r="BR66" s="43"/>
      <c r="BS66" s="40"/>
      <c r="BT66" s="40"/>
      <c r="BU66" s="42"/>
      <c r="BV66" s="40"/>
      <c r="BW66" s="40"/>
      <c r="BX66" s="43"/>
      <c r="BY66" s="40"/>
      <c r="BZ66" s="40"/>
      <c r="CA66" s="42"/>
      <c r="CB66" s="40"/>
      <c r="CC66" s="75"/>
      <c r="CD66" s="43"/>
      <c r="CE66" s="40"/>
      <c r="CF66" s="40"/>
      <c r="CG66" s="42"/>
      <c r="CH66" s="40"/>
      <c r="CI66" s="40"/>
      <c r="CJ66" s="43"/>
      <c r="CK66" s="40"/>
      <c r="CL66" s="40"/>
      <c r="CM66" s="42"/>
      <c r="CN66" s="40"/>
      <c r="CO66" s="40"/>
      <c r="CP66" s="43"/>
      <c r="CQ66" s="40"/>
      <c r="CR66" s="40"/>
      <c r="CS66" s="42"/>
      <c r="CT66" s="40"/>
      <c r="CU66" s="40"/>
      <c r="CV66" s="43"/>
      <c r="CW66" s="40"/>
      <c r="CX66" s="40"/>
      <c r="CY66" s="42"/>
      <c r="CZ66" s="40"/>
      <c r="DA66" s="40"/>
      <c r="DB66" s="43"/>
      <c r="DC66" s="40"/>
      <c r="DD66" s="75" t="s">
        <v>364</v>
      </c>
      <c r="DE66" s="69">
        <v>8710</v>
      </c>
      <c r="DF66" s="40"/>
      <c r="DG66" s="40"/>
      <c r="DH66" s="68">
        <v>0</v>
      </c>
    </row>
    <row r="67" spans="1:112">
      <c r="A67" s="40">
        <v>72</v>
      </c>
      <c r="B67" s="40" t="s">
        <v>210</v>
      </c>
      <c r="C67" s="40">
        <v>6</v>
      </c>
      <c r="D67" s="29" t="s">
        <v>79</v>
      </c>
      <c r="E67" s="30" t="s">
        <v>80</v>
      </c>
      <c r="F67" s="30">
        <v>7</v>
      </c>
      <c r="G67" s="52">
        <v>7.3583160000000021</v>
      </c>
      <c r="H67" s="68">
        <f t="shared" si="0"/>
        <v>0</v>
      </c>
      <c r="I67" s="47">
        <v>7.3583160000000021</v>
      </c>
      <c r="J67" s="43">
        <v>7.36</v>
      </c>
      <c r="K67" s="40"/>
      <c r="L67" s="40"/>
      <c r="M67" s="43"/>
      <c r="N67" s="40"/>
      <c r="O67" s="40"/>
      <c r="P67" s="40"/>
      <c r="Q67" s="42"/>
      <c r="R67" s="40"/>
      <c r="S67" s="40"/>
      <c r="T67" s="43"/>
      <c r="U67" s="40"/>
      <c r="V67" s="40"/>
      <c r="W67" s="42"/>
      <c r="X67" s="40"/>
      <c r="Y67" s="40"/>
      <c r="Z67" s="43"/>
      <c r="AA67" s="40"/>
      <c r="AB67" s="40"/>
      <c r="AC67" s="42"/>
      <c r="AD67" s="40"/>
      <c r="AE67" s="40"/>
      <c r="AF67" s="40"/>
      <c r="AG67" s="43"/>
      <c r="AH67" s="40"/>
      <c r="AI67" s="40"/>
      <c r="AJ67" s="40"/>
      <c r="AK67" s="42"/>
      <c r="AL67" s="40"/>
      <c r="AM67" s="40"/>
      <c r="AN67" s="43"/>
      <c r="AO67" s="40"/>
      <c r="AP67" s="40"/>
      <c r="AQ67" s="42"/>
      <c r="AR67" s="40"/>
      <c r="AS67" s="40"/>
      <c r="AT67" s="43"/>
      <c r="AU67" s="40"/>
      <c r="AV67" s="40"/>
      <c r="AW67" s="42"/>
      <c r="AX67" s="40"/>
      <c r="AY67" s="40"/>
      <c r="AZ67" s="43"/>
      <c r="BA67" s="40"/>
      <c r="BB67" s="40"/>
      <c r="BC67" s="42"/>
      <c r="BD67" s="40"/>
      <c r="BE67" s="40"/>
      <c r="BF67" s="43"/>
      <c r="BG67" s="40"/>
      <c r="BH67" s="40"/>
      <c r="BI67" s="42"/>
      <c r="BJ67" s="40"/>
      <c r="BK67" s="40"/>
      <c r="BL67" s="43"/>
      <c r="BM67" s="40"/>
      <c r="BN67" s="40"/>
      <c r="BO67" s="42"/>
      <c r="BP67" s="40"/>
      <c r="BQ67" s="40"/>
      <c r="BR67" s="43"/>
      <c r="BS67" s="40"/>
      <c r="BT67" s="40"/>
      <c r="BU67" s="42"/>
      <c r="BV67" s="40"/>
      <c r="BW67" s="40"/>
      <c r="BX67" s="43"/>
      <c r="BY67" s="40"/>
      <c r="BZ67" s="40"/>
      <c r="CA67" s="42"/>
      <c r="CB67" s="40"/>
      <c r="CC67" s="75"/>
      <c r="CD67" s="43"/>
      <c r="CE67" s="40"/>
      <c r="CF67" s="40"/>
      <c r="CG67" s="42"/>
      <c r="CH67" s="40"/>
      <c r="CI67" s="40"/>
      <c r="CJ67" s="43"/>
      <c r="CK67" s="40"/>
      <c r="CL67" s="40"/>
      <c r="CM67" s="42"/>
      <c r="CN67" s="40"/>
      <c r="CO67" s="40"/>
      <c r="CP67" s="43"/>
      <c r="CQ67" s="40"/>
      <c r="CR67" s="40"/>
      <c r="CS67" s="42"/>
      <c r="CT67" s="40"/>
      <c r="CU67" s="40"/>
      <c r="CV67" s="43"/>
      <c r="CW67" s="40"/>
      <c r="CX67" s="40"/>
      <c r="CY67" s="42"/>
      <c r="CZ67" s="40"/>
      <c r="DA67" s="40"/>
      <c r="DB67" s="43"/>
      <c r="DC67" s="40"/>
      <c r="DD67" s="75" t="s">
        <v>364</v>
      </c>
      <c r="DE67" s="69">
        <v>7360</v>
      </c>
      <c r="DF67" s="40"/>
      <c r="DG67" s="40"/>
      <c r="DH67" s="68">
        <v>0</v>
      </c>
    </row>
    <row r="68" spans="1:112">
      <c r="A68" s="40">
        <v>73</v>
      </c>
      <c r="B68" s="40" t="s">
        <v>210</v>
      </c>
      <c r="C68" s="40">
        <v>6</v>
      </c>
      <c r="D68" s="29" t="s">
        <v>79</v>
      </c>
      <c r="E68" s="30" t="s">
        <v>81</v>
      </c>
      <c r="F68" s="30">
        <v>7</v>
      </c>
      <c r="G68" s="52">
        <v>11.893920000000001</v>
      </c>
      <c r="H68" s="68">
        <f t="shared" si="0"/>
        <v>0</v>
      </c>
      <c r="I68" s="47">
        <v>11.893920000000001</v>
      </c>
      <c r="J68" s="43">
        <v>11.89</v>
      </c>
      <c r="K68" s="40"/>
      <c r="L68" s="40"/>
      <c r="M68" s="43"/>
      <c r="N68" s="40"/>
      <c r="O68" s="40"/>
      <c r="P68" s="40"/>
      <c r="Q68" s="42"/>
      <c r="R68" s="40"/>
      <c r="S68" s="40"/>
      <c r="T68" s="43"/>
      <c r="U68" s="40"/>
      <c r="V68" s="40"/>
      <c r="W68" s="42"/>
      <c r="X68" s="40"/>
      <c r="Y68" s="40"/>
      <c r="Z68" s="43"/>
      <c r="AA68" s="40"/>
      <c r="AB68" s="40"/>
      <c r="AC68" s="42"/>
      <c r="AD68" s="40"/>
      <c r="AE68" s="40"/>
      <c r="AF68" s="40"/>
      <c r="AG68" s="43"/>
      <c r="AH68" s="40"/>
      <c r="AI68" s="40"/>
      <c r="AJ68" s="40"/>
      <c r="AK68" s="42"/>
      <c r="AL68" s="40"/>
      <c r="AM68" s="40"/>
      <c r="AN68" s="43"/>
      <c r="AO68" s="40"/>
      <c r="AP68" s="40"/>
      <c r="AQ68" s="42"/>
      <c r="AR68" s="40"/>
      <c r="AS68" s="40"/>
      <c r="AT68" s="43"/>
      <c r="AU68" s="40"/>
      <c r="AV68" s="40"/>
      <c r="AW68" s="42"/>
      <c r="AX68" s="40"/>
      <c r="AY68" s="40"/>
      <c r="AZ68" s="43"/>
      <c r="BA68" s="40"/>
      <c r="BB68" s="40"/>
      <c r="BC68" s="42"/>
      <c r="BD68" s="40"/>
      <c r="BE68" s="40"/>
      <c r="BF68" s="43"/>
      <c r="BG68" s="40"/>
      <c r="BH68" s="40"/>
      <c r="BI68" s="42"/>
      <c r="BJ68" s="40"/>
      <c r="BK68" s="40"/>
      <c r="BL68" s="43"/>
      <c r="BM68" s="40"/>
      <c r="BN68" s="40"/>
      <c r="BO68" s="42"/>
      <c r="BP68" s="40"/>
      <c r="BQ68" s="40"/>
      <c r="BR68" s="43"/>
      <c r="BS68" s="40"/>
      <c r="BT68" s="40"/>
      <c r="BU68" s="42"/>
      <c r="BV68" s="40"/>
      <c r="BW68" s="40"/>
      <c r="BX68" s="43"/>
      <c r="BY68" s="40"/>
      <c r="BZ68" s="40"/>
      <c r="CA68" s="42"/>
      <c r="CB68" s="40"/>
      <c r="CC68" s="75"/>
      <c r="CD68" s="43"/>
      <c r="CE68" s="40"/>
      <c r="CF68" s="40"/>
      <c r="CG68" s="42"/>
      <c r="CH68" s="40"/>
      <c r="CI68" s="40"/>
      <c r="CJ68" s="43"/>
      <c r="CK68" s="40"/>
      <c r="CL68" s="40"/>
      <c r="CM68" s="42"/>
      <c r="CN68" s="40"/>
      <c r="CO68" s="40"/>
      <c r="CP68" s="43"/>
      <c r="CQ68" s="40"/>
      <c r="CR68" s="40"/>
      <c r="CS68" s="42"/>
      <c r="CT68" s="40"/>
      <c r="CU68" s="40"/>
      <c r="CV68" s="43"/>
      <c r="CW68" s="40"/>
      <c r="CX68" s="40"/>
      <c r="CY68" s="42"/>
      <c r="CZ68" s="40"/>
      <c r="DA68" s="40"/>
      <c r="DB68" s="43"/>
      <c r="DC68" s="40"/>
      <c r="DD68" s="75" t="s">
        <v>364</v>
      </c>
      <c r="DE68" s="69">
        <v>11890</v>
      </c>
      <c r="DF68" s="40"/>
      <c r="DG68" s="40"/>
      <c r="DH68" s="68">
        <v>0</v>
      </c>
    </row>
    <row r="69" spans="1:112">
      <c r="A69" s="40">
        <v>74</v>
      </c>
      <c r="B69" s="40" t="s">
        <v>210</v>
      </c>
      <c r="C69" s="40">
        <v>5</v>
      </c>
      <c r="D69" s="29" t="s">
        <v>82</v>
      </c>
      <c r="E69" s="30">
        <v>3</v>
      </c>
      <c r="F69" s="30">
        <v>7</v>
      </c>
      <c r="G69" s="52">
        <v>34.262030000000003</v>
      </c>
      <c r="H69" s="68">
        <f t="shared" si="0"/>
        <v>6.8776999999999999</v>
      </c>
      <c r="I69" s="47">
        <v>27.384330000000002</v>
      </c>
      <c r="J69" s="43">
        <v>34.26</v>
      </c>
      <c r="K69" s="40"/>
      <c r="L69" s="40"/>
      <c r="M69" s="43"/>
      <c r="N69" s="40"/>
      <c r="O69" s="40"/>
      <c r="P69" s="40"/>
      <c r="Q69" s="42"/>
      <c r="R69" s="40"/>
      <c r="S69" s="40"/>
      <c r="T69" s="43"/>
      <c r="U69" s="40"/>
      <c r="V69" s="40"/>
      <c r="W69" s="42"/>
      <c r="X69" s="40"/>
      <c r="Y69" s="40"/>
      <c r="Z69" s="43"/>
      <c r="AA69" s="40"/>
      <c r="AB69" s="40"/>
      <c r="AC69" s="42"/>
      <c r="AD69" s="40" t="s">
        <v>403</v>
      </c>
      <c r="AE69" s="40" t="s">
        <v>308</v>
      </c>
      <c r="AF69" s="40">
        <v>42</v>
      </c>
      <c r="AG69" s="43">
        <v>34260</v>
      </c>
      <c r="AH69" s="40"/>
      <c r="AI69" s="40"/>
      <c r="AJ69" s="40"/>
      <c r="AK69" s="42"/>
      <c r="AL69" s="40"/>
      <c r="AM69" s="40"/>
      <c r="AN69" s="43"/>
      <c r="AO69" s="40"/>
      <c r="AP69" s="40"/>
      <c r="AQ69" s="42"/>
      <c r="AR69" s="40"/>
      <c r="AS69" s="40"/>
      <c r="AT69" s="43"/>
      <c r="AU69" s="40"/>
      <c r="AV69" s="40"/>
      <c r="AW69" s="42"/>
      <c r="AX69" s="40"/>
      <c r="AY69" s="40"/>
      <c r="AZ69" s="43"/>
      <c r="BA69" s="40"/>
      <c r="BB69" s="40"/>
      <c r="BC69" s="42"/>
      <c r="BD69" s="40"/>
      <c r="BE69" s="40"/>
      <c r="BF69" s="43"/>
      <c r="BG69" s="40"/>
      <c r="BH69" s="40"/>
      <c r="BI69" s="42"/>
      <c r="BJ69" s="40"/>
      <c r="BK69" s="40"/>
      <c r="BL69" s="43"/>
      <c r="BM69" s="40"/>
      <c r="BN69" s="40"/>
      <c r="BO69" s="42"/>
      <c r="BP69" s="40"/>
      <c r="BQ69" s="40"/>
      <c r="BR69" s="43"/>
      <c r="BS69" s="40"/>
      <c r="BT69" s="40"/>
      <c r="BU69" s="42"/>
      <c r="BV69" s="40"/>
      <c r="BW69" s="40"/>
      <c r="BX69" s="43"/>
      <c r="BY69" s="40"/>
      <c r="BZ69" s="40"/>
      <c r="CA69" s="42"/>
      <c r="CB69" s="40"/>
      <c r="CC69" s="75"/>
      <c r="CD69" s="43"/>
      <c r="CE69" s="40" t="s">
        <v>362</v>
      </c>
      <c r="CF69" s="40">
        <v>20</v>
      </c>
      <c r="CG69" s="42">
        <v>6877.7</v>
      </c>
      <c r="CH69" s="40"/>
      <c r="CI69" s="40"/>
      <c r="CJ69" s="43"/>
      <c r="CK69" s="40"/>
      <c r="CL69" s="40"/>
      <c r="CM69" s="42"/>
      <c r="CN69" s="40"/>
      <c r="CO69" s="40"/>
      <c r="CP69" s="43"/>
      <c r="CQ69" s="40"/>
      <c r="CR69" s="40"/>
      <c r="CS69" s="42"/>
      <c r="CT69" s="40"/>
      <c r="CU69" s="40"/>
      <c r="CV69" s="43"/>
      <c r="CW69" s="40"/>
      <c r="CX69" s="40"/>
      <c r="CY69" s="42"/>
      <c r="CZ69" s="40"/>
      <c r="DA69" s="40"/>
      <c r="DB69" s="43"/>
      <c r="DC69" s="40"/>
      <c r="DD69" s="75"/>
      <c r="DE69" s="69">
        <v>0</v>
      </c>
      <c r="DF69" s="40"/>
      <c r="DG69" s="40"/>
      <c r="DH69" s="68">
        <v>0</v>
      </c>
    </row>
    <row r="70" spans="1:112">
      <c r="A70" s="40">
        <v>75</v>
      </c>
      <c r="B70" s="40" t="s">
        <v>210</v>
      </c>
      <c r="C70" s="40">
        <v>5</v>
      </c>
      <c r="D70" s="29" t="s">
        <v>82</v>
      </c>
      <c r="E70" s="30">
        <v>7</v>
      </c>
      <c r="F70" s="30">
        <v>7</v>
      </c>
      <c r="G70" s="52">
        <v>30.85858</v>
      </c>
      <c r="H70" s="68">
        <f t="shared" si="0"/>
        <v>26.402060000000002</v>
      </c>
      <c r="I70" s="47">
        <v>30.85858</v>
      </c>
      <c r="J70" s="43">
        <v>6</v>
      </c>
      <c r="K70" s="40"/>
      <c r="L70" s="40"/>
      <c r="M70" s="43"/>
      <c r="N70" s="40"/>
      <c r="O70" s="40"/>
      <c r="P70" s="40"/>
      <c r="Q70" s="42"/>
      <c r="R70" s="40"/>
      <c r="S70" s="40"/>
      <c r="T70" s="43"/>
      <c r="U70" s="40"/>
      <c r="V70" s="40"/>
      <c r="W70" s="42"/>
      <c r="X70" s="40"/>
      <c r="Y70" s="40"/>
      <c r="Z70" s="43"/>
      <c r="AA70" s="40"/>
      <c r="AB70" s="40"/>
      <c r="AC70" s="42"/>
      <c r="AD70" s="40"/>
      <c r="AE70" s="40"/>
      <c r="AF70" s="40"/>
      <c r="AG70" s="43"/>
      <c r="AH70" s="40"/>
      <c r="AI70" s="40"/>
      <c r="AJ70" s="40"/>
      <c r="AK70" s="42"/>
      <c r="AL70" s="40"/>
      <c r="AM70" s="40"/>
      <c r="AN70" s="43"/>
      <c r="AO70" s="40"/>
      <c r="AP70" s="40"/>
      <c r="AQ70" s="42"/>
      <c r="AR70" s="40"/>
      <c r="AS70" s="40"/>
      <c r="AT70" s="43"/>
      <c r="AU70" s="40"/>
      <c r="AV70" s="40"/>
      <c r="AW70" s="42"/>
      <c r="AX70" s="40"/>
      <c r="AY70" s="40"/>
      <c r="AZ70" s="43"/>
      <c r="BA70" s="40"/>
      <c r="BB70" s="40"/>
      <c r="BC70" s="42"/>
      <c r="BD70" s="40"/>
      <c r="BE70" s="40"/>
      <c r="BF70" s="43"/>
      <c r="BG70" s="40"/>
      <c r="BH70" s="40"/>
      <c r="BI70" s="42"/>
      <c r="BJ70" s="40"/>
      <c r="BK70" s="40"/>
      <c r="BL70" s="43"/>
      <c r="BM70" s="40"/>
      <c r="BN70" s="40"/>
      <c r="BO70" s="42"/>
      <c r="BP70" s="40"/>
      <c r="BQ70" s="40"/>
      <c r="BR70" s="43"/>
      <c r="BS70" s="40"/>
      <c r="BT70" s="40"/>
      <c r="BU70" s="42"/>
      <c r="BV70" s="40"/>
      <c r="BW70" s="40"/>
      <c r="BX70" s="43"/>
      <c r="BY70" s="40"/>
      <c r="BZ70" s="40"/>
      <c r="CA70" s="42"/>
      <c r="CB70" s="40"/>
      <c r="CC70" s="75"/>
      <c r="CD70" s="43"/>
      <c r="CE70" s="40"/>
      <c r="CF70" s="40"/>
      <c r="CG70" s="42"/>
      <c r="CH70" s="40"/>
      <c r="CI70" s="40"/>
      <c r="CJ70" s="43"/>
      <c r="CK70" s="40"/>
      <c r="CL70" s="40"/>
      <c r="CM70" s="42"/>
      <c r="CN70" s="40"/>
      <c r="CO70" s="40"/>
      <c r="CP70" s="43"/>
      <c r="CQ70" s="40"/>
      <c r="CR70" s="40"/>
      <c r="CS70" s="42"/>
      <c r="CT70" s="40"/>
      <c r="CU70" s="40"/>
      <c r="CV70" s="43"/>
      <c r="CW70" s="40"/>
      <c r="CX70" s="40"/>
      <c r="CY70" s="42"/>
      <c r="CZ70" s="40"/>
      <c r="DA70" s="40"/>
      <c r="DB70" s="43"/>
      <c r="DC70" s="40" t="s">
        <v>402</v>
      </c>
      <c r="DD70" s="74" t="s">
        <v>305</v>
      </c>
      <c r="DE70" s="69">
        <v>6000</v>
      </c>
      <c r="DF70" s="40" t="s">
        <v>403</v>
      </c>
      <c r="DG70" s="40" t="s">
        <v>479</v>
      </c>
      <c r="DH70" s="68">
        <v>26402.06</v>
      </c>
    </row>
    <row r="71" spans="1:112">
      <c r="A71" s="40">
        <v>76</v>
      </c>
      <c r="B71" s="40" t="s">
        <v>210</v>
      </c>
      <c r="C71" s="40">
        <v>5</v>
      </c>
      <c r="D71" s="29" t="s">
        <v>82</v>
      </c>
      <c r="E71" s="30" t="s">
        <v>83</v>
      </c>
      <c r="F71" s="30">
        <v>7</v>
      </c>
      <c r="G71" s="52">
        <v>7.0379319999999996</v>
      </c>
      <c r="H71" s="68">
        <f t="shared" si="0"/>
        <v>0</v>
      </c>
      <c r="I71" s="47">
        <v>7.0379319999999996</v>
      </c>
      <c r="J71" s="43">
        <v>8</v>
      </c>
      <c r="K71" s="40"/>
      <c r="L71" s="40"/>
      <c r="M71" s="43"/>
      <c r="N71" s="40"/>
      <c r="O71" s="40"/>
      <c r="P71" s="40"/>
      <c r="Q71" s="42"/>
      <c r="R71" s="40"/>
      <c r="S71" s="40"/>
      <c r="T71" s="43"/>
      <c r="U71" s="40"/>
      <c r="V71" s="40"/>
      <c r="W71" s="42"/>
      <c r="X71" s="40"/>
      <c r="Y71" s="40"/>
      <c r="Z71" s="43"/>
      <c r="AA71" s="40"/>
      <c r="AB71" s="40"/>
      <c r="AC71" s="42"/>
      <c r="AD71" s="40" t="s">
        <v>403</v>
      </c>
      <c r="AE71" s="40" t="s">
        <v>308</v>
      </c>
      <c r="AF71" s="40">
        <v>10</v>
      </c>
      <c r="AG71" s="43">
        <v>8000</v>
      </c>
      <c r="AH71" s="40"/>
      <c r="AI71" s="40"/>
      <c r="AJ71" s="40"/>
      <c r="AK71" s="42"/>
      <c r="AL71" s="40"/>
      <c r="AM71" s="40"/>
      <c r="AN71" s="43"/>
      <c r="AO71" s="40"/>
      <c r="AP71" s="40"/>
      <c r="AQ71" s="42"/>
      <c r="AR71" s="40"/>
      <c r="AS71" s="40"/>
      <c r="AT71" s="43"/>
      <c r="AU71" s="40"/>
      <c r="AV71" s="40"/>
      <c r="AW71" s="42"/>
      <c r="AX71" s="40"/>
      <c r="AY71" s="40"/>
      <c r="AZ71" s="43"/>
      <c r="BA71" s="40"/>
      <c r="BB71" s="40"/>
      <c r="BC71" s="42"/>
      <c r="BD71" s="40"/>
      <c r="BE71" s="40"/>
      <c r="BF71" s="43"/>
      <c r="BG71" s="40"/>
      <c r="BH71" s="40"/>
      <c r="BI71" s="42"/>
      <c r="BJ71" s="40"/>
      <c r="BK71" s="40"/>
      <c r="BL71" s="43"/>
      <c r="BM71" s="40"/>
      <c r="BN71" s="40"/>
      <c r="BO71" s="42"/>
      <c r="BP71" s="40"/>
      <c r="BQ71" s="40"/>
      <c r="BR71" s="43"/>
      <c r="BS71" s="40"/>
      <c r="BT71" s="40"/>
      <c r="BU71" s="42"/>
      <c r="BV71" s="40"/>
      <c r="BW71" s="40"/>
      <c r="BX71" s="43"/>
      <c r="BY71" s="40"/>
      <c r="BZ71" s="40"/>
      <c r="CA71" s="42"/>
      <c r="CB71" s="40"/>
      <c r="CC71" s="75"/>
      <c r="CD71" s="43"/>
      <c r="CE71" s="40"/>
      <c r="CF71" s="40"/>
      <c r="CG71" s="42"/>
      <c r="CH71" s="40"/>
      <c r="CI71" s="40"/>
      <c r="CJ71" s="43"/>
      <c r="CK71" s="40"/>
      <c r="CL71" s="40"/>
      <c r="CM71" s="42"/>
      <c r="CN71" s="40"/>
      <c r="CO71" s="40"/>
      <c r="CP71" s="43"/>
      <c r="CQ71" s="40"/>
      <c r="CR71" s="40"/>
      <c r="CS71" s="42"/>
      <c r="CT71" s="40"/>
      <c r="CU71" s="40"/>
      <c r="CV71" s="43"/>
      <c r="CW71" s="40"/>
      <c r="CX71" s="40"/>
      <c r="CY71" s="42"/>
      <c r="CZ71" s="40"/>
      <c r="DA71" s="40"/>
      <c r="DB71" s="43"/>
      <c r="DC71" s="40"/>
      <c r="DD71" s="74"/>
      <c r="DE71" s="69">
        <v>0</v>
      </c>
      <c r="DF71" s="40"/>
      <c r="DG71" s="40"/>
      <c r="DH71" s="68">
        <v>0</v>
      </c>
    </row>
    <row r="72" spans="1:112">
      <c r="A72" s="40">
        <v>77</v>
      </c>
      <c r="B72" s="40" t="s">
        <v>210</v>
      </c>
      <c r="C72" s="40">
        <v>5</v>
      </c>
      <c r="D72" s="29" t="s">
        <v>82</v>
      </c>
      <c r="E72" s="30">
        <v>24</v>
      </c>
      <c r="F72" s="30">
        <v>7</v>
      </c>
      <c r="G72" s="52">
        <v>45.093867199999998</v>
      </c>
      <c r="H72" s="68">
        <f t="shared" si="0"/>
        <v>0</v>
      </c>
      <c r="I72" s="47">
        <v>45.093867199999998</v>
      </c>
      <c r="J72" s="43">
        <v>45.09</v>
      </c>
      <c r="K72" s="40"/>
      <c r="L72" s="40"/>
      <c r="M72" s="43"/>
      <c r="N72" s="40"/>
      <c r="O72" s="40"/>
      <c r="P72" s="40"/>
      <c r="Q72" s="42"/>
      <c r="R72" s="40"/>
      <c r="S72" s="40"/>
      <c r="T72" s="43"/>
      <c r="U72" s="40"/>
      <c r="V72" s="40"/>
      <c r="W72" s="42"/>
      <c r="X72" s="40"/>
      <c r="Y72" s="40"/>
      <c r="Z72" s="43"/>
      <c r="AA72" s="40"/>
      <c r="AB72" s="40"/>
      <c r="AC72" s="42"/>
      <c r="AD72" s="40" t="s">
        <v>403</v>
      </c>
      <c r="AE72" s="40" t="s">
        <v>308</v>
      </c>
      <c r="AF72" s="40">
        <v>56.4</v>
      </c>
      <c r="AG72" s="43">
        <v>45090</v>
      </c>
      <c r="AH72" s="40"/>
      <c r="AI72" s="40"/>
      <c r="AJ72" s="40"/>
      <c r="AK72" s="42"/>
      <c r="AL72" s="40"/>
      <c r="AM72" s="40"/>
      <c r="AN72" s="43"/>
      <c r="AO72" s="40"/>
      <c r="AP72" s="40"/>
      <c r="AQ72" s="42"/>
      <c r="AR72" s="40"/>
      <c r="AS72" s="40"/>
      <c r="AT72" s="43"/>
      <c r="AU72" s="40"/>
      <c r="AV72" s="40"/>
      <c r="AW72" s="42"/>
      <c r="AX72" s="40"/>
      <c r="AY72" s="40"/>
      <c r="AZ72" s="43"/>
      <c r="BA72" s="40"/>
      <c r="BB72" s="40"/>
      <c r="BC72" s="42"/>
      <c r="BD72" s="40"/>
      <c r="BE72" s="40"/>
      <c r="BF72" s="43"/>
      <c r="BG72" s="40"/>
      <c r="BH72" s="40"/>
      <c r="BI72" s="42"/>
      <c r="BJ72" s="40"/>
      <c r="BK72" s="40"/>
      <c r="BL72" s="43"/>
      <c r="BM72" s="40"/>
      <c r="BN72" s="40"/>
      <c r="BO72" s="42"/>
      <c r="BP72" s="40"/>
      <c r="BQ72" s="40"/>
      <c r="BR72" s="43"/>
      <c r="BS72" s="40"/>
      <c r="BT72" s="40"/>
      <c r="BU72" s="42"/>
      <c r="BV72" s="40"/>
      <c r="BW72" s="40"/>
      <c r="BX72" s="43"/>
      <c r="BY72" s="40"/>
      <c r="BZ72" s="40"/>
      <c r="CA72" s="42"/>
      <c r="CB72" s="40"/>
      <c r="CC72" s="75"/>
      <c r="CD72" s="43"/>
      <c r="CE72" s="40"/>
      <c r="CF72" s="40"/>
      <c r="CG72" s="42"/>
      <c r="CH72" s="40"/>
      <c r="CI72" s="40"/>
      <c r="CJ72" s="43"/>
      <c r="CK72" s="40"/>
      <c r="CL72" s="40"/>
      <c r="CM72" s="42"/>
      <c r="CN72" s="40"/>
      <c r="CO72" s="40"/>
      <c r="CP72" s="43"/>
      <c r="CQ72" s="40"/>
      <c r="CR72" s="40"/>
      <c r="CS72" s="42"/>
      <c r="CT72" s="40"/>
      <c r="CU72" s="40"/>
      <c r="CV72" s="43"/>
      <c r="CW72" s="40"/>
      <c r="CX72" s="40"/>
      <c r="CY72" s="42"/>
      <c r="CZ72" s="40"/>
      <c r="DA72" s="40"/>
      <c r="DB72" s="43"/>
      <c r="DC72" s="40"/>
      <c r="DD72" s="74"/>
      <c r="DE72" s="69">
        <v>0</v>
      </c>
      <c r="DF72" s="40"/>
      <c r="DG72" s="40"/>
      <c r="DH72" s="68">
        <v>0</v>
      </c>
    </row>
    <row r="73" spans="1:112">
      <c r="A73" s="40">
        <v>81</v>
      </c>
      <c r="B73" s="40" t="s">
        <v>210</v>
      </c>
      <c r="C73" s="40">
        <v>4</v>
      </c>
      <c r="D73" s="29" t="s">
        <v>87</v>
      </c>
      <c r="E73" s="30">
        <v>179</v>
      </c>
      <c r="F73" s="30">
        <v>7</v>
      </c>
      <c r="G73" s="52">
        <v>13.194290000000001</v>
      </c>
      <c r="H73" s="68">
        <f t="shared" ref="H73:H136" si="1">(Q73+W73+AC73+AK73+AQ73+AW73+BC73+BI73+BO73+BU73+CA73+CG73+CM73+CS73+CY73+DH73)/1000</f>
        <v>0</v>
      </c>
      <c r="I73" s="47">
        <v>13.194290000000001</v>
      </c>
      <c r="J73" s="43">
        <v>13.19</v>
      </c>
      <c r="K73" s="40"/>
      <c r="L73" s="40"/>
      <c r="M73" s="43"/>
      <c r="N73" s="40"/>
      <c r="O73" s="40"/>
      <c r="P73" s="40"/>
      <c r="Q73" s="42"/>
      <c r="R73" s="40"/>
      <c r="S73" s="40"/>
      <c r="T73" s="43"/>
      <c r="U73" s="40"/>
      <c r="V73" s="40"/>
      <c r="W73" s="42"/>
      <c r="X73" s="40"/>
      <c r="Y73" s="40"/>
      <c r="Z73" s="43"/>
      <c r="AA73" s="40"/>
      <c r="AB73" s="40"/>
      <c r="AC73" s="42"/>
      <c r="AD73" s="40"/>
      <c r="AE73" s="40"/>
      <c r="AF73" s="40"/>
      <c r="AG73" s="43"/>
      <c r="AH73" s="40"/>
      <c r="AI73" s="40"/>
      <c r="AJ73" s="40"/>
      <c r="AK73" s="42"/>
      <c r="AL73" s="40"/>
      <c r="AM73" s="40"/>
      <c r="AN73" s="43"/>
      <c r="AO73" s="40"/>
      <c r="AP73" s="40"/>
      <c r="AQ73" s="42"/>
      <c r="AR73" s="40"/>
      <c r="AS73" s="40"/>
      <c r="AT73" s="43"/>
      <c r="AU73" s="40"/>
      <c r="AV73" s="40"/>
      <c r="AW73" s="42"/>
      <c r="AX73" s="40"/>
      <c r="AY73" s="40"/>
      <c r="AZ73" s="43"/>
      <c r="BA73" s="40"/>
      <c r="BB73" s="40"/>
      <c r="BC73" s="42"/>
      <c r="BD73" s="40"/>
      <c r="BE73" s="40"/>
      <c r="BF73" s="43"/>
      <c r="BG73" s="40"/>
      <c r="BH73" s="40"/>
      <c r="BI73" s="42"/>
      <c r="BJ73" s="40"/>
      <c r="BK73" s="40"/>
      <c r="BL73" s="43"/>
      <c r="BM73" s="40"/>
      <c r="BN73" s="40"/>
      <c r="BO73" s="42"/>
      <c r="BP73" s="40"/>
      <c r="BQ73" s="40"/>
      <c r="BR73" s="43"/>
      <c r="BS73" s="40"/>
      <c r="BT73" s="40"/>
      <c r="BU73" s="42"/>
      <c r="BV73" s="40"/>
      <c r="BW73" s="40"/>
      <c r="BX73" s="43"/>
      <c r="BY73" s="40"/>
      <c r="BZ73" s="40"/>
      <c r="CA73" s="42"/>
      <c r="CB73" s="40"/>
      <c r="CC73" s="75"/>
      <c r="CD73" s="43"/>
      <c r="CE73" s="40"/>
      <c r="CF73" s="40"/>
      <c r="CG73" s="42"/>
      <c r="CH73" s="40"/>
      <c r="CI73" s="40"/>
      <c r="CJ73" s="43"/>
      <c r="CK73" s="40"/>
      <c r="CL73" s="40"/>
      <c r="CM73" s="42"/>
      <c r="CN73" s="40"/>
      <c r="CO73" s="40"/>
      <c r="CP73" s="43"/>
      <c r="CQ73" s="40"/>
      <c r="CR73" s="40"/>
      <c r="CS73" s="42"/>
      <c r="CT73" s="40"/>
      <c r="CU73" s="40"/>
      <c r="CV73" s="43"/>
      <c r="CW73" s="40"/>
      <c r="CX73" s="40"/>
      <c r="CY73" s="42"/>
      <c r="CZ73" s="40"/>
      <c r="DA73" s="40"/>
      <c r="DB73" s="43"/>
      <c r="DC73" s="40"/>
      <c r="DD73" s="74" t="s">
        <v>364</v>
      </c>
      <c r="DE73" s="69">
        <v>13190</v>
      </c>
      <c r="DF73" s="40"/>
      <c r="DG73" s="40"/>
      <c r="DH73" s="68">
        <v>0</v>
      </c>
    </row>
    <row r="74" spans="1:112">
      <c r="A74" s="40">
        <v>82</v>
      </c>
      <c r="B74" s="40" t="s">
        <v>210</v>
      </c>
      <c r="C74" s="40">
        <v>4</v>
      </c>
      <c r="D74" s="29" t="s">
        <v>87</v>
      </c>
      <c r="E74" s="30">
        <v>181</v>
      </c>
      <c r="F74" s="30">
        <v>6</v>
      </c>
      <c r="G74" s="52">
        <v>42.924274000000004</v>
      </c>
      <c r="H74" s="68">
        <f t="shared" si="1"/>
        <v>0</v>
      </c>
      <c r="I74" s="47">
        <v>42.924274000000004</v>
      </c>
      <c r="J74" s="43">
        <v>42.92</v>
      </c>
      <c r="K74" s="40"/>
      <c r="L74" s="40"/>
      <c r="M74" s="43"/>
      <c r="N74" s="40"/>
      <c r="O74" s="40"/>
      <c r="P74" s="40"/>
      <c r="Q74" s="42"/>
      <c r="R74" s="40"/>
      <c r="S74" s="40"/>
      <c r="T74" s="43"/>
      <c r="U74" s="40"/>
      <c r="V74" s="40"/>
      <c r="W74" s="42"/>
      <c r="X74" s="40"/>
      <c r="Y74" s="40"/>
      <c r="Z74" s="43"/>
      <c r="AA74" s="40"/>
      <c r="AB74" s="40"/>
      <c r="AC74" s="42"/>
      <c r="AD74" s="40"/>
      <c r="AE74" s="40"/>
      <c r="AF74" s="40"/>
      <c r="AG74" s="43"/>
      <c r="AH74" s="40"/>
      <c r="AI74" s="40"/>
      <c r="AJ74" s="40"/>
      <c r="AK74" s="42"/>
      <c r="AL74" s="40"/>
      <c r="AM74" s="40"/>
      <c r="AN74" s="43"/>
      <c r="AO74" s="40"/>
      <c r="AP74" s="40"/>
      <c r="AQ74" s="42"/>
      <c r="AR74" s="40"/>
      <c r="AS74" s="40"/>
      <c r="AT74" s="43"/>
      <c r="AU74" s="40"/>
      <c r="AV74" s="40"/>
      <c r="AW74" s="42"/>
      <c r="AX74" s="40"/>
      <c r="AY74" s="40"/>
      <c r="AZ74" s="43"/>
      <c r="BA74" s="40"/>
      <c r="BB74" s="40"/>
      <c r="BC74" s="42"/>
      <c r="BD74" s="40"/>
      <c r="BE74" s="40"/>
      <c r="BF74" s="43"/>
      <c r="BG74" s="40"/>
      <c r="BH74" s="40"/>
      <c r="BI74" s="42"/>
      <c r="BJ74" s="40"/>
      <c r="BK74" s="40"/>
      <c r="BL74" s="43"/>
      <c r="BM74" s="40"/>
      <c r="BN74" s="40"/>
      <c r="BO74" s="42"/>
      <c r="BP74" s="40"/>
      <c r="BQ74" s="40"/>
      <c r="BR74" s="43"/>
      <c r="BS74" s="40"/>
      <c r="BT74" s="40"/>
      <c r="BU74" s="42"/>
      <c r="BV74" s="40"/>
      <c r="BW74" s="40"/>
      <c r="BX74" s="43"/>
      <c r="BY74" s="40"/>
      <c r="BZ74" s="40"/>
      <c r="CA74" s="42"/>
      <c r="CB74" s="40"/>
      <c r="CC74" s="75"/>
      <c r="CD74" s="43"/>
      <c r="CE74" s="40"/>
      <c r="CF74" s="40"/>
      <c r="CG74" s="42"/>
      <c r="CH74" s="40"/>
      <c r="CI74" s="40"/>
      <c r="CJ74" s="43"/>
      <c r="CK74" s="40"/>
      <c r="CL74" s="40"/>
      <c r="CM74" s="42"/>
      <c r="CN74" s="40"/>
      <c r="CO74" s="40"/>
      <c r="CP74" s="43"/>
      <c r="CQ74" s="40"/>
      <c r="CR74" s="40"/>
      <c r="CS74" s="42"/>
      <c r="CT74" s="40"/>
      <c r="CU74" s="40"/>
      <c r="CV74" s="43"/>
      <c r="CW74" s="40"/>
      <c r="CX74" s="40"/>
      <c r="CY74" s="42"/>
      <c r="CZ74" s="40"/>
      <c r="DA74" s="40"/>
      <c r="DB74" s="43"/>
      <c r="DC74" s="40"/>
      <c r="DD74" s="74" t="s">
        <v>364</v>
      </c>
      <c r="DE74" s="69">
        <v>42920</v>
      </c>
      <c r="DF74" s="40"/>
      <c r="DG74" s="40"/>
      <c r="DH74" s="68">
        <v>0</v>
      </c>
    </row>
    <row r="75" spans="1:112" ht="23.25">
      <c r="A75" s="40">
        <v>83</v>
      </c>
      <c r="B75" s="40" t="s">
        <v>210</v>
      </c>
      <c r="C75" s="40">
        <v>6</v>
      </c>
      <c r="D75" s="29" t="s">
        <v>88</v>
      </c>
      <c r="E75" s="30" t="s">
        <v>89</v>
      </c>
      <c r="F75" s="30">
        <v>7</v>
      </c>
      <c r="G75" s="52">
        <v>31.024704000000003</v>
      </c>
      <c r="H75" s="68">
        <f t="shared" si="1"/>
        <v>20.31352</v>
      </c>
      <c r="I75" s="47">
        <v>31.024704000000003</v>
      </c>
      <c r="J75" s="43">
        <v>12</v>
      </c>
      <c r="K75" s="40"/>
      <c r="L75" s="40"/>
      <c r="M75" s="43"/>
      <c r="N75" s="40"/>
      <c r="O75" s="40"/>
      <c r="P75" s="40"/>
      <c r="Q75" s="42"/>
      <c r="R75" s="40"/>
      <c r="S75" s="40"/>
      <c r="T75" s="43"/>
      <c r="U75" s="40"/>
      <c r="V75" s="40"/>
      <c r="W75" s="42"/>
      <c r="X75" s="40"/>
      <c r="Y75" s="40"/>
      <c r="Z75" s="43"/>
      <c r="AA75" s="40"/>
      <c r="AB75" s="40"/>
      <c r="AC75" s="42"/>
      <c r="AD75" s="40"/>
      <c r="AE75" s="40"/>
      <c r="AF75" s="40"/>
      <c r="AG75" s="43"/>
      <c r="AH75" s="40"/>
      <c r="AI75" s="40"/>
      <c r="AJ75" s="40"/>
      <c r="AK75" s="42"/>
      <c r="AL75" s="40"/>
      <c r="AM75" s="40"/>
      <c r="AN75" s="43"/>
      <c r="AO75" s="40"/>
      <c r="AP75" s="40"/>
      <c r="AQ75" s="42"/>
      <c r="AR75" s="40"/>
      <c r="AS75" s="40"/>
      <c r="AT75" s="43"/>
      <c r="AU75" s="40"/>
      <c r="AV75" s="40"/>
      <c r="AW75" s="42"/>
      <c r="AX75" s="40"/>
      <c r="AY75" s="40"/>
      <c r="AZ75" s="43"/>
      <c r="BA75" s="40"/>
      <c r="BB75" s="40"/>
      <c r="BC75" s="42"/>
      <c r="BD75" s="40"/>
      <c r="BE75" s="40"/>
      <c r="BF75" s="43"/>
      <c r="BG75" s="40"/>
      <c r="BH75" s="40"/>
      <c r="BI75" s="42"/>
      <c r="BJ75" s="40"/>
      <c r="BK75" s="40"/>
      <c r="BL75" s="43"/>
      <c r="BM75" s="40"/>
      <c r="BN75" s="40"/>
      <c r="BO75" s="42"/>
      <c r="BP75" s="40"/>
      <c r="BQ75" s="40"/>
      <c r="BR75" s="43"/>
      <c r="BS75" s="40"/>
      <c r="BT75" s="40"/>
      <c r="BU75" s="42"/>
      <c r="BV75" s="40"/>
      <c r="BW75" s="40"/>
      <c r="BX75" s="43"/>
      <c r="BY75" s="40"/>
      <c r="BZ75" s="40"/>
      <c r="CA75" s="42"/>
      <c r="CB75" s="40"/>
      <c r="CC75" s="75"/>
      <c r="CD75" s="43"/>
      <c r="CE75" s="40"/>
      <c r="CF75" s="40"/>
      <c r="CG75" s="42"/>
      <c r="CH75" s="40"/>
      <c r="CI75" s="40"/>
      <c r="CJ75" s="43"/>
      <c r="CK75" s="40"/>
      <c r="CL75" s="40"/>
      <c r="CM75" s="42"/>
      <c r="CN75" s="40"/>
      <c r="CO75" s="40"/>
      <c r="CP75" s="43"/>
      <c r="CQ75" s="40"/>
      <c r="CR75" s="40"/>
      <c r="CS75" s="42"/>
      <c r="CT75" s="40"/>
      <c r="CU75" s="40"/>
      <c r="CV75" s="43"/>
      <c r="CW75" s="40"/>
      <c r="CX75" s="40"/>
      <c r="CY75" s="42"/>
      <c r="CZ75" s="40"/>
      <c r="DA75" s="40"/>
      <c r="DB75" s="43"/>
      <c r="DC75" s="40" t="s">
        <v>362</v>
      </c>
      <c r="DD75" s="74" t="s">
        <v>319</v>
      </c>
      <c r="DE75" s="69">
        <v>12000</v>
      </c>
      <c r="DF75" s="40" t="s">
        <v>402</v>
      </c>
      <c r="DG75" s="40" t="s">
        <v>471</v>
      </c>
      <c r="DH75" s="68">
        <v>20313.52</v>
      </c>
    </row>
    <row r="76" spans="1:112">
      <c r="A76" s="40">
        <v>84</v>
      </c>
      <c r="B76" s="40" t="s">
        <v>210</v>
      </c>
      <c r="C76" s="40">
        <v>6</v>
      </c>
      <c r="D76" s="29" t="s">
        <v>88</v>
      </c>
      <c r="E76" s="30" t="s">
        <v>90</v>
      </c>
      <c r="F76" s="30">
        <v>7</v>
      </c>
      <c r="G76" s="52">
        <v>31.080548000000004</v>
      </c>
      <c r="H76" s="68">
        <f t="shared" si="1"/>
        <v>1.41174</v>
      </c>
      <c r="I76" s="47">
        <v>29.668808000000006</v>
      </c>
      <c r="J76" s="43">
        <v>31.08</v>
      </c>
      <c r="K76" s="40"/>
      <c r="L76" s="40"/>
      <c r="M76" s="43"/>
      <c r="N76" s="40"/>
      <c r="O76" s="40"/>
      <c r="P76" s="40"/>
      <c r="Q76" s="42"/>
      <c r="R76" s="40"/>
      <c r="S76" s="40"/>
      <c r="T76" s="43"/>
      <c r="U76" s="40"/>
      <c r="V76" s="40"/>
      <c r="W76" s="42"/>
      <c r="X76" s="40"/>
      <c r="Y76" s="40"/>
      <c r="Z76" s="43"/>
      <c r="AA76" s="40"/>
      <c r="AB76" s="40"/>
      <c r="AC76" s="42"/>
      <c r="AD76" s="40"/>
      <c r="AE76" s="40"/>
      <c r="AF76" s="40"/>
      <c r="AG76" s="43"/>
      <c r="AH76" s="40"/>
      <c r="AI76" s="40"/>
      <c r="AJ76" s="40"/>
      <c r="AK76" s="42"/>
      <c r="AL76" s="40"/>
      <c r="AM76" s="40"/>
      <c r="AN76" s="43"/>
      <c r="AO76" s="40"/>
      <c r="AP76" s="40"/>
      <c r="AQ76" s="42"/>
      <c r="AR76" s="40"/>
      <c r="AS76" s="40"/>
      <c r="AT76" s="43"/>
      <c r="AU76" s="40"/>
      <c r="AV76" s="40"/>
      <c r="AW76" s="42"/>
      <c r="AX76" s="40"/>
      <c r="AY76" s="40"/>
      <c r="AZ76" s="43"/>
      <c r="BA76" s="40"/>
      <c r="BB76" s="40"/>
      <c r="BC76" s="42"/>
      <c r="BD76" s="40"/>
      <c r="BE76" s="40"/>
      <c r="BF76" s="43"/>
      <c r="BG76" s="40"/>
      <c r="BH76" s="40"/>
      <c r="BI76" s="42"/>
      <c r="BJ76" s="40"/>
      <c r="BK76" s="40"/>
      <c r="BL76" s="43"/>
      <c r="BM76" s="40"/>
      <c r="BN76" s="40"/>
      <c r="BO76" s="42"/>
      <c r="BP76" s="40"/>
      <c r="BQ76" s="40"/>
      <c r="BR76" s="43"/>
      <c r="BS76" s="40"/>
      <c r="BT76" s="40"/>
      <c r="BU76" s="42"/>
      <c r="BV76" s="40"/>
      <c r="BW76" s="40"/>
      <c r="BX76" s="43"/>
      <c r="BY76" s="40"/>
      <c r="BZ76" s="40"/>
      <c r="CA76" s="42"/>
      <c r="CB76" s="40" t="s">
        <v>402</v>
      </c>
      <c r="CC76" s="75">
        <v>30</v>
      </c>
      <c r="CD76" s="43">
        <v>31080</v>
      </c>
      <c r="CE76" s="40" t="s">
        <v>362</v>
      </c>
      <c r="CF76" s="40">
        <v>10</v>
      </c>
      <c r="CG76" s="42">
        <v>1411.74</v>
      </c>
      <c r="CH76" s="40"/>
      <c r="CI76" s="40"/>
      <c r="CJ76" s="43"/>
      <c r="CK76" s="40"/>
      <c r="CL76" s="40"/>
      <c r="CM76" s="42"/>
      <c r="CN76" s="40"/>
      <c r="CO76" s="40"/>
      <c r="CP76" s="43"/>
      <c r="CQ76" s="40"/>
      <c r="CR76" s="40"/>
      <c r="CS76" s="42"/>
      <c r="CT76" s="40"/>
      <c r="CU76" s="40"/>
      <c r="CV76" s="43"/>
      <c r="CW76" s="40"/>
      <c r="CX76" s="40"/>
      <c r="CY76" s="42"/>
      <c r="CZ76" s="40"/>
      <c r="DA76" s="40"/>
      <c r="DB76" s="43"/>
      <c r="DC76" s="40"/>
      <c r="DD76" s="74"/>
      <c r="DE76" s="69">
        <v>0</v>
      </c>
      <c r="DF76" s="40"/>
      <c r="DG76" s="40"/>
      <c r="DH76" s="68">
        <v>0</v>
      </c>
    </row>
    <row r="77" spans="1:112">
      <c r="A77" s="40">
        <v>86</v>
      </c>
      <c r="B77" s="40" t="s">
        <v>210</v>
      </c>
      <c r="C77" s="40">
        <v>5</v>
      </c>
      <c r="D77" s="29" t="s">
        <v>91</v>
      </c>
      <c r="E77" s="30">
        <v>28</v>
      </c>
      <c r="F77" s="30">
        <v>7</v>
      </c>
      <c r="G77" s="52">
        <v>18.260264000000006</v>
      </c>
      <c r="H77" s="68">
        <f t="shared" si="1"/>
        <v>54.82497</v>
      </c>
      <c r="I77" s="47">
        <v>18.260264000000006</v>
      </c>
      <c r="J77" s="43">
        <v>50</v>
      </c>
      <c r="K77" s="40" t="s">
        <v>323</v>
      </c>
      <c r="L77" s="40">
        <v>1</v>
      </c>
      <c r="M77" s="43">
        <v>50000</v>
      </c>
      <c r="N77" s="40" t="s">
        <v>408</v>
      </c>
      <c r="O77" s="40">
        <v>1</v>
      </c>
      <c r="P77" s="40">
        <v>1</v>
      </c>
      <c r="Q77" s="42">
        <v>54824.97</v>
      </c>
      <c r="R77" s="40"/>
      <c r="S77" s="40"/>
      <c r="T77" s="43"/>
      <c r="U77" s="40"/>
      <c r="V77" s="40"/>
      <c r="W77" s="42"/>
      <c r="X77" s="40"/>
      <c r="Y77" s="40"/>
      <c r="Z77" s="43"/>
      <c r="AA77" s="40"/>
      <c r="AB77" s="40"/>
      <c r="AC77" s="42"/>
      <c r="AD77" s="40"/>
      <c r="AE77" s="40"/>
      <c r="AF77" s="40"/>
      <c r="AG77" s="43"/>
      <c r="AH77" s="40"/>
      <c r="AI77" s="40"/>
      <c r="AJ77" s="40"/>
      <c r="AK77" s="42"/>
      <c r="AL77" s="40"/>
      <c r="AM77" s="40"/>
      <c r="AN77" s="43"/>
      <c r="AO77" s="40"/>
      <c r="AP77" s="40"/>
      <c r="AQ77" s="42"/>
      <c r="AR77" s="40"/>
      <c r="AS77" s="40"/>
      <c r="AT77" s="43"/>
      <c r="AU77" s="40"/>
      <c r="AV77" s="40"/>
      <c r="AW77" s="42"/>
      <c r="AX77" s="40"/>
      <c r="AY77" s="40"/>
      <c r="AZ77" s="43"/>
      <c r="BA77" s="40"/>
      <c r="BB77" s="40"/>
      <c r="BC77" s="42"/>
      <c r="BD77" s="40"/>
      <c r="BE77" s="40"/>
      <c r="BF77" s="43"/>
      <c r="BG77" s="40"/>
      <c r="BH77" s="40"/>
      <c r="BI77" s="42"/>
      <c r="BJ77" s="40"/>
      <c r="BK77" s="40"/>
      <c r="BL77" s="43"/>
      <c r="BM77" s="40"/>
      <c r="BN77" s="40"/>
      <c r="BO77" s="42"/>
      <c r="BP77" s="40"/>
      <c r="BQ77" s="40"/>
      <c r="BR77" s="43"/>
      <c r="BS77" s="40"/>
      <c r="BT77" s="40"/>
      <c r="BU77" s="42"/>
      <c r="BV77" s="40"/>
      <c r="BW77" s="40"/>
      <c r="BX77" s="43"/>
      <c r="BY77" s="40"/>
      <c r="BZ77" s="40"/>
      <c r="CA77" s="42"/>
      <c r="CB77" s="40"/>
      <c r="CC77" s="75"/>
      <c r="CD77" s="43"/>
      <c r="CE77" s="40"/>
      <c r="CF77" s="40"/>
      <c r="CG77" s="42"/>
      <c r="CH77" s="40"/>
      <c r="CI77" s="40"/>
      <c r="CJ77" s="43"/>
      <c r="CK77" s="40"/>
      <c r="CL77" s="40"/>
      <c r="CM77" s="42"/>
      <c r="CN77" s="40"/>
      <c r="CO77" s="40"/>
      <c r="CP77" s="43"/>
      <c r="CQ77" s="40"/>
      <c r="CR77" s="40"/>
      <c r="CS77" s="42"/>
      <c r="CT77" s="40"/>
      <c r="CU77" s="40"/>
      <c r="CV77" s="43"/>
      <c r="CW77" s="40"/>
      <c r="CX77" s="40"/>
      <c r="CY77" s="42"/>
      <c r="CZ77" s="40"/>
      <c r="DA77" s="40"/>
      <c r="DB77" s="43"/>
      <c r="DC77" s="40"/>
      <c r="DD77" s="74"/>
      <c r="DE77" s="69">
        <v>0</v>
      </c>
      <c r="DF77" s="40"/>
      <c r="DG77" s="40"/>
      <c r="DH77" s="68">
        <v>0</v>
      </c>
    </row>
    <row r="78" spans="1:112">
      <c r="A78" s="40">
        <v>87</v>
      </c>
      <c r="B78" s="40" t="s">
        <v>210</v>
      </c>
      <c r="C78" s="40">
        <v>5</v>
      </c>
      <c r="D78" s="29" t="s">
        <v>91</v>
      </c>
      <c r="E78" s="30">
        <v>30</v>
      </c>
      <c r="F78" s="30">
        <v>7</v>
      </c>
      <c r="G78" s="52">
        <v>29.028422000000003</v>
      </c>
      <c r="H78" s="68">
        <f t="shared" si="1"/>
        <v>49.189660000000003</v>
      </c>
      <c r="I78" s="47">
        <v>29.028422000000003</v>
      </c>
      <c r="J78" s="43">
        <v>79.599999999999994</v>
      </c>
      <c r="K78" s="40" t="s">
        <v>362</v>
      </c>
      <c r="L78" s="40">
        <v>1</v>
      </c>
      <c r="M78" s="43">
        <v>50000</v>
      </c>
      <c r="N78" s="40" t="s">
        <v>408</v>
      </c>
      <c r="O78" s="40">
        <v>1</v>
      </c>
      <c r="P78" s="40">
        <v>1</v>
      </c>
      <c r="Q78" s="42">
        <v>49189.66</v>
      </c>
      <c r="R78" s="40"/>
      <c r="S78" s="40"/>
      <c r="T78" s="43"/>
      <c r="U78" s="40"/>
      <c r="V78" s="40"/>
      <c r="W78" s="42"/>
      <c r="X78" s="40"/>
      <c r="Y78" s="40"/>
      <c r="Z78" s="43"/>
      <c r="AA78" s="40"/>
      <c r="AB78" s="40"/>
      <c r="AC78" s="42"/>
      <c r="AD78" s="40" t="s">
        <v>404</v>
      </c>
      <c r="AE78" s="40" t="s">
        <v>324</v>
      </c>
      <c r="AF78" s="40">
        <v>37</v>
      </c>
      <c r="AG78" s="43">
        <v>29600</v>
      </c>
      <c r="AH78" s="40"/>
      <c r="AI78" s="40"/>
      <c r="AJ78" s="40"/>
      <c r="AK78" s="42"/>
      <c r="AL78" s="40"/>
      <c r="AM78" s="40"/>
      <c r="AN78" s="43"/>
      <c r="AO78" s="40"/>
      <c r="AP78" s="40"/>
      <c r="AQ78" s="42"/>
      <c r="AR78" s="40"/>
      <c r="AS78" s="40"/>
      <c r="AT78" s="43"/>
      <c r="AU78" s="40"/>
      <c r="AV78" s="40"/>
      <c r="AW78" s="42"/>
      <c r="AX78" s="40"/>
      <c r="AY78" s="40"/>
      <c r="AZ78" s="43"/>
      <c r="BA78" s="40"/>
      <c r="BB78" s="40"/>
      <c r="BC78" s="42"/>
      <c r="BD78" s="40"/>
      <c r="BE78" s="40"/>
      <c r="BF78" s="43"/>
      <c r="BG78" s="40"/>
      <c r="BH78" s="40"/>
      <c r="BI78" s="42"/>
      <c r="BJ78" s="40"/>
      <c r="BK78" s="40"/>
      <c r="BL78" s="43"/>
      <c r="BM78" s="40"/>
      <c r="BN78" s="40"/>
      <c r="BO78" s="42"/>
      <c r="BP78" s="40"/>
      <c r="BQ78" s="40"/>
      <c r="BR78" s="43"/>
      <c r="BS78" s="40"/>
      <c r="BT78" s="40"/>
      <c r="BU78" s="42"/>
      <c r="BV78" s="40"/>
      <c r="BW78" s="40"/>
      <c r="BX78" s="43"/>
      <c r="BY78" s="40"/>
      <c r="BZ78" s="40"/>
      <c r="CA78" s="42"/>
      <c r="CB78" s="40"/>
      <c r="CC78" s="75"/>
      <c r="CD78" s="43"/>
      <c r="CE78" s="40"/>
      <c r="CF78" s="40"/>
      <c r="CG78" s="42"/>
      <c r="CH78" s="40"/>
      <c r="CI78" s="40"/>
      <c r="CJ78" s="43"/>
      <c r="CK78" s="40"/>
      <c r="CL78" s="40"/>
      <c r="CM78" s="42"/>
      <c r="CN78" s="40"/>
      <c r="CO78" s="40"/>
      <c r="CP78" s="43"/>
      <c r="CQ78" s="40"/>
      <c r="CR78" s="40"/>
      <c r="CS78" s="42"/>
      <c r="CT78" s="40"/>
      <c r="CU78" s="40"/>
      <c r="CV78" s="43"/>
      <c r="CW78" s="40"/>
      <c r="CX78" s="40"/>
      <c r="CY78" s="42"/>
      <c r="CZ78" s="40"/>
      <c r="DA78" s="40"/>
      <c r="DB78" s="43"/>
      <c r="DC78" s="40"/>
      <c r="DD78" s="74"/>
      <c r="DE78" s="69">
        <v>0</v>
      </c>
      <c r="DF78" s="40"/>
      <c r="DG78" s="40"/>
      <c r="DH78" s="68">
        <v>0</v>
      </c>
    </row>
    <row r="79" spans="1:112">
      <c r="A79" s="44">
        <v>88</v>
      </c>
      <c r="B79" s="44" t="s">
        <v>210</v>
      </c>
      <c r="C79" s="44">
        <v>5</v>
      </c>
      <c r="D79" s="33" t="s">
        <v>91</v>
      </c>
      <c r="E79" s="34">
        <v>38</v>
      </c>
      <c r="F79" s="34">
        <v>7</v>
      </c>
      <c r="G79" s="60">
        <v>-49.875259999999997</v>
      </c>
      <c r="H79" s="68">
        <f t="shared" si="1"/>
        <v>0</v>
      </c>
      <c r="I79" s="60">
        <v>-49.875259999999997</v>
      </c>
      <c r="J79" s="44">
        <v>0</v>
      </c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87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88"/>
      <c r="DE79" s="60">
        <v>0</v>
      </c>
      <c r="DF79" s="44"/>
      <c r="DG79" s="44"/>
      <c r="DH79" s="68">
        <v>0</v>
      </c>
    </row>
    <row r="80" spans="1:112">
      <c r="A80" s="40">
        <v>89</v>
      </c>
      <c r="B80" s="40" t="s">
        <v>210</v>
      </c>
      <c r="C80" s="40">
        <v>5</v>
      </c>
      <c r="D80" s="29" t="s">
        <v>91</v>
      </c>
      <c r="E80" s="30">
        <v>41</v>
      </c>
      <c r="F80" s="30">
        <v>7</v>
      </c>
      <c r="G80" s="52">
        <v>29.284588000000007</v>
      </c>
      <c r="H80" s="68">
        <f t="shared" si="1"/>
        <v>1.77596</v>
      </c>
      <c r="I80" s="47">
        <v>27.508628000000005</v>
      </c>
      <c r="J80" s="43">
        <v>29.28</v>
      </c>
      <c r="K80" s="40"/>
      <c r="L80" s="40"/>
      <c r="M80" s="43"/>
      <c r="N80" s="40"/>
      <c r="O80" s="40"/>
      <c r="P80" s="40"/>
      <c r="Q80" s="42"/>
      <c r="R80" s="40"/>
      <c r="S80" s="40"/>
      <c r="T80" s="43"/>
      <c r="U80" s="40"/>
      <c r="V80" s="40"/>
      <c r="W80" s="42"/>
      <c r="X80" s="40"/>
      <c r="Y80" s="40"/>
      <c r="Z80" s="43"/>
      <c r="AA80" s="40"/>
      <c r="AB80" s="40"/>
      <c r="AC80" s="42"/>
      <c r="AD80" s="40" t="s">
        <v>404</v>
      </c>
      <c r="AE80" s="40" t="s">
        <v>308</v>
      </c>
      <c r="AF80" s="40">
        <v>36.6</v>
      </c>
      <c r="AG80" s="43">
        <v>29280</v>
      </c>
      <c r="AH80" s="40"/>
      <c r="AI80" s="40"/>
      <c r="AJ80" s="40"/>
      <c r="AK80" s="42"/>
      <c r="AL80" s="40"/>
      <c r="AM80" s="40"/>
      <c r="AN80" s="43"/>
      <c r="AO80" s="40"/>
      <c r="AP80" s="40"/>
      <c r="AQ80" s="42"/>
      <c r="AR80" s="40"/>
      <c r="AS80" s="40"/>
      <c r="AT80" s="43"/>
      <c r="AU80" s="40"/>
      <c r="AV80" s="40"/>
      <c r="AW80" s="42"/>
      <c r="AX80" s="40"/>
      <c r="AY80" s="40"/>
      <c r="AZ80" s="43"/>
      <c r="BA80" s="40"/>
      <c r="BB80" s="40"/>
      <c r="BC80" s="42"/>
      <c r="BD80" s="40"/>
      <c r="BE80" s="40"/>
      <c r="BF80" s="43"/>
      <c r="BG80" s="40"/>
      <c r="BH80" s="40"/>
      <c r="BI80" s="42"/>
      <c r="BJ80" s="40"/>
      <c r="BK80" s="40"/>
      <c r="BL80" s="43"/>
      <c r="BM80" s="40"/>
      <c r="BN80" s="40"/>
      <c r="BO80" s="42"/>
      <c r="BP80" s="40"/>
      <c r="BQ80" s="40"/>
      <c r="BR80" s="43"/>
      <c r="BS80" s="40"/>
      <c r="BT80" s="40"/>
      <c r="BU80" s="42"/>
      <c r="BV80" s="40"/>
      <c r="BW80" s="40"/>
      <c r="BX80" s="43"/>
      <c r="BY80" s="40"/>
      <c r="BZ80" s="40"/>
      <c r="CA80" s="42"/>
      <c r="CB80" s="40"/>
      <c r="CC80" s="75"/>
      <c r="CD80" s="43"/>
      <c r="CE80" s="40"/>
      <c r="CF80" s="40"/>
      <c r="CG80" s="42"/>
      <c r="CH80" s="40"/>
      <c r="CI80" s="40"/>
      <c r="CJ80" s="43"/>
      <c r="CK80" s="40"/>
      <c r="CL80" s="40"/>
      <c r="CM80" s="42"/>
      <c r="CN80" s="40"/>
      <c r="CO80" s="40"/>
      <c r="CP80" s="43"/>
      <c r="CQ80" s="40"/>
      <c r="CR80" s="40"/>
      <c r="CS80" s="42"/>
      <c r="CT80" s="40"/>
      <c r="CU80" s="40"/>
      <c r="CV80" s="43"/>
      <c r="CW80" s="40"/>
      <c r="CX80" s="40"/>
      <c r="CY80" s="42"/>
      <c r="CZ80" s="40"/>
      <c r="DA80" s="40"/>
      <c r="DB80" s="43"/>
      <c r="DC80" s="40"/>
      <c r="DD80" s="74"/>
      <c r="DE80" s="69">
        <v>0</v>
      </c>
      <c r="DF80" s="44" t="s">
        <v>409</v>
      </c>
      <c r="DG80" s="40" t="s">
        <v>436</v>
      </c>
      <c r="DH80" s="68">
        <v>1775.96</v>
      </c>
    </row>
    <row r="81" spans="1:112">
      <c r="A81" s="40">
        <v>91</v>
      </c>
      <c r="B81" s="40" t="s">
        <v>210</v>
      </c>
      <c r="C81" s="40">
        <v>5</v>
      </c>
      <c r="D81" s="29" t="s">
        <v>91</v>
      </c>
      <c r="E81" s="30" t="s">
        <v>92</v>
      </c>
      <c r="F81" s="30">
        <v>7</v>
      </c>
      <c r="G81" s="52">
        <v>34.784833999999989</v>
      </c>
      <c r="H81" s="68">
        <f t="shared" si="1"/>
        <v>33.181190000000001</v>
      </c>
      <c r="I81" s="47">
        <v>34.784833999999989</v>
      </c>
      <c r="J81" s="43">
        <v>34.78</v>
      </c>
      <c r="K81" s="40"/>
      <c r="L81" s="40"/>
      <c r="M81" s="43"/>
      <c r="N81" s="40"/>
      <c r="O81" s="40"/>
      <c r="P81" s="40"/>
      <c r="Q81" s="42"/>
      <c r="R81" s="40"/>
      <c r="S81" s="40"/>
      <c r="T81" s="43"/>
      <c r="U81" s="40"/>
      <c r="V81" s="40"/>
      <c r="W81" s="42"/>
      <c r="X81" s="40"/>
      <c r="Y81" s="40"/>
      <c r="Z81" s="43"/>
      <c r="AA81" s="40"/>
      <c r="AB81" s="40"/>
      <c r="AC81" s="42"/>
      <c r="AD81" s="40"/>
      <c r="AE81" s="40"/>
      <c r="AF81" s="40"/>
      <c r="AG81" s="43"/>
      <c r="AH81" s="40"/>
      <c r="AI81" s="40"/>
      <c r="AJ81" s="40"/>
      <c r="AK81" s="42"/>
      <c r="AL81" s="40"/>
      <c r="AM81" s="40"/>
      <c r="AN81" s="43"/>
      <c r="AO81" s="40"/>
      <c r="AP81" s="40"/>
      <c r="AQ81" s="42"/>
      <c r="AR81" s="40"/>
      <c r="AS81" s="40"/>
      <c r="AT81" s="43"/>
      <c r="AU81" s="40"/>
      <c r="AV81" s="40"/>
      <c r="AW81" s="42"/>
      <c r="AX81" s="40"/>
      <c r="AY81" s="40"/>
      <c r="AZ81" s="43"/>
      <c r="BA81" s="40"/>
      <c r="BB81" s="40"/>
      <c r="BC81" s="42"/>
      <c r="BD81" s="40"/>
      <c r="BE81" s="40"/>
      <c r="BF81" s="43"/>
      <c r="BG81" s="40"/>
      <c r="BH81" s="40"/>
      <c r="BI81" s="42"/>
      <c r="BJ81" s="40"/>
      <c r="BK81" s="40"/>
      <c r="BL81" s="43"/>
      <c r="BM81" s="40"/>
      <c r="BN81" s="40"/>
      <c r="BO81" s="42"/>
      <c r="BP81" s="40"/>
      <c r="BQ81" s="40"/>
      <c r="BR81" s="43"/>
      <c r="BS81" s="40"/>
      <c r="BT81" s="40"/>
      <c r="BU81" s="42"/>
      <c r="BV81" s="40"/>
      <c r="BW81" s="40"/>
      <c r="BX81" s="43"/>
      <c r="BY81" s="40"/>
      <c r="BZ81" s="40"/>
      <c r="CA81" s="42"/>
      <c r="CB81" s="40"/>
      <c r="CC81" s="75"/>
      <c r="CD81" s="43"/>
      <c r="CE81" s="40"/>
      <c r="CF81" s="40"/>
      <c r="CG81" s="42"/>
      <c r="CH81" s="40"/>
      <c r="CI81" s="40"/>
      <c r="CJ81" s="43"/>
      <c r="CK81" s="40"/>
      <c r="CL81" s="40"/>
      <c r="CM81" s="42"/>
      <c r="CN81" s="40"/>
      <c r="CO81" s="40"/>
      <c r="CP81" s="43"/>
      <c r="CQ81" s="40"/>
      <c r="CR81" s="40"/>
      <c r="CS81" s="42"/>
      <c r="CT81" s="40"/>
      <c r="CU81" s="40"/>
      <c r="CV81" s="43"/>
      <c r="CW81" s="40"/>
      <c r="CX81" s="40"/>
      <c r="CY81" s="42"/>
      <c r="CZ81" s="40"/>
      <c r="DA81" s="40"/>
      <c r="DB81" s="43"/>
      <c r="DC81" s="40" t="s">
        <v>402</v>
      </c>
      <c r="DD81" s="74" t="s">
        <v>305</v>
      </c>
      <c r="DE81" s="69">
        <v>34780</v>
      </c>
      <c r="DF81" s="40" t="s">
        <v>403</v>
      </c>
      <c r="DG81" s="40" t="s">
        <v>480</v>
      </c>
      <c r="DH81" s="68">
        <v>33181.19</v>
      </c>
    </row>
    <row r="82" spans="1:112">
      <c r="A82" s="40">
        <v>92</v>
      </c>
      <c r="B82" s="40" t="s">
        <v>210</v>
      </c>
      <c r="C82" s="40">
        <v>5</v>
      </c>
      <c r="D82" s="29" t="s">
        <v>91</v>
      </c>
      <c r="E82" s="30">
        <v>60</v>
      </c>
      <c r="F82" s="30">
        <v>7</v>
      </c>
      <c r="G82" s="52">
        <v>25.149833999999998</v>
      </c>
      <c r="H82" s="68">
        <f t="shared" si="1"/>
        <v>0</v>
      </c>
      <c r="I82" s="47">
        <v>25.149833999999998</v>
      </c>
      <c r="J82" s="43">
        <v>24</v>
      </c>
      <c r="K82" s="40"/>
      <c r="L82" s="40"/>
      <c r="M82" s="43"/>
      <c r="N82" s="40"/>
      <c r="O82" s="40"/>
      <c r="P82" s="40"/>
      <c r="Q82" s="42"/>
      <c r="R82" s="40"/>
      <c r="S82" s="40"/>
      <c r="T82" s="43"/>
      <c r="U82" s="40"/>
      <c r="V82" s="40"/>
      <c r="W82" s="42"/>
      <c r="X82" s="40"/>
      <c r="Y82" s="40"/>
      <c r="Z82" s="43"/>
      <c r="AA82" s="40"/>
      <c r="AB82" s="40"/>
      <c r="AC82" s="42"/>
      <c r="AD82" s="40" t="s">
        <v>404</v>
      </c>
      <c r="AE82" s="40" t="s">
        <v>308</v>
      </c>
      <c r="AF82" s="40">
        <v>30</v>
      </c>
      <c r="AG82" s="43">
        <v>24000</v>
      </c>
      <c r="AH82" s="40"/>
      <c r="AI82" s="40"/>
      <c r="AJ82" s="40"/>
      <c r="AK82" s="42"/>
      <c r="AL82" s="40"/>
      <c r="AM82" s="40"/>
      <c r="AN82" s="43"/>
      <c r="AO82" s="40"/>
      <c r="AP82" s="40"/>
      <c r="AQ82" s="42"/>
      <c r="AR82" s="40"/>
      <c r="AS82" s="40"/>
      <c r="AT82" s="43"/>
      <c r="AU82" s="40"/>
      <c r="AV82" s="40"/>
      <c r="AW82" s="42"/>
      <c r="AX82" s="40"/>
      <c r="AY82" s="40"/>
      <c r="AZ82" s="43"/>
      <c r="BA82" s="40"/>
      <c r="BB82" s="40"/>
      <c r="BC82" s="42"/>
      <c r="BD82" s="40"/>
      <c r="BE82" s="40"/>
      <c r="BF82" s="43"/>
      <c r="BG82" s="40"/>
      <c r="BH82" s="40"/>
      <c r="BI82" s="42"/>
      <c r="BJ82" s="40"/>
      <c r="BK82" s="40"/>
      <c r="BL82" s="43"/>
      <c r="BM82" s="40"/>
      <c r="BN82" s="40"/>
      <c r="BO82" s="42"/>
      <c r="BP82" s="40"/>
      <c r="BQ82" s="40"/>
      <c r="BR82" s="43"/>
      <c r="BS82" s="40"/>
      <c r="BT82" s="40"/>
      <c r="BU82" s="42"/>
      <c r="BV82" s="40"/>
      <c r="BW82" s="40"/>
      <c r="BX82" s="43"/>
      <c r="BY82" s="40"/>
      <c r="BZ82" s="40"/>
      <c r="CA82" s="42"/>
      <c r="CB82" s="40"/>
      <c r="CC82" s="75"/>
      <c r="CD82" s="43"/>
      <c r="CE82" s="40"/>
      <c r="CF82" s="40"/>
      <c r="CG82" s="42"/>
      <c r="CH82" s="40"/>
      <c r="CI82" s="40"/>
      <c r="CJ82" s="43"/>
      <c r="CK82" s="40"/>
      <c r="CL82" s="40"/>
      <c r="CM82" s="42"/>
      <c r="CN82" s="40"/>
      <c r="CO82" s="40"/>
      <c r="CP82" s="43"/>
      <c r="CQ82" s="40"/>
      <c r="CR82" s="40"/>
      <c r="CS82" s="42"/>
      <c r="CT82" s="40"/>
      <c r="CU82" s="40"/>
      <c r="CV82" s="43"/>
      <c r="CW82" s="40"/>
      <c r="CX82" s="40"/>
      <c r="CY82" s="42"/>
      <c r="CZ82" s="40"/>
      <c r="DA82" s="40"/>
      <c r="DB82" s="43"/>
      <c r="DC82" s="40"/>
      <c r="DD82" s="74"/>
      <c r="DE82" s="69">
        <v>0</v>
      </c>
      <c r="DF82" s="40"/>
      <c r="DG82" s="40"/>
      <c r="DH82" s="68">
        <v>0</v>
      </c>
    </row>
    <row r="83" spans="1:112">
      <c r="A83" s="40">
        <v>93</v>
      </c>
      <c r="B83" s="40" t="s">
        <v>210</v>
      </c>
      <c r="C83" s="40">
        <v>5</v>
      </c>
      <c r="D83" s="29" t="s">
        <v>91</v>
      </c>
      <c r="E83" s="30">
        <v>62</v>
      </c>
      <c r="F83" s="30">
        <v>7</v>
      </c>
      <c r="G83" s="52">
        <v>22.346472000000006</v>
      </c>
      <c r="H83" s="68">
        <f t="shared" si="1"/>
        <v>0</v>
      </c>
      <c r="I83" s="47">
        <v>22.346472000000006</v>
      </c>
      <c r="J83" s="43">
        <v>22.5</v>
      </c>
      <c r="K83" s="40"/>
      <c r="L83" s="40"/>
      <c r="M83" s="43"/>
      <c r="N83" s="40"/>
      <c r="O83" s="40"/>
      <c r="P83" s="40"/>
      <c r="Q83" s="42"/>
      <c r="R83" s="40"/>
      <c r="S83" s="40"/>
      <c r="T83" s="43"/>
      <c r="U83" s="40"/>
      <c r="V83" s="40"/>
      <c r="W83" s="42"/>
      <c r="X83" s="40"/>
      <c r="Y83" s="40"/>
      <c r="Z83" s="43"/>
      <c r="AA83" s="40"/>
      <c r="AB83" s="40"/>
      <c r="AC83" s="42"/>
      <c r="AD83" s="40"/>
      <c r="AE83" s="40"/>
      <c r="AF83" s="40"/>
      <c r="AG83" s="43"/>
      <c r="AH83" s="40"/>
      <c r="AI83" s="40"/>
      <c r="AJ83" s="40"/>
      <c r="AK83" s="42"/>
      <c r="AL83" s="40"/>
      <c r="AM83" s="40"/>
      <c r="AN83" s="43"/>
      <c r="AO83" s="40"/>
      <c r="AP83" s="40"/>
      <c r="AQ83" s="42"/>
      <c r="AR83" s="40"/>
      <c r="AS83" s="40"/>
      <c r="AT83" s="43"/>
      <c r="AU83" s="40"/>
      <c r="AV83" s="40"/>
      <c r="AW83" s="42"/>
      <c r="AX83" s="40"/>
      <c r="AY83" s="40"/>
      <c r="AZ83" s="43"/>
      <c r="BA83" s="40"/>
      <c r="BB83" s="40"/>
      <c r="BC83" s="42"/>
      <c r="BD83" s="40"/>
      <c r="BE83" s="40"/>
      <c r="BF83" s="43"/>
      <c r="BG83" s="40"/>
      <c r="BH83" s="40"/>
      <c r="BI83" s="42"/>
      <c r="BJ83" s="40"/>
      <c r="BK83" s="40"/>
      <c r="BL83" s="43"/>
      <c r="BM83" s="40"/>
      <c r="BN83" s="40"/>
      <c r="BO83" s="42"/>
      <c r="BP83" s="40"/>
      <c r="BQ83" s="40"/>
      <c r="BR83" s="43"/>
      <c r="BS83" s="40"/>
      <c r="BT83" s="40"/>
      <c r="BU83" s="42"/>
      <c r="BV83" s="40"/>
      <c r="BW83" s="40"/>
      <c r="BX83" s="43"/>
      <c r="BY83" s="40"/>
      <c r="BZ83" s="40"/>
      <c r="CA83" s="42"/>
      <c r="CB83" s="40"/>
      <c r="CC83" s="75"/>
      <c r="CD83" s="43"/>
      <c r="CE83" s="40"/>
      <c r="CF83" s="40"/>
      <c r="CG83" s="42"/>
      <c r="CH83" s="40"/>
      <c r="CI83" s="40"/>
      <c r="CJ83" s="43"/>
      <c r="CK83" s="40"/>
      <c r="CL83" s="40"/>
      <c r="CM83" s="42"/>
      <c r="CN83" s="40" t="s">
        <v>402</v>
      </c>
      <c r="CO83" s="40">
        <v>15</v>
      </c>
      <c r="CP83" s="43">
        <v>22500</v>
      </c>
      <c r="CQ83" s="40"/>
      <c r="CR83" s="40"/>
      <c r="CS83" s="42"/>
      <c r="CT83" s="40"/>
      <c r="CU83" s="40"/>
      <c r="CV83" s="43"/>
      <c r="CW83" s="40"/>
      <c r="CX83" s="40"/>
      <c r="CY83" s="42"/>
      <c r="CZ83" s="40"/>
      <c r="DA83" s="40"/>
      <c r="DB83" s="43"/>
      <c r="DC83" s="40"/>
      <c r="DD83" s="74"/>
      <c r="DE83" s="69">
        <v>0</v>
      </c>
      <c r="DF83" s="40"/>
      <c r="DG83" s="40"/>
      <c r="DH83" s="68">
        <v>0</v>
      </c>
    </row>
    <row r="84" spans="1:112">
      <c r="A84" s="40">
        <v>95</v>
      </c>
      <c r="B84" s="40" t="s">
        <v>210</v>
      </c>
      <c r="C84" s="40">
        <v>5</v>
      </c>
      <c r="D84" s="29" t="s">
        <v>91</v>
      </c>
      <c r="E84" s="30" t="s">
        <v>94</v>
      </c>
      <c r="F84" s="30">
        <v>7</v>
      </c>
      <c r="G84" s="52">
        <v>43.919556</v>
      </c>
      <c r="H84" s="68">
        <f t="shared" si="1"/>
        <v>65.705759999999998</v>
      </c>
      <c r="I84" s="47">
        <v>43.919556</v>
      </c>
      <c r="J84" s="43">
        <v>43.92</v>
      </c>
      <c r="K84" s="40"/>
      <c r="L84" s="40"/>
      <c r="M84" s="43"/>
      <c r="N84" s="40"/>
      <c r="O84" s="40"/>
      <c r="P84" s="40"/>
      <c r="Q84" s="42"/>
      <c r="R84" s="40"/>
      <c r="S84" s="40"/>
      <c r="T84" s="43"/>
      <c r="U84" s="40"/>
      <c r="V84" s="40"/>
      <c r="W84" s="42"/>
      <c r="X84" s="40"/>
      <c r="Y84" s="40"/>
      <c r="Z84" s="43"/>
      <c r="AA84" s="40"/>
      <c r="AB84" s="40"/>
      <c r="AC84" s="42"/>
      <c r="AD84" s="40" t="s">
        <v>402</v>
      </c>
      <c r="AE84" s="40" t="s">
        <v>308</v>
      </c>
      <c r="AF84" s="40">
        <v>55</v>
      </c>
      <c r="AG84" s="43">
        <v>43920</v>
      </c>
      <c r="AH84" s="40"/>
      <c r="AI84" s="40"/>
      <c r="AJ84" s="40"/>
      <c r="AK84" s="42"/>
      <c r="AL84" s="40"/>
      <c r="AM84" s="40"/>
      <c r="AN84" s="43"/>
      <c r="AO84" s="40"/>
      <c r="AP84" s="40"/>
      <c r="AQ84" s="42"/>
      <c r="AR84" s="40"/>
      <c r="AS84" s="40"/>
      <c r="AT84" s="43"/>
      <c r="AU84" s="40"/>
      <c r="AV84" s="40"/>
      <c r="AW84" s="42"/>
      <c r="AX84" s="40"/>
      <c r="AY84" s="40"/>
      <c r="AZ84" s="43"/>
      <c r="BA84" s="40"/>
      <c r="BB84" s="40"/>
      <c r="BC84" s="42"/>
      <c r="BD84" s="40"/>
      <c r="BE84" s="40"/>
      <c r="BF84" s="43"/>
      <c r="BG84" s="40"/>
      <c r="BH84" s="40"/>
      <c r="BI84" s="42"/>
      <c r="BJ84" s="40"/>
      <c r="BK84" s="40"/>
      <c r="BL84" s="43"/>
      <c r="BM84" s="40"/>
      <c r="BN84" s="40"/>
      <c r="BO84" s="42"/>
      <c r="BP84" s="40"/>
      <c r="BQ84" s="40"/>
      <c r="BR84" s="43"/>
      <c r="BS84" s="40"/>
      <c r="BT84" s="40"/>
      <c r="BU84" s="42"/>
      <c r="BV84" s="40"/>
      <c r="BW84" s="40"/>
      <c r="BX84" s="43"/>
      <c r="BY84" s="40" t="s">
        <v>404</v>
      </c>
      <c r="BZ84" s="40">
        <v>6</v>
      </c>
      <c r="CA84" s="42">
        <v>65705.759999999995</v>
      </c>
      <c r="CB84" s="40"/>
      <c r="CC84" s="75"/>
      <c r="CD84" s="43"/>
      <c r="CE84" s="40"/>
      <c r="CF84" s="40"/>
      <c r="CG84" s="42"/>
      <c r="CH84" s="40"/>
      <c r="CI84" s="40"/>
      <c r="CJ84" s="43"/>
      <c r="CK84" s="40"/>
      <c r="CL84" s="40"/>
      <c r="CM84" s="42"/>
      <c r="CN84" s="40"/>
      <c r="CO84" s="40"/>
      <c r="CP84" s="43"/>
      <c r="CQ84" s="40"/>
      <c r="CR84" s="40"/>
      <c r="CS84" s="42"/>
      <c r="CT84" s="40"/>
      <c r="CU84" s="40"/>
      <c r="CV84" s="43"/>
      <c r="CW84" s="40"/>
      <c r="CX84" s="40"/>
      <c r="CY84" s="42"/>
      <c r="CZ84" s="40"/>
      <c r="DA84" s="40"/>
      <c r="DB84" s="43"/>
      <c r="DC84" s="40"/>
      <c r="DD84" s="74"/>
      <c r="DE84" s="69">
        <v>0</v>
      </c>
      <c r="DF84" s="40"/>
      <c r="DG84" s="40"/>
      <c r="DH84" s="68">
        <v>0</v>
      </c>
    </row>
    <row r="85" spans="1:112">
      <c r="A85" s="40">
        <v>102</v>
      </c>
      <c r="B85" s="40" t="s">
        <v>210</v>
      </c>
      <c r="C85" s="40">
        <v>5</v>
      </c>
      <c r="D85" s="29" t="s">
        <v>98</v>
      </c>
      <c r="E85" s="30">
        <v>86</v>
      </c>
      <c r="F85" s="30">
        <v>7</v>
      </c>
      <c r="G85" s="52">
        <v>48.710958000000012</v>
      </c>
      <c r="H85" s="68">
        <f t="shared" si="1"/>
        <v>0</v>
      </c>
      <c r="I85" s="47">
        <v>48.710958000000012</v>
      </c>
      <c r="J85" s="43">
        <v>48.71</v>
      </c>
      <c r="K85" s="40"/>
      <c r="L85" s="40"/>
      <c r="M85" s="43"/>
      <c r="N85" s="40"/>
      <c r="O85" s="40"/>
      <c r="P85" s="40"/>
      <c r="Q85" s="42"/>
      <c r="R85" s="40"/>
      <c r="S85" s="40"/>
      <c r="T85" s="43"/>
      <c r="U85" s="40"/>
      <c r="V85" s="40"/>
      <c r="W85" s="42"/>
      <c r="X85" s="40"/>
      <c r="Y85" s="40"/>
      <c r="Z85" s="43"/>
      <c r="AA85" s="40"/>
      <c r="AB85" s="40"/>
      <c r="AC85" s="42"/>
      <c r="AD85" s="40"/>
      <c r="AE85" s="40"/>
      <c r="AF85" s="40"/>
      <c r="AG85" s="43"/>
      <c r="AH85" s="40"/>
      <c r="AI85" s="40"/>
      <c r="AJ85" s="40"/>
      <c r="AK85" s="42"/>
      <c r="AL85" s="40"/>
      <c r="AM85" s="40"/>
      <c r="AN85" s="43"/>
      <c r="AO85" s="40"/>
      <c r="AP85" s="40"/>
      <c r="AQ85" s="42"/>
      <c r="AR85" s="40"/>
      <c r="AS85" s="40"/>
      <c r="AT85" s="43"/>
      <c r="AU85" s="40"/>
      <c r="AV85" s="40"/>
      <c r="AW85" s="42"/>
      <c r="AX85" s="40"/>
      <c r="AY85" s="40"/>
      <c r="AZ85" s="43"/>
      <c r="BA85" s="40"/>
      <c r="BB85" s="40"/>
      <c r="BC85" s="42"/>
      <c r="BD85" s="40"/>
      <c r="BE85" s="40"/>
      <c r="BF85" s="43"/>
      <c r="BG85" s="40"/>
      <c r="BH85" s="40"/>
      <c r="BI85" s="42"/>
      <c r="BJ85" s="40"/>
      <c r="BK85" s="40"/>
      <c r="BL85" s="43"/>
      <c r="BM85" s="40"/>
      <c r="BN85" s="40"/>
      <c r="BO85" s="42"/>
      <c r="BP85" s="40"/>
      <c r="BQ85" s="40"/>
      <c r="BR85" s="43"/>
      <c r="BS85" s="40"/>
      <c r="BT85" s="40"/>
      <c r="BU85" s="42"/>
      <c r="BV85" s="40"/>
      <c r="BW85" s="40"/>
      <c r="BX85" s="43"/>
      <c r="BY85" s="40"/>
      <c r="BZ85" s="40"/>
      <c r="CA85" s="42"/>
      <c r="CB85" s="40"/>
      <c r="CC85" s="75"/>
      <c r="CD85" s="43"/>
      <c r="CE85" s="40"/>
      <c r="CF85" s="40"/>
      <c r="CG85" s="42"/>
      <c r="CH85" s="40"/>
      <c r="CI85" s="40"/>
      <c r="CJ85" s="43"/>
      <c r="CK85" s="40"/>
      <c r="CL85" s="40"/>
      <c r="CM85" s="42"/>
      <c r="CN85" s="40"/>
      <c r="CO85" s="40"/>
      <c r="CP85" s="43"/>
      <c r="CQ85" s="40"/>
      <c r="CR85" s="40"/>
      <c r="CS85" s="42"/>
      <c r="CT85" s="40"/>
      <c r="CU85" s="40"/>
      <c r="CV85" s="43"/>
      <c r="CW85" s="40"/>
      <c r="CX85" s="40"/>
      <c r="CY85" s="42"/>
      <c r="CZ85" s="40"/>
      <c r="DA85" s="40"/>
      <c r="DB85" s="43"/>
      <c r="DC85" s="40" t="s">
        <v>407</v>
      </c>
      <c r="DD85" s="75" t="s">
        <v>394</v>
      </c>
      <c r="DE85" s="69">
        <v>48710</v>
      </c>
      <c r="DF85" s="40"/>
      <c r="DG85" s="40"/>
      <c r="DH85" s="68">
        <v>0</v>
      </c>
    </row>
    <row r="86" spans="1:112">
      <c r="A86" s="40">
        <v>103</v>
      </c>
      <c r="B86" s="40" t="s">
        <v>210</v>
      </c>
      <c r="C86" s="40">
        <v>5</v>
      </c>
      <c r="D86" s="29" t="s">
        <v>98</v>
      </c>
      <c r="E86" s="30">
        <v>88</v>
      </c>
      <c r="F86" s="30">
        <v>7</v>
      </c>
      <c r="G86" s="52">
        <v>22.289935999999997</v>
      </c>
      <c r="H86" s="68">
        <f t="shared" si="1"/>
        <v>28.502790000000001</v>
      </c>
      <c r="I86" s="47">
        <v>-6.2130640000000028</v>
      </c>
      <c r="J86" s="43">
        <v>22.4</v>
      </c>
      <c r="K86" s="40"/>
      <c r="L86" s="40"/>
      <c r="M86" s="43"/>
      <c r="N86" s="40"/>
      <c r="O86" s="40"/>
      <c r="P86" s="40"/>
      <c r="Q86" s="42"/>
      <c r="R86" s="40"/>
      <c r="S86" s="40"/>
      <c r="T86" s="43"/>
      <c r="U86" s="40"/>
      <c r="V86" s="40"/>
      <c r="W86" s="42"/>
      <c r="X86" s="40"/>
      <c r="Y86" s="40"/>
      <c r="Z86" s="43"/>
      <c r="AA86" s="40"/>
      <c r="AB86" s="40"/>
      <c r="AC86" s="42"/>
      <c r="AD86" s="40" t="s">
        <v>402</v>
      </c>
      <c r="AE86" s="40" t="s">
        <v>308</v>
      </c>
      <c r="AF86" s="40">
        <v>28</v>
      </c>
      <c r="AG86" s="43">
        <v>22400</v>
      </c>
      <c r="AH86" s="44" t="s">
        <v>362</v>
      </c>
      <c r="AI86" s="40">
        <v>20</v>
      </c>
      <c r="AJ86" s="40"/>
      <c r="AK86" s="42">
        <v>28502.79</v>
      </c>
      <c r="AL86" s="40"/>
      <c r="AM86" s="40"/>
      <c r="AN86" s="43"/>
      <c r="AO86" s="40"/>
      <c r="AP86" s="40"/>
      <c r="AQ86" s="42"/>
      <c r="AR86" s="40"/>
      <c r="AS86" s="40"/>
      <c r="AT86" s="43"/>
      <c r="AU86" s="40"/>
      <c r="AV86" s="40"/>
      <c r="AW86" s="42"/>
      <c r="AX86" s="40"/>
      <c r="AY86" s="40"/>
      <c r="AZ86" s="43"/>
      <c r="BA86" s="40"/>
      <c r="BB86" s="40"/>
      <c r="BC86" s="42"/>
      <c r="BD86" s="40"/>
      <c r="BE86" s="40"/>
      <c r="BF86" s="43"/>
      <c r="BG86" s="40"/>
      <c r="BH86" s="40"/>
      <c r="BI86" s="42"/>
      <c r="BJ86" s="40"/>
      <c r="BK86" s="40"/>
      <c r="BL86" s="43"/>
      <c r="BM86" s="40"/>
      <c r="BN86" s="40"/>
      <c r="BO86" s="42"/>
      <c r="BP86" s="40"/>
      <c r="BQ86" s="40"/>
      <c r="BR86" s="43"/>
      <c r="BS86" s="40"/>
      <c r="BT86" s="40"/>
      <c r="BU86" s="42"/>
      <c r="BV86" s="40"/>
      <c r="BW86" s="40"/>
      <c r="BX86" s="43"/>
      <c r="BY86" s="40"/>
      <c r="BZ86" s="40"/>
      <c r="CA86" s="42"/>
      <c r="CB86" s="40"/>
      <c r="CC86" s="75"/>
      <c r="CD86" s="43"/>
      <c r="CE86" s="40"/>
      <c r="CF86" s="40"/>
      <c r="CG86" s="42"/>
      <c r="CH86" s="40"/>
      <c r="CI86" s="40"/>
      <c r="CJ86" s="43"/>
      <c r="CK86" s="40"/>
      <c r="CL86" s="40"/>
      <c r="CM86" s="42"/>
      <c r="CN86" s="40"/>
      <c r="CO86" s="40"/>
      <c r="CP86" s="43"/>
      <c r="CQ86" s="40"/>
      <c r="CR86" s="40"/>
      <c r="CS86" s="42"/>
      <c r="CT86" s="40"/>
      <c r="CU86" s="40"/>
      <c r="CV86" s="43"/>
      <c r="CW86" s="40"/>
      <c r="CX86" s="40"/>
      <c r="CY86" s="42"/>
      <c r="CZ86" s="40"/>
      <c r="DA86" s="40"/>
      <c r="DB86" s="43"/>
      <c r="DC86" s="40"/>
      <c r="DD86" s="75"/>
      <c r="DE86" s="69">
        <v>0</v>
      </c>
      <c r="DF86" s="40"/>
      <c r="DG86" s="40"/>
      <c r="DH86" s="68">
        <v>0</v>
      </c>
    </row>
    <row r="87" spans="1:112">
      <c r="A87" s="40">
        <v>104</v>
      </c>
      <c r="B87" s="40" t="s">
        <v>210</v>
      </c>
      <c r="C87" s="40">
        <v>5</v>
      </c>
      <c r="D87" s="29" t="s">
        <v>98</v>
      </c>
      <c r="E87" s="30" t="s">
        <v>99</v>
      </c>
      <c r="F87" s="30">
        <v>7</v>
      </c>
      <c r="G87" s="52">
        <v>15.826101999999999</v>
      </c>
      <c r="H87" s="68">
        <f t="shared" si="1"/>
        <v>0</v>
      </c>
      <c r="I87" s="47">
        <v>15.826101999999999</v>
      </c>
      <c r="J87" s="43">
        <v>15.83</v>
      </c>
      <c r="K87" s="40"/>
      <c r="L87" s="40"/>
      <c r="M87" s="43"/>
      <c r="N87" s="40"/>
      <c r="O87" s="40"/>
      <c r="P87" s="40"/>
      <c r="Q87" s="42"/>
      <c r="R87" s="40"/>
      <c r="S87" s="40"/>
      <c r="T87" s="43"/>
      <c r="U87" s="40"/>
      <c r="V87" s="40"/>
      <c r="W87" s="42"/>
      <c r="X87" s="40"/>
      <c r="Y87" s="40"/>
      <c r="Z87" s="43"/>
      <c r="AA87" s="40"/>
      <c r="AB87" s="40"/>
      <c r="AC87" s="42"/>
      <c r="AD87" s="40" t="s">
        <v>402</v>
      </c>
      <c r="AE87" s="40" t="s">
        <v>308</v>
      </c>
      <c r="AF87" s="40">
        <v>20</v>
      </c>
      <c r="AG87" s="43">
        <v>15830</v>
      </c>
      <c r="AH87" s="40"/>
      <c r="AI87" s="40"/>
      <c r="AJ87" s="40"/>
      <c r="AK87" s="42"/>
      <c r="AL87" s="40"/>
      <c r="AM87" s="40"/>
      <c r="AN87" s="43"/>
      <c r="AO87" s="40"/>
      <c r="AP87" s="40"/>
      <c r="AQ87" s="42"/>
      <c r="AR87" s="40"/>
      <c r="AS87" s="40"/>
      <c r="AT87" s="43"/>
      <c r="AU87" s="40"/>
      <c r="AV87" s="40"/>
      <c r="AW87" s="42"/>
      <c r="AX87" s="40"/>
      <c r="AY87" s="40"/>
      <c r="AZ87" s="43"/>
      <c r="BA87" s="40"/>
      <c r="BB87" s="40"/>
      <c r="BC87" s="42"/>
      <c r="BD87" s="40"/>
      <c r="BE87" s="40"/>
      <c r="BF87" s="43"/>
      <c r="BG87" s="40"/>
      <c r="BH87" s="40"/>
      <c r="BI87" s="42"/>
      <c r="BJ87" s="40"/>
      <c r="BK87" s="40"/>
      <c r="BL87" s="43"/>
      <c r="BM87" s="40"/>
      <c r="BN87" s="40"/>
      <c r="BO87" s="42"/>
      <c r="BP87" s="40"/>
      <c r="BQ87" s="40"/>
      <c r="BR87" s="43"/>
      <c r="BS87" s="40"/>
      <c r="BT87" s="40"/>
      <c r="BU87" s="42"/>
      <c r="BV87" s="40"/>
      <c r="BW87" s="40"/>
      <c r="BX87" s="43"/>
      <c r="BY87" s="40"/>
      <c r="BZ87" s="40"/>
      <c r="CA87" s="42"/>
      <c r="CB87" s="40"/>
      <c r="CC87" s="75"/>
      <c r="CD87" s="43"/>
      <c r="CE87" s="40"/>
      <c r="CF87" s="40"/>
      <c r="CG87" s="42"/>
      <c r="CH87" s="40"/>
      <c r="CI87" s="40"/>
      <c r="CJ87" s="43"/>
      <c r="CK87" s="40"/>
      <c r="CL87" s="40"/>
      <c r="CM87" s="42"/>
      <c r="CN87" s="40"/>
      <c r="CO87" s="40"/>
      <c r="CP87" s="43"/>
      <c r="CQ87" s="40"/>
      <c r="CR87" s="40"/>
      <c r="CS87" s="42"/>
      <c r="CT87" s="40"/>
      <c r="CU87" s="40"/>
      <c r="CV87" s="43"/>
      <c r="CW87" s="40"/>
      <c r="CX87" s="40"/>
      <c r="CY87" s="42"/>
      <c r="CZ87" s="40"/>
      <c r="DA87" s="40"/>
      <c r="DB87" s="43"/>
      <c r="DC87" s="40"/>
      <c r="DD87" s="75"/>
      <c r="DE87" s="69">
        <v>0</v>
      </c>
      <c r="DF87" s="40"/>
      <c r="DG87" s="40"/>
      <c r="DH87" s="68">
        <v>0</v>
      </c>
    </row>
    <row r="88" spans="1:112">
      <c r="A88" s="40">
        <v>105</v>
      </c>
      <c r="B88" s="40" t="s">
        <v>210</v>
      </c>
      <c r="C88" s="40">
        <v>5</v>
      </c>
      <c r="D88" s="29" t="s">
        <v>98</v>
      </c>
      <c r="E88" s="30" t="s">
        <v>100</v>
      </c>
      <c r="F88" s="30">
        <v>7</v>
      </c>
      <c r="G88" s="52">
        <v>46.93840800000001</v>
      </c>
      <c r="H88" s="68">
        <f t="shared" si="1"/>
        <v>0</v>
      </c>
      <c r="I88" s="47">
        <v>46.93840800000001</v>
      </c>
      <c r="J88" s="43">
        <v>46.4</v>
      </c>
      <c r="K88" s="40"/>
      <c r="L88" s="40"/>
      <c r="M88" s="43"/>
      <c r="N88" s="40"/>
      <c r="O88" s="40"/>
      <c r="P88" s="40"/>
      <c r="Q88" s="42"/>
      <c r="R88" s="40"/>
      <c r="S88" s="40"/>
      <c r="T88" s="43"/>
      <c r="U88" s="40"/>
      <c r="V88" s="40"/>
      <c r="W88" s="42"/>
      <c r="X88" s="40"/>
      <c r="Y88" s="40"/>
      <c r="Z88" s="43"/>
      <c r="AA88" s="40"/>
      <c r="AB88" s="40"/>
      <c r="AC88" s="42"/>
      <c r="AD88" s="40" t="s">
        <v>402</v>
      </c>
      <c r="AE88" s="40" t="s">
        <v>308</v>
      </c>
      <c r="AF88" s="40">
        <v>58</v>
      </c>
      <c r="AG88" s="43">
        <v>46400</v>
      </c>
      <c r="AH88" s="40"/>
      <c r="AI88" s="40"/>
      <c r="AJ88" s="40"/>
      <c r="AK88" s="42"/>
      <c r="AL88" s="40"/>
      <c r="AM88" s="40"/>
      <c r="AN88" s="43"/>
      <c r="AO88" s="40"/>
      <c r="AP88" s="40"/>
      <c r="AQ88" s="42"/>
      <c r="AR88" s="40"/>
      <c r="AS88" s="40"/>
      <c r="AT88" s="43"/>
      <c r="AU88" s="40"/>
      <c r="AV88" s="40"/>
      <c r="AW88" s="42"/>
      <c r="AX88" s="40"/>
      <c r="AY88" s="40"/>
      <c r="AZ88" s="43"/>
      <c r="BA88" s="40"/>
      <c r="BB88" s="40"/>
      <c r="BC88" s="42"/>
      <c r="BD88" s="40"/>
      <c r="BE88" s="40"/>
      <c r="BF88" s="43"/>
      <c r="BG88" s="40"/>
      <c r="BH88" s="40"/>
      <c r="BI88" s="42"/>
      <c r="BJ88" s="40"/>
      <c r="BK88" s="40"/>
      <c r="BL88" s="43"/>
      <c r="BM88" s="40"/>
      <c r="BN88" s="40"/>
      <c r="BO88" s="42"/>
      <c r="BP88" s="40"/>
      <c r="BQ88" s="40"/>
      <c r="BR88" s="43"/>
      <c r="BS88" s="40"/>
      <c r="BT88" s="40"/>
      <c r="BU88" s="42"/>
      <c r="BV88" s="40"/>
      <c r="BW88" s="40"/>
      <c r="BX88" s="43"/>
      <c r="BY88" s="40"/>
      <c r="BZ88" s="40"/>
      <c r="CA88" s="42"/>
      <c r="CB88" s="40"/>
      <c r="CC88" s="75"/>
      <c r="CD88" s="43"/>
      <c r="CE88" s="40"/>
      <c r="CF88" s="40"/>
      <c r="CG88" s="42"/>
      <c r="CH88" s="40"/>
      <c r="CI88" s="40"/>
      <c r="CJ88" s="43"/>
      <c r="CK88" s="40"/>
      <c r="CL88" s="40"/>
      <c r="CM88" s="42"/>
      <c r="CN88" s="40"/>
      <c r="CO88" s="40"/>
      <c r="CP88" s="43"/>
      <c r="CQ88" s="40"/>
      <c r="CR88" s="40"/>
      <c r="CS88" s="42"/>
      <c r="CT88" s="40"/>
      <c r="CU88" s="40"/>
      <c r="CV88" s="43"/>
      <c r="CW88" s="40"/>
      <c r="CX88" s="40"/>
      <c r="CY88" s="42"/>
      <c r="CZ88" s="40"/>
      <c r="DA88" s="40"/>
      <c r="DB88" s="43"/>
      <c r="DC88" s="40"/>
      <c r="DD88" s="75"/>
      <c r="DE88" s="69">
        <v>0</v>
      </c>
      <c r="DF88" s="40"/>
      <c r="DG88" s="40"/>
      <c r="DH88" s="68">
        <v>0</v>
      </c>
    </row>
    <row r="89" spans="1:112">
      <c r="A89" s="44">
        <v>106</v>
      </c>
      <c r="B89" s="44" t="s">
        <v>210</v>
      </c>
      <c r="C89" s="44">
        <v>5</v>
      </c>
      <c r="D89" s="33" t="s">
        <v>98</v>
      </c>
      <c r="E89" s="34">
        <v>90</v>
      </c>
      <c r="F89" s="34">
        <v>7</v>
      </c>
      <c r="G89" s="60">
        <v>-7.8131499999999967</v>
      </c>
      <c r="H89" s="68">
        <f t="shared" si="1"/>
        <v>3.07768</v>
      </c>
      <c r="I89" s="60">
        <v>-10.890829999999998</v>
      </c>
      <c r="J89" s="44">
        <v>0</v>
      </c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 t="s">
        <v>362</v>
      </c>
      <c r="AP89" s="44">
        <v>2.5</v>
      </c>
      <c r="AQ89" s="44">
        <v>3077.68</v>
      </c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87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87"/>
      <c r="DE89" s="60">
        <v>0</v>
      </c>
      <c r="DF89" s="44"/>
      <c r="DG89" s="44"/>
      <c r="DH89" s="68">
        <v>0</v>
      </c>
    </row>
    <row r="90" spans="1:112">
      <c r="A90" s="40">
        <v>107</v>
      </c>
      <c r="B90" s="40" t="s">
        <v>210</v>
      </c>
      <c r="C90" s="40">
        <v>5</v>
      </c>
      <c r="D90" s="29" t="s">
        <v>98</v>
      </c>
      <c r="E90" s="30" t="s">
        <v>101</v>
      </c>
      <c r="F90" s="30">
        <v>7</v>
      </c>
      <c r="G90" s="52">
        <v>57.012640000000005</v>
      </c>
      <c r="H90" s="68">
        <f t="shared" si="1"/>
        <v>0</v>
      </c>
      <c r="I90" s="47">
        <v>57.012640000000005</v>
      </c>
      <c r="J90" s="43">
        <v>56.8</v>
      </c>
      <c r="K90" s="40"/>
      <c r="L90" s="40"/>
      <c r="M90" s="43"/>
      <c r="N90" s="40"/>
      <c r="O90" s="40"/>
      <c r="P90" s="40"/>
      <c r="Q90" s="42"/>
      <c r="R90" s="40"/>
      <c r="S90" s="40"/>
      <c r="T90" s="43"/>
      <c r="U90" s="40"/>
      <c r="V90" s="40"/>
      <c r="W90" s="42"/>
      <c r="X90" s="40"/>
      <c r="Y90" s="40"/>
      <c r="Z90" s="43"/>
      <c r="AA90" s="40"/>
      <c r="AB90" s="40"/>
      <c r="AC90" s="42"/>
      <c r="AD90" s="40" t="s">
        <v>402</v>
      </c>
      <c r="AE90" s="40" t="s">
        <v>308</v>
      </c>
      <c r="AF90" s="40">
        <v>71</v>
      </c>
      <c r="AG90" s="43">
        <v>56800</v>
      </c>
      <c r="AH90" s="40"/>
      <c r="AI90" s="40"/>
      <c r="AJ90" s="40"/>
      <c r="AK90" s="42"/>
      <c r="AL90" s="40"/>
      <c r="AM90" s="40"/>
      <c r="AN90" s="43"/>
      <c r="AO90" s="40"/>
      <c r="AP90" s="40"/>
      <c r="AQ90" s="42"/>
      <c r="AR90" s="40"/>
      <c r="AS90" s="40"/>
      <c r="AT90" s="43"/>
      <c r="AU90" s="40"/>
      <c r="AV90" s="40"/>
      <c r="AW90" s="42"/>
      <c r="AX90" s="40"/>
      <c r="AY90" s="40"/>
      <c r="AZ90" s="43"/>
      <c r="BA90" s="40"/>
      <c r="BB90" s="40"/>
      <c r="BC90" s="42"/>
      <c r="BD90" s="40"/>
      <c r="BE90" s="40"/>
      <c r="BF90" s="43"/>
      <c r="BG90" s="40"/>
      <c r="BH90" s="40"/>
      <c r="BI90" s="42"/>
      <c r="BJ90" s="40"/>
      <c r="BK90" s="40"/>
      <c r="BL90" s="43"/>
      <c r="BM90" s="40"/>
      <c r="BN90" s="40"/>
      <c r="BO90" s="42"/>
      <c r="BP90" s="40"/>
      <c r="BQ90" s="40"/>
      <c r="BR90" s="43"/>
      <c r="BS90" s="40"/>
      <c r="BT90" s="40"/>
      <c r="BU90" s="42"/>
      <c r="BV90" s="40"/>
      <c r="BW90" s="40"/>
      <c r="BX90" s="43"/>
      <c r="BY90" s="40"/>
      <c r="BZ90" s="40"/>
      <c r="CA90" s="42"/>
      <c r="CB90" s="40"/>
      <c r="CC90" s="75"/>
      <c r="CD90" s="43"/>
      <c r="CE90" s="40"/>
      <c r="CF90" s="40"/>
      <c r="CG90" s="42"/>
      <c r="CH90" s="40"/>
      <c r="CI90" s="40"/>
      <c r="CJ90" s="43"/>
      <c r="CK90" s="40"/>
      <c r="CL90" s="40"/>
      <c r="CM90" s="42"/>
      <c r="CN90" s="40"/>
      <c r="CO90" s="40"/>
      <c r="CP90" s="43"/>
      <c r="CQ90" s="40"/>
      <c r="CR90" s="40"/>
      <c r="CS90" s="42"/>
      <c r="CT90" s="40"/>
      <c r="CU90" s="40"/>
      <c r="CV90" s="43"/>
      <c r="CW90" s="40"/>
      <c r="CX90" s="40"/>
      <c r="CY90" s="42"/>
      <c r="CZ90" s="40"/>
      <c r="DA90" s="40"/>
      <c r="DB90" s="43"/>
      <c r="DC90" s="40"/>
      <c r="DD90" s="75"/>
      <c r="DE90" s="69">
        <v>0</v>
      </c>
      <c r="DF90" s="40"/>
      <c r="DG90" s="40"/>
      <c r="DH90" s="68">
        <v>0</v>
      </c>
    </row>
    <row r="91" spans="1:112">
      <c r="A91" s="40">
        <v>108</v>
      </c>
      <c r="B91" s="40" t="s">
        <v>210</v>
      </c>
      <c r="C91" s="40">
        <v>5</v>
      </c>
      <c r="D91" s="29" t="s">
        <v>98</v>
      </c>
      <c r="E91" s="30" t="s">
        <v>102</v>
      </c>
      <c r="F91" s="30">
        <v>7</v>
      </c>
      <c r="G91" s="52">
        <v>57.559874000000001</v>
      </c>
      <c r="H91" s="68">
        <f t="shared" si="1"/>
        <v>0</v>
      </c>
      <c r="I91" s="47">
        <v>57.559874000000001</v>
      </c>
      <c r="J91" s="43">
        <v>57.56</v>
      </c>
      <c r="K91" s="40"/>
      <c r="L91" s="40"/>
      <c r="M91" s="43"/>
      <c r="N91" s="40"/>
      <c r="O91" s="40"/>
      <c r="P91" s="40"/>
      <c r="Q91" s="42"/>
      <c r="R91" s="40"/>
      <c r="S91" s="40"/>
      <c r="T91" s="43"/>
      <c r="U91" s="40"/>
      <c r="V91" s="40"/>
      <c r="W91" s="42"/>
      <c r="X91" s="40"/>
      <c r="Y91" s="40"/>
      <c r="Z91" s="43"/>
      <c r="AA91" s="40"/>
      <c r="AB91" s="40"/>
      <c r="AC91" s="42"/>
      <c r="AD91" s="40"/>
      <c r="AE91" s="40"/>
      <c r="AF91" s="40"/>
      <c r="AG91" s="43"/>
      <c r="AH91" s="40"/>
      <c r="AI91" s="40"/>
      <c r="AJ91" s="40"/>
      <c r="AK91" s="42"/>
      <c r="AL91" s="40"/>
      <c r="AM91" s="40"/>
      <c r="AN91" s="43"/>
      <c r="AO91" s="40"/>
      <c r="AP91" s="40"/>
      <c r="AQ91" s="42"/>
      <c r="AR91" s="40"/>
      <c r="AS91" s="40"/>
      <c r="AT91" s="43"/>
      <c r="AU91" s="40"/>
      <c r="AV91" s="40"/>
      <c r="AW91" s="42"/>
      <c r="AX91" s="40"/>
      <c r="AY91" s="40"/>
      <c r="AZ91" s="43"/>
      <c r="BA91" s="40"/>
      <c r="BB91" s="40"/>
      <c r="BC91" s="42"/>
      <c r="BD91" s="40"/>
      <c r="BE91" s="40"/>
      <c r="BF91" s="43"/>
      <c r="BG91" s="40"/>
      <c r="BH91" s="40"/>
      <c r="BI91" s="42"/>
      <c r="BJ91" s="40"/>
      <c r="BK91" s="40"/>
      <c r="BL91" s="43"/>
      <c r="BM91" s="40"/>
      <c r="BN91" s="40"/>
      <c r="BO91" s="42"/>
      <c r="BP91" s="40"/>
      <c r="BQ91" s="40"/>
      <c r="BR91" s="43"/>
      <c r="BS91" s="40"/>
      <c r="BT91" s="40"/>
      <c r="BU91" s="42"/>
      <c r="BV91" s="40" t="s">
        <v>403</v>
      </c>
      <c r="BW91" s="40">
        <v>10</v>
      </c>
      <c r="BX91" s="43">
        <v>50000</v>
      </c>
      <c r="BY91" s="40"/>
      <c r="BZ91" s="40"/>
      <c r="CA91" s="42"/>
      <c r="CB91" s="40"/>
      <c r="CC91" s="75"/>
      <c r="CD91" s="43"/>
      <c r="CE91" s="40"/>
      <c r="CF91" s="40"/>
      <c r="CG91" s="42"/>
      <c r="CH91" s="40"/>
      <c r="CI91" s="40"/>
      <c r="CJ91" s="43"/>
      <c r="CK91" s="40"/>
      <c r="CL91" s="40"/>
      <c r="CM91" s="42"/>
      <c r="CN91" s="40"/>
      <c r="CO91" s="40"/>
      <c r="CP91" s="43"/>
      <c r="CQ91" s="40"/>
      <c r="CR91" s="40"/>
      <c r="CS91" s="42"/>
      <c r="CT91" s="40"/>
      <c r="CU91" s="40"/>
      <c r="CV91" s="43"/>
      <c r="CW91" s="40"/>
      <c r="CX91" s="40"/>
      <c r="CY91" s="42"/>
      <c r="CZ91" s="40"/>
      <c r="DA91" s="40"/>
      <c r="DB91" s="43"/>
      <c r="DC91" s="40" t="s">
        <v>408</v>
      </c>
      <c r="DD91" s="75" t="s">
        <v>395</v>
      </c>
      <c r="DE91" s="69">
        <v>7560</v>
      </c>
      <c r="DF91" s="40"/>
      <c r="DG91" s="40"/>
      <c r="DH91" s="68">
        <v>0</v>
      </c>
    </row>
    <row r="92" spans="1:112">
      <c r="A92" s="40">
        <v>109</v>
      </c>
      <c r="B92" s="40" t="s">
        <v>210</v>
      </c>
      <c r="C92" s="40">
        <v>5</v>
      </c>
      <c r="D92" s="29" t="s">
        <v>98</v>
      </c>
      <c r="E92" s="30">
        <v>92</v>
      </c>
      <c r="F92" s="30">
        <v>7</v>
      </c>
      <c r="G92" s="52">
        <v>2.0347200000000072</v>
      </c>
      <c r="H92" s="68">
        <f t="shared" si="1"/>
        <v>0</v>
      </c>
      <c r="I92" s="47">
        <v>2.0347200000000072</v>
      </c>
      <c r="J92" s="43">
        <v>2.0299999999999998</v>
      </c>
      <c r="K92" s="40"/>
      <c r="L92" s="40"/>
      <c r="M92" s="43"/>
      <c r="N92" s="40"/>
      <c r="O92" s="40"/>
      <c r="P92" s="40"/>
      <c r="Q92" s="42"/>
      <c r="R92" s="40"/>
      <c r="S92" s="40"/>
      <c r="T92" s="43"/>
      <c r="U92" s="40"/>
      <c r="V92" s="40"/>
      <c r="W92" s="42"/>
      <c r="X92" s="40"/>
      <c r="Y92" s="40"/>
      <c r="Z92" s="43"/>
      <c r="AA92" s="40"/>
      <c r="AB92" s="40"/>
      <c r="AC92" s="42"/>
      <c r="AD92" s="40"/>
      <c r="AE92" s="40"/>
      <c r="AF92" s="40"/>
      <c r="AG92" s="43"/>
      <c r="AH92" s="40"/>
      <c r="AI92" s="40"/>
      <c r="AJ92" s="40"/>
      <c r="AK92" s="42"/>
      <c r="AL92" s="40"/>
      <c r="AM92" s="40"/>
      <c r="AN92" s="43"/>
      <c r="AO92" s="40"/>
      <c r="AP92" s="40"/>
      <c r="AQ92" s="42"/>
      <c r="AR92" s="40"/>
      <c r="AS92" s="40"/>
      <c r="AT92" s="43"/>
      <c r="AU92" s="40"/>
      <c r="AV92" s="40"/>
      <c r="AW92" s="42"/>
      <c r="AX92" s="40"/>
      <c r="AY92" s="40"/>
      <c r="AZ92" s="43"/>
      <c r="BA92" s="40"/>
      <c r="BB92" s="40"/>
      <c r="BC92" s="42"/>
      <c r="BD92" s="40"/>
      <c r="BE92" s="40"/>
      <c r="BF92" s="43"/>
      <c r="BG92" s="40"/>
      <c r="BH92" s="40"/>
      <c r="BI92" s="42"/>
      <c r="BJ92" s="40"/>
      <c r="BK92" s="40"/>
      <c r="BL92" s="43"/>
      <c r="BM92" s="40"/>
      <c r="BN92" s="40"/>
      <c r="BO92" s="42"/>
      <c r="BP92" s="40"/>
      <c r="BQ92" s="40"/>
      <c r="BR92" s="43"/>
      <c r="BS92" s="40"/>
      <c r="BT92" s="40"/>
      <c r="BU92" s="42"/>
      <c r="BV92" s="40"/>
      <c r="BW92" s="40"/>
      <c r="BX92" s="43"/>
      <c r="BY92" s="40"/>
      <c r="BZ92" s="40"/>
      <c r="CA92" s="42"/>
      <c r="CB92" s="40"/>
      <c r="CC92" s="75"/>
      <c r="CD92" s="43"/>
      <c r="CE92" s="40"/>
      <c r="CF92" s="40"/>
      <c r="CG92" s="42"/>
      <c r="CH92" s="40"/>
      <c r="CI92" s="40"/>
      <c r="CJ92" s="43"/>
      <c r="CK92" s="40"/>
      <c r="CL92" s="40"/>
      <c r="CM92" s="42"/>
      <c r="CN92" s="40"/>
      <c r="CO92" s="40"/>
      <c r="CP92" s="43"/>
      <c r="CQ92" s="40"/>
      <c r="CR92" s="40"/>
      <c r="CS92" s="42"/>
      <c r="CT92" s="40"/>
      <c r="CU92" s="40"/>
      <c r="CV92" s="43"/>
      <c r="CW92" s="40"/>
      <c r="CX92" s="40"/>
      <c r="CY92" s="42"/>
      <c r="CZ92" s="40"/>
      <c r="DA92" s="40"/>
      <c r="DB92" s="43"/>
      <c r="DC92" s="40"/>
      <c r="DD92" s="75" t="s">
        <v>311</v>
      </c>
      <c r="DE92" s="69">
        <v>2030</v>
      </c>
      <c r="DF92" s="40"/>
      <c r="DG92" s="40"/>
      <c r="DH92" s="68">
        <v>0</v>
      </c>
    </row>
    <row r="93" spans="1:112" ht="60">
      <c r="A93" s="40">
        <v>116</v>
      </c>
      <c r="B93" s="40" t="s">
        <v>210</v>
      </c>
      <c r="C93" s="40">
        <v>5</v>
      </c>
      <c r="D93" s="29" t="s">
        <v>98</v>
      </c>
      <c r="E93" s="30">
        <v>155</v>
      </c>
      <c r="F93" s="30">
        <v>6</v>
      </c>
      <c r="G93" s="52">
        <v>73.694249999999997</v>
      </c>
      <c r="H93" s="68">
        <f t="shared" si="1"/>
        <v>78.490269999999995</v>
      </c>
      <c r="I93" s="47">
        <v>39.436160000000001</v>
      </c>
      <c r="J93" s="43">
        <v>40</v>
      </c>
      <c r="K93" s="40"/>
      <c r="L93" s="40"/>
      <c r="M93" s="43"/>
      <c r="N93" s="40"/>
      <c r="O93" s="40"/>
      <c r="P93" s="40"/>
      <c r="Q93" s="42"/>
      <c r="R93" s="40"/>
      <c r="S93" s="40"/>
      <c r="T93" s="43"/>
      <c r="U93" s="40"/>
      <c r="V93" s="40"/>
      <c r="W93" s="42"/>
      <c r="X93" s="40"/>
      <c r="Y93" s="40"/>
      <c r="Z93" s="43"/>
      <c r="AA93" s="40"/>
      <c r="AB93" s="40"/>
      <c r="AC93" s="42"/>
      <c r="AD93" s="40" t="s">
        <v>402</v>
      </c>
      <c r="AE93" s="40" t="s">
        <v>308</v>
      </c>
      <c r="AF93" s="40">
        <v>50</v>
      </c>
      <c r="AG93" s="43">
        <v>40000</v>
      </c>
      <c r="AH93" s="44" t="s">
        <v>409</v>
      </c>
      <c r="AI93" s="40">
        <v>28.27</v>
      </c>
      <c r="AJ93" s="40"/>
      <c r="AK93" s="42">
        <v>23416.89</v>
      </c>
      <c r="AL93" s="40"/>
      <c r="AM93" s="40"/>
      <c r="AN93" s="43"/>
      <c r="AO93" s="40"/>
      <c r="AP93" s="40"/>
      <c r="AQ93" s="42"/>
      <c r="AR93" s="40"/>
      <c r="AS93" s="40"/>
      <c r="AT93" s="43"/>
      <c r="AU93" s="40"/>
      <c r="AV93" s="40"/>
      <c r="AW93" s="42"/>
      <c r="AX93" s="40"/>
      <c r="AY93" s="40"/>
      <c r="AZ93" s="43"/>
      <c r="BA93" s="40"/>
      <c r="BB93" s="40"/>
      <c r="BC93" s="42"/>
      <c r="BD93" s="40"/>
      <c r="BE93" s="40"/>
      <c r="BF93" s="43"/>
      <c r="BG93" s="40"/>
      <c r="BH93" s="40"/>
      <c r="BI93" s="42"/>
      <c r="BJ93" s="40"/>
      <c r="BK93" s="40"/>
      <c r="BL93" s="43"/>
      <c r="BM93" s="40"/>
      <c r="BN93" s="40"/>
      <c r="BO93" s="42"/>
      <c r="BP93" s="40"/>
      <c r="BQ93" s="40"/>
      <c r="BR93" s="43"/>
      <c r="BS93" s="40"/>
      <c r="BT93" s="40"/>
      <c r="BU93" s="42"/>
      <c r="BV93" s="40"/>
      <c r="BW93" s="40"/>
      <c r="BX93" s="43"/>
      <c r="BY93" s="40"/>
      <c r="BZ93" s="40"/>
      <c r="CA93" s="42"/>
      <c r="CB93" s="40"/>
      <c r="CC93" s="75"/>
      <c r="CD93" s="43"/>
      <c r="CE93" s="40"/>
      <c r="CF93" s="40"/>
      <c r="CG93" s="42"/>
      <c r="CH93" s="40"/>
      <c r="CI93" s="40"/>
      <c r="CJ93" s="43"/>
      <c r="CK93" s="40"/>
      <c r="CL93" s="40"/>
      <c r="CM93" s="42"/>
      <c r="CN93" s="40"/>
      <c r="CO93" s="40"/>
      <c r="CP93" s="43"/>
      <c r="CQ93" s="40"/>
      <c r="CR93" s="40"/>
      <c r="CS93" s="42"/>
      <c r="CT93" s="40"/>
      <c r="CU93" s="40"/>
      <c r="CV93" s="43"/>
      <c r="CW93" s="40"/>
      <c r="CX93" s="40"/>
      <c r="CY93" s="42"/>
      <c r="CZ93" s="40"/>
      <c r="DA93" s="40"/>
      <c r="DB93" s="43"/>
      <c r="DC93" s="40"/>
      <c r="DD93" s="75"/>
      <c r="DE93" s="69">
        <v>0</v>
      </c>
      <c r="DF93" s="44" t="s">
        <v>419</v>
      </c>
      <c r="DG93" s="73" t="s">
        <v>462</v>
      </c>
      <c r="DH93" s="68">
        <v>55073.38</v>
      </c>
    </row>
    <row r="94" spans="1:112">
      <c r="A94" s="44">
        <v>118</v>
      </c>
      <c r="B94" s="44" t="s">
        <v>210</v>
      </c>
      <c r="C94" s="44">
        <v>5</v>
      </c>
      <c r="D94" s="33" t="s">
        <v>98</v>
      </c>
      <c r="E94" s="34" t="s">
        <v>103</v>
      </c>
      <c r="F94" s="34">
        <v>7</v>
      </c>
      <c r="G94" s="60">
        <v>54.640833999999998</v>
      </c>
      <c r="H94" s="68">
        <f t="shared" si="1"/>
        <v>0</v>
      </c>
      <c r="I94" s="60">
        <v>54.640833999999998</v>
      </c>
      <c r="J94" s="44">
        <v>0</v>
      </c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87"/>
      <c r="CD94" s="44"/>
      <c r="CE94" s="44"/>
      <c r="CF94" s="44"/>
      <c r="CG94" s="44"/>
      <c r="CH94" s="44"/>
      <c r="CI94" s="44"/>
      <c r="CJ94" s="44"/>
      <c r="CK94" s="44"/>
      <c r="CL94" s="44"/>
      <c r="CM94" s="44"/>
      <c r="CN94" s="44"/>
      <c r="CO94" s="44"/>
      <c r="CP94" s="44"/>
      <c r="CQ94" s="44"/>
      <c r="CR94" s="44"/>
      <c r="CS94" s="44"/>
      <c r="CT94" s="44"/>
      <c r="CU94" s="44"/>
      <c r="CV94" s="44"/>
      <c r="CW94" s="44"/>
      <c r="CX94" s="44"/>
      <c r="CY94" s="44"/>
      <c r="CZ94" s="44"/>
      <c r="DA94" s="44"/>
      <c r="DB94" s="44"/>
      <c r="DC94" s="44"/>
      <c r="DD94" s="87"/>
      <c r="DE94" s="69">
        <v>0</v>
      </c>
      <c r="DF94" s="44"/>
      <c r="DG94" s="44"/>
      <c r="DH94" s="68">
        <v>0</v>
      </c>
    </row>
    <row r="95" spans="1:112">
      <c r="A95" s="40">
        <v>119</v>
      </c>
      <c r="B95" s="40" t="s">
        <v>210</v>
      </c>
      <c r="C95" s="40">
        <v>5</v>
      </c>
      <c r="D95" s="29" t="s">
        <v>98</v>
      </c>
      <c r="E95" s="30" t="s">
        <v>104</v>
      </c>
      <c r="F95" s="30">
        <v>7</v>
      </c>
      <c r="G95" s="52">
        <v>68.348855999999998</v>
      </c>
      <c r="H95" s="68">
        <f t="shared" si="1"/>
        <v>21.506620000000002</v>
      </c>
      <c r="I95" s="47">
        <v>46.842236</v>
      </c>
      <c r="J95" s="43">
        <v>64</v>
      </c>
      <c r="K95" s="40" t="s">
        <v>402</v>
      </c>
      <c r="L95" s="40">
        <v>1</v>
      </c>
      <c r="M95" s="43">
        <v>50000</v>
      </c>
      <c r="N95" s="40"/>
      <c r="O95" s="40"/>
      <c r="P95" s="40"/>
      <c r="Q95" s="42"/>
      <c r="R95" s="40"/>
      <c r="S95" s="40"/>
      <c r="T95" s="43"/>
      <c r="U95" s="40"/>
      <c r="V95" s="40"/>
      <c r="W95" s="42"/>
      <c r="X95" s="40"/>
      <c r="Y95" s="40"/>
      <c r="Z95" s="43"/>
      <c r="AA95" s="40"/>
      <c r="AB95" s="40"/>
      <c r="AC95" s="42"/>
      <c r="AD95" s="40"/>
      <c r="AE95" s="40"/>
      <c r="AF95" s="40"/>
      <c r="AG95" s="43"/>
      <c r="AH95" s="40"/>
      <c r="AI95" s="40"/>
      <c r="AJ95" s="40"/>
      <c r="AK95" s="42"/>
      <c r="AL95" s="40"/>
      <c r="AM95" s="40"/>
      <c r="AN95" s="43"/>
      <c r="AO95" s="40"/>
      <c r="AP95" s="40"/>
      <c r="AQ95" s="42"/>
      <c r="AR95" s="40"/>
      <c r="AS95" s="40"/>
      <c r="AT95" s="43"/>
      <c r="AU95" s="40"/>
      <c r="AV95" s="40"/>
      <c r="AW95" s="42"/>
      <c r="AX95" s="40"/>
      <c r="AY95" s="40"/>
      <c r="AZ95" s="43"/>
      <c r="BA95" s="40"/>
      <c r="BB95" s="40"/>
      <c r="BC95" s="42"/>
      <c r="BD95" s="40"/>
      <c r="BE95" s="40"/>
      <c r="BF95" s="43"/>
      <c r="BG95" s="40"/>
      <c r="BH95" s="40"/>
      <c r="BI95" s="42"/>
      <c r="BJ95" s="40"/>
      <c r="BK95" s="40"/>
      <c r="BL95" s="43"/>
      <c r="BM95" s="40"/>
      <c r="BN95" s="40"/>
      <c r="BO95" s="42"/>
      <c r="BP95" s="40"/>
      <c r="BQ95" s="40"/>
      <c r="BR95" s="43"/>
      <c r="BS95" s="40"/>
      <c r="BT95" s="40"/>
      <c r="BU95" s="42"/>
      <c r="BV95" s="40"/>
      <c r="BW95" s="40"/>
      <c r="BX95" s="43"/>
      <c r="BY95" s="40"/>
      <c r="BZ95" s="40"/>
      <c r="CA95" s="42"/>
      <c r="CB95" s="40"/>
      <c r="CC95" s="75"/>
      <c r="CD95" s="43"/>
      <c r="CE95" s="40"/>
      <c r="CF95" s="40"/>
      <c r="CG95" s="42"/>
      <c r="CH95" s="40"/>
      <c r="CI95" s="40"/>
      <c r="CJ95" s="43"/>
      <c r="CK95" s="40"/>
      <c r="CL95" s="40"/>
      <c r="CM95" s="42"/>
      <c r="CN95" s="40"/>
      <c r="CO95" s="40"/>
      <c r="CP95" s="43"/>
      <c r="CQ95" s="40"/>
      <c r="CR95" s="40"/>
      <c r="CS95" s="42"/>
      <c r="CT95" s="40"/>
      <c r="CU95" s="40"/>
      <c r="CV95" s="43"/>
      <c r="CW95" s="40"/>
      <c r="CX95" s="40"/>
      <c r="CY95" s="42"/>
      <c r="CZ95" s="40"/>
      <c r="DA95" s="40"/>
      <c r="DB95" s="43"/>
      <c r="DC95" s="40" t="s">
        <v>323</v>
      </c>
      <c r="DD95" s="75" t="s">
        <v>372</v>
      </c>
      <c r="DE95" s="69">
        <v>14000</v>
      </c>
      <c r="DF95" s="40" t="s">
        <v>409</v>
      </c>
      <c r="DG95" s="40" t="s">
        <v>461</v>
      </c>
      <c r="DH95" s="68">
        <v>21506.620000000003</v>
      </c>
    </row>
    <row r="96" spans="1:112">
      <c r="A96" s="40">
        <v>120</v>
      </c>
      <c r="B96" s="40" t="s">
        <v>210</v>
      </c>
      <c r="C96" s="40">
        <v>5</v>
      </c>
      <c r="D96" s="29" t="s">
        <v>98</v>
      </c>
      <c r="E96" s="30">
        <v>163</v>
      </c>
      <c r="F96" s="30">
        <v>7</v>
      </c>
      <c r="G96" s="52">
        <v>60.92772200000001</v>
      </c>
      <c r="H96" s="68">
        <f t="shared" si="1"/>
        <v>55.70138</v>
      </c>
      <c r="I96" s="47">
        <v>60.92772200000001</v>
      </c>
      <c r="J96" s="43">
        <v>60.93</v>
      </c>
      <c r="K96" s="40" t="s">
        <v>323</v>
      </c>
      <c r="L96" s="40">
        <v>1</v>
      </c>
      <c r="M96" s="43">
        <v>50000</v>
      </c>
      <c r="N96" s="40" t="s">
        <v>402</v>
      </c>
      <c r="O96" s="40">
        <v>1</v>
      </c>
      <c r="P96" s="40">
        <v>2</v>
      </c>
      <c r="Q96" s="42">
        <v>55701.38</v>
      </c>
      <c r="R96" s="40"/>
      <c r="S96" s="40"/>
      <c r="T96" s="43"/>
      <c r="U96" s="40"/>
      <c r="V96" s="40"/>
      <c r="W96" s="42"/>
      <c r="X96" s="40"/>
      <c r="Y96" s="40"/>
      <c r="Z96" s="43"/>
      <c r="AA96" s="40"/>
      <c r="AB96" s="40"/>
      <c r="AC96" s="42"/>
      <c r="AD96" s="40"/>
      <c r="AE96" s="40"/>
      <c r="AF96" s="40"/>
      <c r="AG96" s="43"/>
      <c r="AH96" s="40"/>
      <c r="AI96" s="40"/>
      <c r="AJ96" s="40"/>
      <c r="AK96" s="42"/>
      <c r="AL96" s="40" t="s">
        <v>409</v>
      </c>
      <c r="AM96" s="40">
        <v>8</v>
      </c>
      <c r="AN96" s="43">
        <v>10930</v>
      </c>
      <c r="AO96" s="40"/>
      <c r="AP96" s="40"/>
      <c r="AQ96" s="42"/>
      <c r="AR96" s="40"/>
      <c r="AS96" s="40"/>
      <c r="AT96" s="43"/>
      <c r="AU96" s="40"/>
      <c r="AV96" s="40"/>
      <c r="AW96" s="42"/>
      <c r="AX96" s="40"/>
      <c r="AY96" s="40"/>
      <c r="AZ96" s="43"/>
      <c r="BA96" s="40"/>
      <c r="BB96" s="40"/>
      <c r="BC96" s="42"/>
      <c r="BD96" s="40"/>
      <c r="BE96" s="40"/>
      <c r="BF96" s="43"/>
      <c r="BG96" s="40"/>
      <c r="BH96" s="40"/>
      <c r="BI96" s="42"/>
      <c r="BJ96" s="40"/>
      <c r="BK96" s="40"/>
      <c r="BL96" s="43"/>
      <c r="BM96" s="40"/>
      <c r="BN96" s="40"/>
      <c r="BO96" s="42"/>
      <c r="BP96" s="40"/>
      <c r="BQ96" s="40"/>
      <c r="BR96" s="43"/>
      <c r="BS96" s="40"/>
      <c r="BT96" s="40"/>
      <c r="BU96" s="42"/>
      <c r="BV96" s="40"/>
      <c r="BW96" s="40"/>
      <c r="BX96" s="43"/>
      <c r="BY96" s="40"/>
      <c r="BZ96" s="40"/>
      <c r="CA96" s="42"/>
      <c r="CB96" s="40"/>
      <c r="CC96" s="75"/>
      <c r="CD96" s="43"/>
      <c r="CE96" s="40"/>
      <c r="CF96" s="40"/>
      <c r="CG96" s="42"/>
      <c r="CH96" s="40"/>
      <c r="CI96" s="40"/>
      <c r="CJ96" s="43"/>
      <c r="CK96" s="40"/>
      <c r="CL96" s="40"/>
      <c r="CM96" s="42"/>
      <c r="CN96" s="40"/>
      <c r="CO96" s="40"/>
      <c r="CP96" s="43"/>
      <c r="CQ96" s="40"/>
      <c r="CR96" s="40"/>
      <c r="CS96" s="42"/>
      <c r="CT96" s="40"/>
      <c r="CU96" s="40"/>
      <c r="CV96" s="43"/>
      <c r="CW96" s="40"/>
      <c r="CX96" s="40"/>
      <c r="CY96" s="42"/>
      <c r="CZ96" s="40"/>
      <c r="DA96" s="40"/>
      <c r="DB96" s="43"/>
      <c r="DC96" s="40"/>
      <c r="DD96" s="75"/>
      <c r="DE96" s="69">
        <v>0</v>
      </c>
      <c r="DF96" s="40"/>
      <c r="DG96" s="40"/>
      <c r="DH96" s="68">
        <v>0</v>
      </c>
    </row>
    <row r="97" spans="1:112">
      <c r="A97" s="40">
        <v>121</v>
      </c>
      <c r="B97" s="40" t="s">
        <v>210</v>
      </c>
      <c r="C97" s="40">
        <v>5</v>
      </c>
      <c r="D97" s="29" t="s">
        <v>98</v>
      </c>
      <c r="E97" s="30">
        <v>165</v>
      </c>
      <c r="F97" s="30">
        <v>7</v>
      </c>
      <c r="G97" s="52">
        <v>57.843953999999997</v>
      </c>
      <c r="H97" s="68">
        <f t="shared" si="1"/>
        <v>0</v>
      </c>
      <c r="I97" s="47">
        <v>57.843953999999997</v>
      </c>
      <c r="J97" s="43">
        <v>282.2</v>
      </c>
      <c r="K97" s="40"/>
      <c r="L97" s="40"/>
      <c r="M97" s="43"/>
      <c r="N97" s="40"/>
      <c r="O97" s="40"/>
      <c r="P97" s="40"/>
      <c r="Q97" s="42"/>
      <c r="R97" s="40"/>
      <c r="S97" s="40"/>
      <c r="T97" s="43"/>
      <c r="U97" s="40"/>
      <c r="V97" s="40"/>
      <c r="W97" s="42"/>
      <c r="X97" s="40"/>
      <c r="Y97" s="40"/>
      <c r="Z97" s="43"/>
      <c r="AA97" s="40"/>
      <c r="AB97" s="40"/>
      <c r="AC97" s="42"/>
      <c r="AD97" s="40" t="s">
        <v>402</v>
      </c>
      <c r="AE97" s="40" t="s">
        <v>324</v>
      </c>
      <c r="AF97" s="99">
        <v>332</v>
      </c>
      <c r="AG97" s="43">
        <v>282200</v>
      </c>
      <c r="AH97" s="40"/>
      <c r="AI97" s="40"/>
      <c r="AJ97" s="40"/>
      <c r="AK97" s="42"/>
      <c r="AL97" s="40"/>
      <c r="AM97" s="40"/>
      <c r="AN97" s="43"/>
      <c r="AO97" s="40"/>
      <c r="AP97" s="40"/>
      <c r="AQ97" s="42"/>
      <c r="AR97" s="40"/>
      <c r="AS97" s="40"/>
      <c r="AT97" s="43"/>
      <c r="AU97" s="40"/>
      <c r="AV97" s="40"/>
      <c r="AW97" s="42"/>
      <c r="AX97" s="40"/>
      <c r="AY97" s="40"/>
      <c r="AZ97" s="43"/>
      <c r="BA97" s="40"/>
      <c r="BB97" s="40"/>
      <c r="BC97" s="42"/>
      <c r="BD97" s="40"/>
      <c r="BE97" s="40"/>
      <c r="BF97" s="43"/>
      <c r="BG97" s="40"/>
      <c r="BH97" s="40"/>
      <c r="BI97" s="42"/>
      <c r="BJ97" s="40"/>
      <c r="BK97" s="40"/>
      <c r="BL97" s="43"/>
      <c r="BM97" s="40"/>
      <c r="BN97" s="40"/>
      <c r="BO97" s="42"/>
      <c r="BP97" s="40"/>
      <c r="BQ97" s="40"/>
      <c r="BR97" s="43"/>
      <c r="BS97" s="40"/>
      <c r="BT97" s="40"/>
      <c r="BU97" s="42"/>
      <c r="BV97" s="40"/>
      <c r="BW97" s="40"/>
      <c r="BX97" s="43"/>
      <c r="BY97" s="40"/>
      <c r="BZ97" s="40"/>
      <c r="CA97" s="42"/>
      <c r="CB97" s="40"/>
      <c r="CC97" s="75"/>
      <c r="CD97" s="43"/>
      <c r="CE97" s="40"/>
      <c r="CF97" s="40"/>
      <c r="CG97" s="42"/>
      <c r="CH97" s="40"/>
      <c r="CI97" s="40"/>
      <c r="CJ97" s="43"/>
      <c r="CK97" s="40"/>
      <c r="CL97" s="40"/>
      <c r="CM97" s="42"/>
      <c r="CN97" s="40"/>
      <c r="CO97" s="40"/>
      <c r="CP97" s="43"/>
      <c r="CQ97" s="40"/>
      <c r="CR97" s="40"/>
      <c r="CS97" s="42"/>
      <c r="CT97" s="40"/>
      <c r="CU97" s="40"/>
      <c r="CV97" s="43"/>
      <c r="CW97" s="40"/>
      <c r="CX97" s="40"/>
      <c r="CY97" s="42"/>
      <c r="CZ97" s="40"/>
      <c r="DA97" s="40"/>
      <c r="DB97" s="43"/>
      <c r="DC97" s="40"/>
      <c r="DD97" s="75"/>
      <c r="DE97" s="69">
        <v>0</v>
      </c>
      <c r="DF97" s="40"/>
      <c r="DG97" s="40"/>
      <c r="DH97" s="68">
        <v>0</v>
      </c>
    </row>
    <row r="98" spans="1:112">
      <c r="A98" s="44">
        <v>122</v>
      </c>
      <c r="B98" s="44" t="s">
        <v>210</v>
      </c>
      <c r="C98" s="44">
        <v>5</v>
      </c>
      <c r="D98" s="33" t="s">
        <v>98</v>
      </c>
      <c r="E98" s="34" t="s">
        <v>105</v>
      </c>
      <c r="F98" s="34">
        <v>7</v>
      </c>
      <c r="G98" s="60">
        <v>0</v>
      </c>
      <c r="H98" s="68">
        <f t="shared" si="1"/>
        <v>0</v>
      </c>
      <c r="I98" s="60">
        <v>0</v>
      </c>
      <c r="J98" s="44">
        <v>0</v>
      </c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87"/>
      <c r="CD98" s="44"/>
      <c r="CE98" s="44"/>
      <c r="CF98" s="44"/>
      <c r="CG98" s="44"/>
      <c r="CH98" s="44"/>
      <c r="CI98" s="44"/>
      <c r="CJ98" s="44"/>
      <c r="CK98" s="44"/>
      <c r="CL98" s="44"/>
      <c r="CM98" s="44"/>
      <c r="CN98" s="44"/>
      <c r="CO98" s="44"/>
      <c r="CP98" s="44"/>
      <c r="CQ98" s="44"/>
      <c r="CR98" s="44"/>
      <c r="CS98" s="44"/>
      <c r="CT98" s="44"/>
      <c r="CU98" s="44"/>
      <c r="CV98" s="44"/>
      <c r="CW98" s="44"/>
      <c r="CX98" s="44"/>
      <c r="CY98" s="44"/>
      <c r="CZ98" s="44"/>
      <c r="DA98" s="44"/>
      <c r="DB98" s="44"/>
      <c r="DC98" s="44"/>
      <c r="DD98" s="87"/>
      <c r="DE98" s="60">
        <v>0</v>
      </c>
      <c r="DF98" s="44"/>
      <c r="DG98" s="44"/>
      <c r="DH98" s="68">
        <v>0</v>
      </c>
    </row>
    <row r="99" spans="1:112">
      <c r="A99" s="40">
        <v>123</v>
      </c>
      <c r="B99" s="40" t="s">
        <v>210</v>
      </c>
      <c r="C99" s="40">
        <v>5</v>
      </c>
      <c r="D99" s="29" t="s">
        <v>98</v>
      </c>
      <c r="E99" s="30">
        <v>167</v>
      </c>
      <c r="F99" s="30">
        <v>6</v>
      </c>
      <c r="G99" s="52">
        <v>38.403841999999997</v>
      </c>
      <c r="H99" s="68">
        <f t="shared" si="1"/>
        <v>0</v>
      </c>
      <c r="I99" s="47">
        <v>38.403841999999997</v>
      </c>
      <c r="J99" s="43">
        <v>38.4</v>
      </c>
      <c r="K99" s="40"/>
      <c r="L99" s="40"/>
      <c r="M99" s="43"/>
      <c r="N99" s="40"/>
      <c r="O99" s="40"/>
      <c r="P99" s="40"/>
      <c r="Q99" s="42"/>
      <c r="R99" s="40"/>
      <c r="S99" s="40"/>
      <c r="T99" s="43"/>
      <c r="U99" s="40"/>
      <c r="V99" s="40"/>
      <c r="W99" s="42"/>
      <c r="X99" s="40"/>
      <c r="Y99" s="40"/>
      <c r="Z99" s="43"/>
      <c r="AA99" s="40"/>
      <c r="AB99" s="40"/>
      <c r="AC99" s="42"/>
      <c r="AD99" s="40"/>
      <c r="AE99" s="40"/>
      <c r="AF99" s="40"/>
      <c r="AG99" s="43"/>
      <c r="AH99" s="40"/>
      <c r="AI99" s="40"/>
      <c r="AJ99" s="40"/>
      <c r="AK99" s="42"/>
      <c r="AL99" s="40"/>
      <c r="AM99" s="40"/>
      <c r="AN99" s="43"/>
      <c r="AO99" s="40"/>
      <c r="AP99" s="40"/>
      <c r="AQ99" s="42"/>
      <c r="AR99" s="40"/>
      <c r="AS99" s="40"/>
      <c r="AT99" s="43"/>
      <c r="AU99" s="40"/>
      <c r="AV99" s="40"/>
      <c r="AW99" s="42"/>
      <c r="AX99" s="40" t="s">
        <v>403</v>
      </c>
      <c r="AY99" s="40">
        <v>20</v>
      </c>
      <c r="AZ99" s="43">
        <v>38400</v>
      </c>
      <c r="BA99" s="40"/>
      <c r="BB99" s="40"/>
      <c r="BC99" s="42"/>
      <c r="BD99" s="40"/>
      <c r="BE99" s="40"/>
      <c r="BF99" s="43"/>
      <c r="BG99" s="40"/>
      <c r="BH99" s="40"/>
      <c r="BI99" s="42"/>
      <c r="BJ99" s="40"/>
      <c r="BK99" s="40"/>
      <c r="BL99" s="43"/>
      <c r="BM99" s="40"/>
      <c r="BN99" s="40"/>
      <c r="BO99" s="42"/>
      <c r="BP99" s="40"/>
      <c r="BQ99" s="40"/>
      <c r="BR99" s="43"/>
      <c r="BS99" s="40"/>
      <c r="BT99" s="40"/>
      <c r="BU99" s="42"/>
      <c r="BV99" s="40"/>
      <c r="BW99" s="40"/>
      <c r="BX99" s="43"/>
      <c r="BY99" s="40"/>
      <c r="BZ99" s="40"/>
      <c r="CA99" s="42"/>
      <c r="CB99" s="40"/>
      <c r="CC99" s="75"/>
      <c r="CD99" s="43"/>
      <c r="CE99" s="40"/>
      <c r="CF99" s="40"/>
      <c r="CG99" s="42"/>
      <c r="CH99" s="40"/>
      <c r="CI99" s="40"/>
      <c r="CJ99" s="43"/>
      <c r="CK99" s="40"/>
      <c r="CL99" s="40"/>
      <c r="CM99" s="42"/>
      <c r="CN99" s="40"/>
      <c r="CO99" s="40"/>
      <c r="CP99" s="43"/>
      <c r="CQ99" s="40"/>
      <c r="CR99" s="40"/>
      <c r="CS99" s="42"/>
      <c r="CT99" s="40"/>
      <c r="CU99" s="40"/>
      <c r="CV99" s="43"/>
      <c r="CW99" s="40"/>
      <c r="CX99" s="40"/>
      <c r="CY99" s="42"/>
      <c r="CZ99" s="40"/>
      <c r="DA99" s="40"/>
      <c r="DB99" s="43"/>
      <c r="DC99" s="40"/>
      <c r="DD99" s="75"/>
      <c r="DE99" s="69">
        <v>0</v>
      </c>
      <c r="DF99" s="40"/>
      <c r="DG99" s="40"/>
      <c r="DH99" s="68">
        <v>0</v>
      </c>
    </row>
    <row r="100" spans="1:112">
      <c r="A100" s="40">
        <v>124</v>
      </c>
      <c r="B100" s="40" t="s">
        <v>210</v>
      </c>
      <c r="C100" s="40">
        <v>5</v>
      </c>
      <c r="D100" s="29" t="s">
        <v>98</v>
      </c>
      <c r="E100" s="30">
        <v>169</v>
      </c>
      <c r="F100" s="30">
        <v>6</v>
      </c>
      <c r="G100" s="52">
        <v>31.760583999999994</v>
      </c>
      <c r="H100" s="68">
        <f t="shared" si="1"/>
        <v>0</v>
      </c>
      <c r="I100" s="47">
        <v>31.760583999999994</v>
      </c>
      <c r="J100" s="43">
        <v>31.76</v>
      </c>
      <c r="K100" s="40"/>
      <c r="L100" s="40"/>
      <c r="M100" s="43"/>
      <c r="N100" s="40"/>
      <c r="O100" s="40"/>
      <c r="P100" s="40"/>
      <c r="Q100" s="42"/>
      <c r="R100" s="40"/>
      <c r="S100" s="40"/>
      <c r="T100" s="43"/>
      <c r="U100" s="40"/>
      <c r="V100" s="40"/>
      <c r="W100" s="42"/>
      <c r="X100" s="40"/>
      <c r="Y100" s="40"/>
      <c r="Z100" s="43"/>
      <c r="AA100" s="40"/>
      <c r="AB100" s="40"/>
      <c r="AC100" s="42"/>
      <c r="AD100" s="40"/>
      <c r="AE100" s="40"/>
      <c r="AF100" s="40"/>
      <c r="AG100" s="43"/>
      <c r="AH100" s="40"/>
      <c r="AI100" s="40"/>
      <c r="AJ100" s="40"/>
      <c r="AK100" s="42"/>
      <c r="AL100" s="40"/>
      <c r="AM100" s="40"/>
      <c r="AN100" s="43"/>
      <c r="AO100" s="40"/>
      <c r="AP100" s="40"/>
      <c r="AQ100" s="42"/>
      <c r="AR100" s="40"/>
      <c r="AS100" s="40"/>
      <c r="AT100" s="43"/>
      <c r="AU100" s="40"/>
      <c r="AV100" s="40"/>
      <c r="AW100" s="42"/>
      <c r="AX100" s="40"/>
      <c r="AY100" s="40"/>
      <c r="AZ100" s="43"/>
      <c r="BA100" s="40"/>
      <c r="BB100" s="40"/>
      <c r="BC100" s="42"/>
      <c r="BD100" s="40"/>
      <c r="BE100" s="40"/>
      <c r="BF100" s="43"/>
      <c r="BG100" s="40"/>
      <c r="BH100" s="40"/>
      <c r="BI100" s="42"/>
      <c r="BJ100" s="40"/>
      <c r="BK100" s="40"/>
      <c r="BL100" s="43"/>
      <c r="BM100" s="40"/>
      <c r="BN100" s="40"/>
      <c r="BO100" s="42"/>
      <c r="BP100" s="40"/>
      <c r="BQ100" s="40"/>
      <c r="BR100" s="43"/>
      <c r="BS100" s="40"/>
      <c r="BT100" s="40"/>
      <c r="BU100" s="42"/>
      <c r="BV100" s="40"/>
      <c r="BW100" s="40"/>
      <c r="BX100" s="43"/>
      <c r="BY100" s="40"/>
      <c r="BZ100" s="40"/>
      <c r="CA100" s="42"/>
      <c r="CB100" s="40"/>
      <c r="CC100" s="75"/>
      <c r="CD100" s="43"/>
      <c r="CE100" s="40"/>
      <c r="CF100" s="40"/>
      <c r="CG100" s="42"/>
      <c r="CH100" s="40"/>
      <c r="CI100" s="40"/>
      <c r="CJ100" s="43"/>
      <c r="CK100" s="40"/>
      <c r="CL100" s="40"/>
      <c r="CM100" s="42"/>
      <c r="CN100" s="40" t="s">
        <v>402</v>
      </c>
      <c r="CO100" s="40">
        <v>20</v>
      </c>
      <c r="CP100" s="43">
        <v>31760</v>
      </c>
      <c r="CQ100" s="40"/>
      <c r="CR100" s="40"/>
      <c r="CS100" s="42"/>
      <c r="CT100" s="40"/>
      <c r="CU100" s="40"/>
      <c r="CV100" s="43"/>
      <c r="CW100" s="40"/>
      <c r="CX100" s="40"/>
      <c r="CY100" s="42"/>
      <c r="CZ100" s="40"/>
      <c r="DA100" s="40"/>
      <c r="DB100" s="43"/>
      <c r="DC100" s="40"/>
      <c r="DD100" s="75"/>
      <c r="DE100" s="69">
        <v>0</v>
      </c>
      <c r="DF100" s="40"/>
      <c r="DG100" s="40"/>
      <c r="DH100" s="68">
        <v>0</v>
      </c>
    </row>
    <row r="101" spans="1:112">
      <c r="A101" s="40">
        <v>125</v>
      </c>
      <c r="B101" s="40" t="s">
        <v>210</v>
      </c>
      <c r="C101" s="40">
        <v>5</v>
      </c>
      <c r="D101" s="29" t="s">
        <v>98</v>
      </c>
      <c r="E101" s="30" t="s">
        <v>106</v>
      </c>
      <c r="F101" s="30">
        <v>6</v>
      </c>
      <c r="G101" s="52">
        <v>13.981176</v>
      </c>
      <c r="H101" s="68">
        <f t="shared" si="1"/>
        <v>217.72711999999999</v>
      </c>
      <c r="I101" s="47">
        <v>13.981176</v>
      </c>
      <c r="J101" s="43">
        <v>214.88</v>
      </c>
      <c r="K101" s="40"/>
      <c r="L101" s="40"/>
      <c r="M101" s="43"/>
      <c r="N101" s="40"/>
      <c r="O101" s="40"/>
      <c r="P101" s="40"/>
      <c r="Q101" s="42"/>
      <c r="R101" s="40"/>
      <c r="S101" s="40"/>
      <c r="T101" s="43"/>
      <c r="U101" s="40"/>
      <c r="V101" s="40"/>
      <c r="W101" s="42"/>
      <c r="X101" s="40"/>
      <c r="Y101" s="40"/>
      <c r="Z101" s="43"/>
      <c r="AA101" s="40"/>
      <c r="AB101" s="40"/>
      <c r="AC101" s="42"/>
      <c r="AD101" s="40" t="s">
        <v>402</v>
      </c>
      <c r="AE101" s="40" t="s">
        <v>308</v>
      </c>
      <c r="AF101" s="99">
        <v>252.8</v>
      </c>
      <c r="AG101" s="43">
        <v>214880</v>
      </c>
      <c r="AH101" s="44" t="s">
        <v>403</v>
      </c>
      <c r="AI101" s="40">
        <v>240.3</v>
      </c>
      <c r="AJ101" s="40"/>
      <c r="AK101" s="42">
        <v>217727.12</v>
      </c>
      <c r="AL101" s="40"/>
      <c r="AM101" s="40"/>
      <c r="AN101" s="43"/>
      <c r="AO101" s="40"/>
      <c r="AP101" s="40"/>
      <c r="AQ101" s="42"/>
      <c r="AR101" s="40"/>
      <c r="AS101" s="40"/>
      <c r="AT101" s="43"/>
      <c r="AU101" s="40"/>
      <c r="AV101" s="40"/>
      <c r="AW101" s="42"/>
      <c r="AX101" s="40"/>
      <c r="AY101" s="40"/>
      <c r="AZ101" s="43"/>
      <c r="BA101" s="40"/>
      <c r="BB101" s="40"/>
      <c r="BC101" s="42"/>
      <c r="BD101" s="40"/>
      <c r="BE101" s="40"/>
      <c r="BF101" s="43"/>
      <c r="BG101" s="40"/>
      <c r="BH101" s="40"/>
      <c r="BI101" s="42"/>
      <c r="BJ101" s="40"/>
      <c r="BK101" s="40"/>
      <c r="BL101" s="43"/>
      <c r="BM101" s="40"/>
      <c r="BN101" s="40"/>
      <c r="BO101" s="42"/>
      <c r="BP101" s="40"/>
      <c r="BQ101" s="40"/>
      <c r="BR101" s="43"/>
      <c r="BS101" s="40"/>
      <c r="BT101" s="40"/>
      <c r="BU101" s="42"/>
      <c r="BV101" s="40"/>
      <c r="BW101" s="40"/>
      <c r="BX101" s="43"/>
      <c r="BY101" s="40"/>
      <c r="BZ101" s="40"/>
      <c r="CA101" s="42"/>
      <c r="CB101" s="40"/>
      <c r="CC101" s="75"/>
      <c r="CD101" s="43"/>
      <c r="CE101" s="40"/>
      <c r="CF101" s="40"/>
      <c r="CG101" s="42"/>
      <c r="CH101" s="40"/>
      <c r="CI101" s="40"/>
      <c r="CJ101" s="43"/>
      <c r="CK101" s="40"/>
      <c r="CL101" s="40"/>
      <c r="CM101" s="42"/>
      <c r="CN101" s="40"/>
      <c r="CO101" s="40"/>
      <c r="CP101" s="43"/>
      <c r="CQ101" s="40"/>
      <c r="CR101" s="40"/>
      <c r="CS101" s="42"/>
      <c r="CT101" s="40"/>
      <c r="CU101" s="40"/>
      <c r="CV101" s="43"/>
      <c r="CW101" s="40"/>
      <c r="CX101" s="40"/>
      <c r="CY101" s="42"/>
      <c r="CZ101" s="40"/>
      <c r="DA101" s="40"/>
      <c r="DB101" s="43"/>
      <c r="DC101" s="40"/>
      <c r="DD101" s="75"/>
      <c r="DE101" s="69">
        <v>0</v>
      </c>
      <c r="DF101" s="40"/>
      <c r="DG101" s="40"/>
      <c r="DH101" s="68">
        <v>0</v>
      </c>
    </row>
    <row r="102" spans="1:112">
      <c r="A102" s="40">
        <v>126</v>
      </c>
      <c r="B102" s="40" t="s">
        <v>210</v>
      </c>
      <c r="C102" s="40">
        <v>5</v>
      </c>
      <c r="D102" s="29" t="s">
        <v>98</v>
      </c>
      <c r="E102" s="30">
        <v>173</v>
      </c>
      <c r="F102" s="30">
        <v>7</v>
      </c>
      <c r="G102" s="52">
        <v>67.745086000000015</v>
      </c>
      <c r="H102" s="68">
        <f t="shared" si="1"/>
        <v>0</v>
      </c>
      <c r="I102" s="47">
        <v>67.745086000000015</v>
      </c>
      <c r="J102" s="43">
        <v>218.45</v>
      </c>
      <c r="K102" s="40"/>
      <c r="L102" s="40"/>
      <c r="M102" s="43"/>
      <c r="N102" s="40"/>
      <c r="O102" s="40"/>
      <c r="P102" s="40"/>
      <c r="Q102" s="42"/>
      <c r="R102" s="40"/>
      <c r="S102" s="40"/>
      <c r="T102" s="43"/>
      <c r="U102" s="40"/>
      <c r="V102" s="40"/>
      <c r="W102" s="42"/>
      <c r="X102" s="40"/>
      <c r="Y102" s="40"/>
      <c r="Z102" s="43"/>
      <c r="AA102" s="40"/>
      <c r="AB102" s="40"/>
      <c r="AC102" s="42"/>
      <c r="AD102" s="40" t="s">
        <v>402</v>
      </c>
      <c r="AE102" s="40" t="s">
        <v>308</v>
      </c>
      <c r="AF102" s="99">
        <v>257</v>
      </c>
      <c r="AG102" s="43">
        <v>218450</v>
      </c>
      <c r="AH102" s="40"/>
      <c r="AI102" s="40"/>
      <c r="AJ102" s="40"/>
      <c r="AK102" s="42"/>
      <c r="AL102" s="40"/>
      <c r="AM102" s="40"/>
      <c r="AN102" s="43"/>
      <c r="AO102" s="40"/>
      <c r="AP102" s="40"/>
      <c r="AQ102" s="42"/>
      <c r="AR102" s="40"/>
      <c r="AS102" s="40"/>
      <c r="AT102" s="43"/>
      <c r="AU102" s="40"/>
      <c r="AV102" s="40"/>
      <c r="AW102" s="42"/>
      <c r="AX102" s="40"/>
      <c r="AY102" s="40"/>
      <c r="AZ102" s="43"/>
      <c r="BA102" s="40"/>
      <c r="BB102" s="40"/>
      <c r="BC102" s="42"/>
      <c r="BD102" s="40"/>
      <c r="BE102" s="40"/>
      <c r="BF102" s="43"/>
      <c r="BG102" s="40"/>
      <c r="BH102" s="40"/>
      <c r="BI102" s="42"/>
      <c r="BJ102" s="40"/>
      <c r="BK102" s="40"/>
      <c r="BL102" s="43"/>
      <c r="BM102" s="40"/>
      <c r="BN102" s="40"/>
      <c r="BO102" s="42"/>
      <c r="BP102" s="40"/>
      <c r="BQ102" s="40"/>
      <c r="BR102" s="43"/>
      <c r="BS102" s="40"/>
      <c r="BT102" s="40"/>
      <c r="BU102" s="42"/>
      <c r="BV102" s="40"/>
      <c r="BW102" s="40"/>
      <c r="BX102" s="43"/>
      <c r="BY102" s="40"/>
      <c r="BZ102" s="40"/>
      <c r="CA102" s="42"/>
      <c r="CB102" s="40"/>
      <c r="CC102" s="75"/>
      <c r="CD102" s="43"/>
      <c r="CE102" s="40"/>
      <c r="CF102" s="40"/>
      <c r="CG102" s="42"/>
      <c r="CH102" s="40"/>
      <c r="CI102" s="40"/>
      <c r="CJ102" s="43"/>
      <c r="CK102" s="40"/>
      <c r="CL102" s="40"/>
      <c r="CM102" s="42"/>
      <c r="CN102" s="40"/>
      <c r="CO102" s="40"/>
      <c r="CP102" s="43"/>
      <c r="CQ102" s="40"/>
      <c r="CR102" s="40"/>
      <c r="CS102" s="42"/>
      <c r="CT102" s="40"/>
      <c r="CU102" s="40"/>
      <c r="CV102" s="43"/>
      <c r="CW102" s="40"/>
      <c r="CX102" s="40"/>
      <c r="CY102" s="42"/>
      <c r="CZ102" s="40"/>
      <c r="DA102" s="40"/>
      <c r="DB102" s="43"/>
      <c r="DC102" s="40"/>
      <c r="DD102" s="75"/>
      <c r="DE102" s="69">
        <v>0</v>
      </c>
      <c r="DF102" s="40"/>
      <c r="DG102" s="40"/>
      <c r="DH102" s="68">
        <v>0</v>
      </c>
    </row>
    <row r="103" spans="1:112" ht="34.5">
      <c r="A103" s="40">
        <v>132</v>
      </c>
      <c r="B103" s="40" t="s">
        <v>210</v>
      </c>
      <c r="C103" s="40">
        <v>5</v>
      </c>
      <c r="D103" s="29" t="s">
        <v>98</v>
      </c>
      <c r="E103" s="30">
        <v>189</v>
      </c>
      <c r="F103" s="30">
        <v>7</v>
      </c>
      <c r="G103" s="52">
        <v>72.02988400000001</v>
      </c>
      <c r="H103" s="68">
        <f t="shared" si="1"/>
        <v>47.058339999999994</v>
      </c>
      <c r="I103" s="47">
        <v>72.02988400000001</v>
      </c>
      <c r="J103" s="43">
        <v>37</v>
      </c>
      <c r="K103" s="40"/>
      <c r="L103" s="40"/>
      <c r="M103" s="43"/>
      <c r="N103" s="40"/>
      <c r="O103" s="40"/>
      <c r="P103" s="40"/>
      <c r="Q103" s="42"/>
      <c r="R103" s="40"/>
      <c r="S103" s="40"/>
      <c r="T103" s="43"/>
      <c r="U103" s="40"/>
      <c r="V103" s="40"/>
      <c r="W103" s="42"/>
      <c r="X103" s="40"/>
      <c r="Y103" s="40"/>
      <c r="Z103" s="43"/>
      <c r="AA103" s="40"/>
      <c r="AB103" s="40"/>
      <c r="AC103" s="42"/>
      <c r="AD103" s="40"/>
      <c r="AE103" s="40"/>
      <c r="AF103" s="40"/>
      <c r="AG103" s="43"/>
      <c r="AH103" s="40"/>
      <c r="AI103" s="40"/>
      <c r="AJ103" s="40"/>
      <c r="AK103" s="42"/>
      <c r="AL103" s="40"/>
      <c r="AM103" s="40"/>
      <c r="AN103" s="43"/>
      <c r="AO103" s="40"/>
      <c r="AP103" s="40"/>
      <c r="AQ103" s="42"/>
      <c r="AR103" s="40"/>
      <c r="AS103" s="40"/>
      <c r="AT103" s="43"/>
      <c r="AU103" s="40"/>
      <c r="AV103" s="40"/>
      <c r="AW103" s="42"/>
      <c r="AX103" s="40"/>
      <c r="AY103" s="40"/>
      <c r="AZ103" s="43"/>
      <c r="BA103" s="40"/>
      <c r="BB103" s="40"/>
      <c r="BC103" s="42"/>
      <c r="BD103" s="40"/>
      <c r="BE103" s="40"/>
      <c r="BF103" s="43"/>
      <c r="BG103" s="40"/>
      <c r="BH103" s="40"/>
      <c r="BI103" s="42"/>
      <c r="BJ103" s="40"/>
      <c r="BK103" s="40"/>
      <c r="BL103" s="43"/>
      <c r="BM103" s="40"/>
      <c r="BN103" s="40"/>
      <c r="BO103" s="42"/>
      <c r="BP103" s="40"/>
      <c r="BQ103" s="40"/>
      <c r="BR103" s="43"/>
      <c r="BS103" s="40"/>
      <c r="BT103" s="40"/>
      <c r="BU103" s="42"/>
      <c r="BV103" s="40"/>
      <c r="BW103" s="40"/>
      <c r="BX103" s="43"/>
      <c r="BY103" s="40"/>
      <c r="BZ103" s="40"/>
      <c r="CA103" s="42"/>
      <c r="CB103" s="40"/>
      <c r="CC103" s="75"/>
      <c r="CD103" s="43"/>
      <c r="CE103" s="40"/>
      <c r="CF103" s="40"/>
      <c r="CG103" s="42"/>
      <c r="CH103" s="40"/>
      <c r="CI103" s="40"/>
      <c r="CJ103" s="43"/>
      <c r="CK103" s="40"/>
      <c r="CL103" s="40"/>
      <c r="CM103" s="42"/>
      <c r="CN103" s="40"/>
      <c r="CO103" s="40"/>
      <c r="CP103" s="43"/>
      <c r="CQ103" s="40"/>
      <c r="CR103" s="40"/>
      <c r="CS103" s="42"/>
      <c r="CT103" s="40"/>
      <c r="CU103" s="40"/>
      <c r="CV103" s="43"/>
      <c r="CW103" s="40"/>
      <c r="CX103" s="40"/>
      <c r="CY103" s="42"/>
      <c r="CZ103" s="40"/>
      <c r="DA103" s="73"/>
      <c r="DB103" s="43"/>
      <c r="DC103" s="40" t="s">
        <v>421</v>
      </c>
      <c r="DD103" s="74" t="s">
        <v>388</v>
      </c>
      <c r="DE103" s="69">
        <v>37000</v>
      </c>
      <c r="DF103" s="40" t="s">
        <v>403</v>
      </c>
      <c r="DG103" s="40" t="s">
        <v>481</v>
      </c>
      <c r="DH103" s="68">
        <v>47058.34</v>
      </c>
    </row>
    <row r="104" spans="1:112">
      <c r="A104" s="40">
        <v>133</v>
      </c>
      <c r="B104" s="40" t="s">
        <v>210</v>
      </c>
      <c r="C104" s="40">
        <v>5</v>
      </c>
      <c r="D104" s="29" t="s">
        <v>98</v>
      </c>
      <c r="E104" s="30">
        <v>191</v>
      </c>
      <c r="F104" s="30">
        <v>7</v>
      </c>
      <c r="G104" s="52">
        <v>56.93446800000001</v>
      </c>
      <c r="H104" s="68">
        <f t="shared" si="1"/>
        <v>0</v>
      </c>
      <c r="I104" s="47">
        <v>56.93446800000001</v>
      </c>
      <c r="J104" s="43">
        <v>203.15</v>
      </c>
      <c r="K104" s="40"/>
      <c r="L104" s="40"/>
      <c r="M104" s="43"/>
      <c r="N104" s="40"/>
      <c r="O104" s="40"/>
      <c r="P104" s="40"/>
      <c r="Q104" s="42"/>
      <c r="R104" s="40"/>
      <c r="S104" s="40"/>
      <c r="T104" s="43"/>
      <c r="U104" s="40"/>
      <c r="V104" s="40"/>
      <c r="W104" s="42"/>
      <c r="X104" s="40"/>
      <c r="Y104" s="40"/>
      <c r="Z104" s="43"/>
      <c r="AA104" s="40"/>
      <c r="AB104" s="40"/>
      <c r="AC104" s="42"/>
      <c r="AD104" s="40" t="s">
        <v>404</v>
      </c>
      <c r="AE104" s="40" t="s">
        <v>308</v>
      </c>
      <c r="AF104" s="99">
        <v>239</v>
      </c>
      <c r="AG104" s="43">
        <v>203150</v>
      </c>
      <c r="AH104" s="40"/>
      <c r="AI104" s="40"/>
      <c r="AJ104" s="40"/>
      <c r="AK104" s="42"/>
      <c r="AL104" s="40"/>
      <c r="AM104" s="40"/>
      <c r="AN104" s="43"/>
      <c r="AO104" s="40"/>
      <c r="AP104" s="40"/>
      <c r="AQ104" s="42"/>
      <c r="AR104" s="40"/>
      <c r="AS104" s="40"/>
      <c r="AT104" s="43"/>
      <c r="AU104" s="40"/>
      <c r="AV104" s="40"/>
      <c r="AW104" s="42"/>
      <c r="AX104" s="40"/>
      <c r="AY104" s="40"/>
      <c r="AZ104" s="43"/>
      <c r="BA104" s="40"/>
      <c r="BB104" s="40"/>
      <c r="BC104" s="42"/>
      <c r="BD104" s="40"/>
      <c r="BE104" s="40"/>
      <c r="BF104" s="43"/>
      <c r="BG104" s="40"/>
      <c r="BH104" s="40"/>
      <c r="BI104" s="42"/>
      <c r="BJ104" s="40"/>
      <c r="BK104" s="40"/>
      <c r="BL104" s="43"/>
      <c r="BM104" s="40"/>
      <c r="BN104" s="40"/>
      <c r="BO104" s="42"/>
      <c r="BP104" s="40"/>
      <c r="BQ104" s="40"/>
      <c r="BR104" s="43"/>
      <c r="BS104" s="40"/>
      <c r="BT104" s="40"/>
      <c r="BU104" s="42"/>
      <c r="BV104" s="40"/>
      <c r="BW104" s="40"/>
      <c r="BX104" s="43"/>
      <c r="BY104" s="40"/>
      <c r="BZ104" s="40"/>
      <c r="CA104" s="42"/>
      <c r="CB104" s="40"/>
      <c r="CC104" s="75"/>
      <c r="CD104" s="43"/>
      <c r="CE104" s="40"/>
      <c r="CF104" s="40"/>
      <c r="CG104" s="42"/>
      <c r="CH104" s="40"/>
      <c r="CI104" s="40"/>
      <c r="CJ104" s="43"/>
      <c r="CK104" s="40"/>
      <c r="CL104" s="40"/>
      <c r="CM104" s="42"/>
      <c r="CN104" s="40"/>
      <c r="CO104" s="40"/>
      <c r="CP104" s="43"/>
      <c r="CQ104" s="40"/>
      <c r="CR104" s="40"/>
      <c r="CS104" s="42"/>
      <c r="CT104" s="40"/>
      <c r="CU104" s="40"/>
      <c r="CV104" s="43"/>
      <c r="CW104" s="40"/>
      <c r="CX104" s="40"/>
      <c r="CY104" s="42"/>
      <c r="CZ104" s="40"/>
      <c r="DA104" s="73"/>
      <c r="DB104" s="43"/>
      <c r="DC104" s="40"/>
      <c r="DD104" s="74"/>
      <c r="DE104" s="69">
        <v>0</v>
      </c>
      <c r="DF104" s="40"/>
      <c r="DG104" s="40"/>
      <c r="DH104" s="68">
        <v>0</v>
      </c>
    </row>
    <row r="105" spans="1:112">
      <c r="A105" s="40">
        <v>134</v>
      </c>
      <c r="B105" s="40" t="s">
        <v>210</v>
      </c>
      <c r="C105" s="40">
        <v>5</v>
      </c>
      <c r="D105" s="29" t="s">
        <v>98</v>
      </c>
      <c r="E105" s="30">
        <v>195</v>
      </c>
      <c r="F105" s="30">
        <v>6</v>
      </c>
      <c r="G105" s="52">
        <v>59.276671999999998</v>
      </c>
      <c r="H105" s="68">
        <f t="shared" si="1"/>
        <v>0</v>
      </c>
      <c r="I105" s="47">
        <v>59.276671999999998</v>
      </c>
      <c r="J105" s="43">
        <v>195.5</v>
      </c>
      <c r="K105" s="40"/>
      <c r="L105" s="40"/>
      <c r="M105" s="43"/>
      <c r="N105" s="40"/>
      <c r="O105" s="40"/>
      <c r="P105" s="40"/>
      <c r="Q105" s="42"/>
      <c r="R105" s="40"/>
      <c r="S105" s="40"/>
      <c r="T105" s="43"/>
      <c r="U105" s="40"/>
      <c r="V105" s="40"/>
      <c r="W105" s="42"/>
      <c r="X105" s="40"/>
      <c r="Y105" s="40"/>
      <c r="Z105" s="43"/>
      <c r="AA105" s="40"/>
      <c r="AB105" s="40"/>
      <c r="AC105" s="42"/>
      <c r="AD105" s="40" t="s">
        <v>404</v>
      </c>
      <c r="AE105" s="40" t="s">
        <v>308</v>
      </c>
      <c r="AF105" s="99">
        <v>230</v>
      </c>
      <c r="AG105" s="43">
        <v>195500</v>
      </c>
      <c r="AH105" s="40"/>
      <c r="AI105" s="40"/>
      <c r="AJ105" s="40"/>
      <c r="AK105" s="42"/>
      <c r="AL105" s="40"/>
      <c r="AM105" s="40"/>
      <c r="AN105" s="43"/>
      <c r="AO105" s="40"/>
      <c r="AP105" s="40"/>
      <c r="AQ105" s="42"/>
      <c r="AR105" s="40"/>
      <c r="AS105" s="40"/>
      <c r="AT105" s="43"/>
      <c r="AU105" s="40"/>
      <c r="AV105" s="40"/>
      <c r="AW105" s="42"/>
      <c r="AX105" s="40"/>
      <c r="AY105" s="40"/>
      <c r="AZ105" s="43"/>
      <c r="BA105" s="40"/>
      <c r="BB105" s="40"/>
      <c r="BC105" s="42"/>
      <c r="BD105" s="40"/>
      <c r="BE105" s="40"/>
      <c r="BF105" s="43"/>
      <c r="BG105" s="40"/>
      <c r="BH105" s="40"/>
      <c r="BI105" s="42"/>
      <c r="BJ105" s="40"/>
      <c r="BK105" s="40"/>
      <c r="BL105" s="43"/>
      <c r="BM105" s="40"/>
      <c r="BN105" s="40"/>
      <c r="BO105" s="42"/>
      <c r="BP105" s="40"/>
      <c r="BQ105" s="40"/>
      <c r="BR105" s="43"/>
      <c r="BS105" s="40"/>
      <c r="BT105" s="40"/>
      <c r="BU105" s="42"/>
      <c r="BV105" s="40"/>
      <c r="BW105" s="40"/>
      <c r="BX105" s="43"/>
      <c r="BY105" s="40"/>
      <c r="BZ105" s="40"/>
      <c r="CA105" s="42"/>
      <c r="CB105" s="40"/>
      <c r="CC105" s="75"/>
      <c r="CD105" s="43"/>
      <c r="CE105" s="40"/>
      <c r="CF105" s="40"/>
      <c r="CG105" s="42"/>
      <c r="CH105" s="40"/>
      <c r="CI105" s="40"/>
      <c r="CJ105" s="43"/>
      <c r="CK105" s="40"/>
      <c r="CL105" s="40"/>
      <c r="CM105" s="42"/>
      <c r="CN105" s="40"/>
      <c r="CO105" s="40"/>
      <c r="CP105" s="43"/>
      <c r="CQ105" s="40"/>
      <c r="CR105" s="40"/>
      <c r="CS105" s="42"/>
      <c r="CT105" s="40"/>
      <c r="CU105" s="40"/>
      <c r="CV105" s="43"/>
      <c r="CW105" s="40"/>
      <c r="CX105" s="40"/>
      <c r="CY105" s="42"/>
      <c r="CZ105" s="40"/>
      <c r="DA105" s="73"/>
      <c r="DB105" s="43"/>
      <c r="DC105" s="40"/>
      <c r="DD105" s="74"/>
      <c r="DE105" s="69">
        <v>0</v>
      </c>
      <c r="DF105" s="40"/>
      <c r="DG105" s="40"/>
      <c r="DH105" s="68">
        <v>0</v>
      </c>
    </row>
    <row r="106" spans="1:112">
      <c r="A106" s="40">
        <v>141</v>
      </c>
      <c r="B106" s="40" t="s">
        <v>210</v>
      </c>
      <c r="C106" s="40">
        <v>5</v>
      </c>
      <c r="D106" s="29" t="s">
        <v>109</v>
      </c>
      <c r="E106" s="30">
        <v>18</v>
      </c>
      <c r="F106" s="30">
        <v>7</v>
      </c>
      <c r="G106" s="52">
        <v>1.99349</v>
      </c>
      <c r="H106" s="68">
        <f t="shared" si="1"/>
        <v>0</v>
      </c>
      <c r="I106" s="47">
        <v>1.99349</v>
      </c>
      <c r="J106" s="43">
        <v>1.99</v>
      </c>
      <c r="K106" s="40"/>
      <c r="L106" s="40"/>
      <c r="M106" s="43"/>
      <c r="N106" s="40"/>
      <c r="O106" s="40"/>
      <c r="P106" s="40"/>
      <c r="Q106" s="42"/>
      <c r="R106" s="40"/>
      <c r="S106" s="40"/>
      <c r="T106" s="43"/>
      <c r="U106" s="40"/>
      <c r="V106" s="40"/>
      <c r="W106" s="42"/>
      <c r="X106" s="40"/>
      <c r="Y106" s="40"/>
      <c r="Z106" s="43"/>
      <c r="AA106" s="40"/>
      <c r="AB106" s="40"/>
      <c r="AC106" s="42"/>
      <c r="AD106" s="40"/>
      <c r="AE106" s="40"/>
      <c r="AF106" s="40"/>
      <c r="AG106" s="43"/>
      <c r="AH106" s="40"/>
      <c r="AI106" s="40"/>
      <c r="AJ106" s="40"/>
      <c r="AK106" s="42"/>
      <c r="AL106" s="40"/>
      <c r="AM106" s="40"/>
      <c r="AN106" s="43"/>
      <c r="AO106" s="40"/>
      <c r="AP106" s="40"/>
      <c r="AQ106" s="42"/>
      <c r="AR106" s="40"/>
      <c r="AS106" s="40"/>
      <c r="AT106" s="43"/>
      <c r="AU106" s="40"/>
      <c r="AV106" s="40"/>
      <c r="AW106" s="42"/>
      <c r="AX106" s="40"/>
      <c r="AY106" s="40"/>
      <c r="AZ106" s="43"/>
      <c r="BA106" s="40"/>
      <c r="BB106" s="40"/>
      <c r="BC106" s="42"/>
      <c r="BD106" s="40"/>
      <c r="BE106" s="40"/>
      <c r="BF106" s="43"/>
      <c r="BG106" s="40"/>
      <c r="BH106" s="40"/>
      <c r="BI106" s="42"/>
      <c r="BJ106" s="40"/>
      <c r="BK106" s="40"/>
      <c r="BL106" s="43"/>
      <c r="BM106" s="40"/>
      <c r="BN106" s="40"/>
      <c r="BO106" s="42"/>
      <c r="BP106" s="40"/>
      <c r="BQ106" s="40"/>
      <c r="BR106" s="43"/>
      <c r="BS106" s="40"/>
      <c r="BT106" s="40"/>
      <c r="BU106" s="42"/>
      <c r="BV106" s="40"/>
      <c r="BW106" s="40"/>
      <c r="BX106" s="43"/>
      <c r="BY106" s="40"/>
      <c r="BZ106" s="40"/>
      <c r="CA106" s="42"/>
      <c r="CB106" s="40"/>
      <c r="CC106" s="75"/>
      <c r="CD106" s="43"/>
      <c r="CE106" s="40"/>
      <c r="CF106" s="40"/>
      <c r="CG106" s="42"/>
      <c r="CH106" s="40"/>
      <c r="CI106" s="40"/>
      <c r="CJ106" s="43"/>
      <c r="CK106" s="40"/>
      <c r="CL106" s="40"/>
      <c r="CM106" s="42"/>
      <c r="CN106" s="40"/>
      <c r="CO106" s="40"/>
      <c r="CP106" s="43"/>
      <c r="CQ106" s="40"/>
      <c r="CR106" s="40"/>
      <c r="CS106" s="42"/>
      <c r="CT106" s="40"/>
      <c r="CU106" s="40"/>
      <c r="CV106" s="43"/>
      <c r="CW106" s="40"/>
      <c r="CX106" s="40"/>
      <c r="CY106" s="42"/>
      <c r="CZ106" s="40"/>
      <c r="DA106" s="40"/>
      <c r="DB106" s="43"/>
      <c r="DC106" s="40"/>
      <c r="DD106" s="74" t="s">
        <v>311</v>
      </c>
      <c r="DE106" s="69">
        <v>1990</v>
      </c>
      <c r="DF106" s="40"/>
      <c r="DG106" s="40"/>
      <c r="DH106" s="68">
        <v>0</v>
      </c>
    </row>
    <row r="107" spans="1:112">
      <c r="A107" s="40">
        <v>142</v>
      </c>
      <c r="B107" s="40" t="s">
        <v>210</v>
      </c>
      <c r="C107" s="40">
        <v>5</v>
      </c>
      <c r="D107" s="29" t="s">
        <v>109</v>
      </c>
      <c r="E107" s="30" t="s">
        <v>110</v>
      </c>
      <c r="F107" s="30">
        <v>7</v>
      </c>
      <c r="G107" s="52">
        <v>12.217792000000001</v>
      </c>
      <c r="H107" s="68">
        <f t="shared" si="1"/>
        <v>0</v>
      </c>
      <c r="I107" s="47">
        <v>12.217792000000001</v>
      </c>
      <c r="J107" s="43">
        <v>12.22</v>
      </c>
      <c r="K107" s="40"/>
      <c r="L107" s="40"/>
      <c r="M107" s="43"/>
      <c r="N107" s="40"/>
      <c r="O107" s="40"/>
      <c r="P107" s="40"/>
      <c r="Q107" s="42"/>
      <c r="R107" s="40"/>
      <c r="S107" s="40"/>
      <c r="T107" s="43"/>
      <c r="U107" s="40"/>
      <c r="V107" s="40"/>
      <c r="W107" s="42"/>
      <c r="X107" s="40"/>
      <c r="Y107" s="40"/>
      <c r="Z107" s="43"/>
      <c r="AA107" s="40"/>
      <c r="AB107" s="40"/>
      <c r="AC107" s="42"/>
      <c r="AD107" s="40"/>
      <c r="AE107" s="40"/>
      <c r="AF107" s="40"/>
      <c r="AG107" s="43"/>
      <c r="AH107" s="40"/>
      <c r="AI107" s="40"/>
      <c r="AJ107" s="40"/>
      <c r="AK107" s="42"/>
      <c r="AL107" s="40"/>
      <c r="AM107" s="40"/>
      <c r="AN107" s="43"/>
      <c r="AO107" s="40"/>
      <c r="AP107" s="40"/>
      <c r="AQ107" s="42"/>
      <c r="AR107" s="40"/>
      <c r="AS107" s="40"/>
      <c r="AT107" s="43"/>
      <c r="AU107" s="40"/>
      <c r="AV107" s="40"/>
      <c r="AW107" s="42"/>
      <c r="AX107" s="40"/>
      <c r="AY107" s="40"/>
      <c r="AZ107" s="43"/>
      <c r="BA107" s="40"/>
      <c r="BB107" s="40"/>
      <c r="BC107" s="42"/>
      <c r="BD107" s="40"/>
      <c r="BE107" s="40"/>
      <c r="BF107" s="43"/>
      <c r="BG107" s="40"/>
      <c r="BH107" s="40"/>
      <c r="BI107" s="42"/>
      <c r="BJ107" s="40"/>
      <c r="BK107" s="40"/>
      <c r="BL107" s="43"/>
      <c r="BM107" s="40"/>
      <c r="BN107" s="40"/>
      <c r="BO107" s="42"/>
      <c r="BP107" s="40"/>
      <c r="BQ107" s="40"/>
      <c r="BR107" s="43"/>
      <c r="BS107" s="40"/>
      <c r="BT107" s="40"/>
      <c r="BU107" s="42"/>
      <c r="BV107" s="40"/>
      <c r="BW107" s="40"/>
      <c r="BX107" s="43"/>
      <c r="BY107" s="40"/>
      <c r="BZ107" s="40"/>
      <c r="CA107" s="42"/>
      <c r="CB107" s="40"/>
      <c r="CC107" s="75"/>
      <c r="CD107" s="43"/>
      <c r="CE107" s="40"/>
      <c r="CF107" s="40"/>
      <c r="CG107" s="42"/>
      <c r="CH107" s="40"/>
      <c r="CI107" s="40"/>
      <c r="CJ107" s="43"/>
      <c r="CK107" s="40"/>
      <c r="CL107" s="40"/>
      <c r="CM107" s="42"/>
      <c r="CN107" s="40"/>
      <c r="CO107" s="40"/>
      <c r="CP107" s="43"/>
      <c r="CQ107" s="40"/>
      <c r="CR107" s="40"/>
      <c r="CS107" s="42"/>
      <c r="CT107" s="40"/>
      <c r="CU107" s="40"/>
      <c r="CV107" s="43"/>
      <c r="CW107" s="40"/>
      <c r="CX107" s="40"/>
      <c r="CY107" s="42"/>
      <c r="CZ107" s="40"/>
      <c r="DA107" s="40"/>
      <c r="DB107" s="43"/>
      <c r="DC107" s="40" t="s">
        <v>410</v>
      </c>
      <c r="DD107" s="74" t="s">
        <v>321</v>
      </c>
      <c r="DE107" s="69">
        <v>12220</v>
      </c>
      <c r="DF107" s="40"/>
      <c r="DG107" s="40"/>
      <c r="DH107" s="68">
        <v>0</v>
      </c>
    </row>
    <row r="108" spans="1:112" ht="23.25">
      <c r="A108" s="40">
        <v>147</v>
      </c>
      <c r="B108" s="40" t="s">
        <v>210</v>
      </c>
      <c r="C108" s="40">
        <v>5</v>
      </c>
      <c r="D108" s="29" t="s">
        <v>111</v>
      </c>
      <c r="E108" s="30">
        <v>55</v>
      </c>
      <c r="F108" s="30">
        <v>7</v>
      </c>
      <c r="G108" s="52">
        <v>59.561735999999996</v>
      </c>
      <c r="H108" s="68">
        <f t="shared" si="1"/>
        <v>61.012790000000003</v>
      </c>
      <c r="I108" s="47">
        <v>59.561735999999996</v>
      </c>
      <c r="J108" s="43">
        <v>59.56</v>
      </c>
      <c r="K108" s="40"/>
      <c r="L108" s="40"/>
      <c r="M108" s="43"/>
      <c r="N108" s="40"/>
      <c r="O108" s="40"/>
      <c r="P108" s="40"/>
      <c r="Q108" s="42"/>
      <c r="R108" s="40"/>
      <c r="S108" s="40"/>
      <c r="T108" s="43"/>
      <c r="U108" s="40"/>
      <c r="V108" s="40"/>
      <c r="W108" s="42"/>
      <c r="X108" s="40"/>
      <c r="Y108" s="40"/>
      <c r="Z108" s="43"/>
      <c r="AA108" s="40"/>
      <c r="AB108" s="40"/>
      <c r="AC108" s="42"/>
      <c r="AD108" s="40"/>
      <c r="AE108" s="40"/>
      <c r="AF108" s="40"/>
      <c r="AG108" s="43"/>
      <c r="AH108" s="40"/>
      <c r="AI108" s="40"/>
      <c r="AJ108" s="40"/>
      <c r="AK108" s="42"/>
      <c r="AL108" s="40"/>
      <c r="AM108" s="40"/>
      <c r="AN108" s="43"/>
      <c r="AO108" s="40"/>
      <c r="AP108" s="40"/>
      <c r="AQ108" s="42"/>
      <c r="AR108" s="40"/>
      <c r="AS108" s="40"/>
      <c r="AT108" s="43"/>
      <c r="AU108" s="40"/>
      <c r="AV108" s="40"/>
      <c r="AW108" s="42"/>
      <c r="AX108" s="40" t="s">
        <v>402</v>
      </c>
      <c r="AY108" s="40">
        <v>10</v>
      </c>
      <c r="AZ108" s="43">
        <v>18360</v>
      </c>
      <c r="BA108" s="40"/>
      <c r="BB108" s="40"/>
      <c r="BC108" s="42"/>
      <c r="BD108" s="40"/>
      <c r="BE108" s="40"/>
      <c r="BF108" s="43"/>
      <c r="BG108" s="40"/>
      <c r="BH108" s="40"/>
      <c r="BI108" s="42"/>
      <c r="BJ108" s="40"/>
      <c r="BK108" s="40"/>
      <c r="BL108" s="43"/>
      <c r="BM108" s="40"/>
      <c r="BN108" s="40"/>
      <c r="BO108" s="42"/>
      <c r="BP108" s="40"/>
      <c r="BQ108" s="40"/>
      <c r="BR108" s="43"/>
      <c r="BS108" s="40"/>
      <c r="BT108" s="40"/>
      <c r="BU108" s="42"/>
      <c r="BV108" s="40"/>
      <c r="BW108" s="40"/>
      <c r="BX108" s="43"/>
      <c r="BY108" s="40"/>
      <c r="BZ108" s="40"/>
      <c r="CA108" s="42"/>
      <c r="CB108" s="40" t="s">
        <v>402</v>
      </c>
      <c r="CC108" s="75">
        <v>36</v>
      </c>
      <c r="CD108" s="43">
        <v>16200</v>
      </c>
      <c r="CE108" s="40"/>
      <c r="CF108" s="40"/>
      <c r="CG108" s="42"/>
      <c r="CH108" s="40"/>
      <c r="CI108" s="40"/>
      <c r="CJ108" s="43"/>
      <c r="CK108" s="40"/>
      <c r="CL108" s="40"/>
      <c r="CM108" s="42"/>
      <c r="CN108" s="40"/>
      <c r="CO108" s="40"/>
      <c r="CP108" s="43"/>
      <c r="CQ108" s="40"/>
      <c r="CR108" s="40"/>
      <c r="CS108" s="42"/>
      <c r="CT108" s="40"/>
      <c r="CU108" s="40"/>
      <c r="CV108" s="43"/>
      <c r="CW108" s="40"/>
      <c r="CX108" s="40"/>
      <c r="CY108" s="42"/>
      <c r="CZ108" s="40"/>
      <c r="DA108" s="40"/>
      <c r="DB108" s="43"/>
      <c r="DC108" s="40" t="s">
        <v>403</v>
      </c>
      <c r="DD108" s="74" t="s">
        <v>389</v>
      </c>
      <c r="DE108" s="69">
        <v>25000</v>
      </c>
      <c r="DF108" s="40" t="s">
        <v>403</v>
      </c>
      <c r="DG108" s="40" t="s">
        <v>482</v>
      </c>
      <c r="DH108" s="68">
        <v>61012.79</v>
      </c>
    </row>
    <row r="109" spans="1:112">
      <c r="A109" s="40">
        <v>150</v>
      </c>
      <c r="B109" s="40" t="s">
        <v>210</v>
      </c>
      <c r="C109" s="40">
        <v>5</v>
      </c>
      <c r="D109" s="29" t="s">
        <v>111</v>
      </c>
      <c r="E109" s="30">
        <v>111</v>
      </c>
      <c r="F109" s="30">
        <v>7</v>
      </c>
      <c r="G109" s="52">
        <v>5.0702720000000001</v>
      </c>
      <c r="H109" s="68">
        <f t="shared" si="1"/>
        <v>0</v>
      </c>
      <c r="I109" s="47">
        <v>5.0702720000000001</v>
      </c>
      <c r="J109" s="43">
        <v>5.07</v>
      </c>
      <c r="K109" s="40"/>
      <c r="L109" s="40"/>
      <c r="M109" s="43"/>
      <c r="N109" s="40"/>
      <c r="O109" s="40"/>
      <c r="P109" s="40"/>
      <c r="Q109" s="42"/>
      <c r="R109" s="40"/>
      <c r="S109" s="40"/>
      <c r="T109" s="43"/>
      <c r="U109" s="40"/>
      <c r="V109" s="40"/>
      <c r="W109" s="42"/>
      <c r="X109" s="40"/>
      <c r="Y109" s="40"/>
      <c r="Z109" s="43"/>
      <c r="AA109" s="40"/>
      <c r="AB109" s="40"/>
      <c r="AC109" s="42"/>
      <c r="AD109" s="40"/>
      <c r="AE109" s="40"/>
      <c r="AF109" s="40"/>
      <c r="AG109" s="43"/>
      <c r="AH109" s="40"/>
      <c r="AI109" s="40"/>
      <c r="AJ109" s="40"/>
      <c r="AK109" s="42"/>
      <c r="AL109" s="40"/>
      <c r="AM109" s="40"/>
      <c r="AN109" s="43"/>
      <c r="AO109" s="40"/>
      <c r="AP109" s="40"/>
      <c r="AQ109" s="42"/>
      <c r="AR109" s="40"/>
      <c r="AS109" s="40"/>
      <c r="AT109" s="43"/>
      <c r="AU109" s="40"/>
      <c r="AV109" s="40"/>
      <c r="AW109" s="42"/>
      <c r="AX109" s="40"/>
      <c r="AY109" s="40"/>
      <c r="AZ109" s="43"/>
      <c r="BA109" s="40"/>
      <c r="BB109" s="40"/>
      <c r="BC109" s="42"/>
      <c r="BD109" s="40"/>
      <c r="BE109" s="40"/>
      <c r="BF109" s="43"/>
      <c r="BG109" s="40"/>
      <c r="BH109" s="40"/>
      <c r="BI109" s="42"/>
      <c r="BJ109" s="40"/>
      <c r="BK109" s="40"/>
      <c r="BL109" s="43"/>
      <c r="BM109" s="40"/>
      <c r="BN109" s="40"/>
      <c r="BO109" s="42"/>
      <c r="BP109" s="40"/>
      <c r="BQ109" s="40"/>
      <c r="BR109" s="43"/>
      <c r="BS109" s="40"/>
      <c r="BT109" s="40"/>
      <c r="BU109" s="42"/>
      <c r="BV109" s="40"/>
      <c r="BW109" s="40"/>
      <c r="BX109" s="43"/>
      <c r="BY109" s="40"/>
      <c r="BZ109" s="40"/>
      <c r="CA109" s="42"/>
      <c r="CB109" s="40"/>
      <c r="CC109" s="75"/>
      <c r="CD109" s="43"/>
      <c r="CE109" s="40"/>
      <c r="CF109" s="40"/>
      <c r="CG109" s="42"/>
      <c r="CH109" s="40"/>
      <c r="CI109" s="40"/>
      <c r="CJ109" s="43"/>
      <c r="CK109" s="40"/>
      <c r="CL109" s="40"/>
      <c r="CM109" s="42"/>
      <c r="CN109" s="40"/>
      <c r="CO109" s="40"/>
      <c r="CP109" s="43"/>
      <c r="CQ109" s="40"/>
      <c r="CR109" s="40"/>
      <c r="CS109" s="42"/>
      <c r="CT109" s="40"/>
      <c r="CU109" s="40"/>
      <c r="CV109" s="43"/>
      <c r="CW109" s="40"/>
      <c r="CX109" s="40"/>
      <c r="CY109" s="42"/>
      <c r="CZ109" s="40"/>
      <c r="DA109" s="40"/>
      <c r="DB109" s="43"/>
      <c r="DC109" s="40"/>
      <c r="DD109" s="75" t="s">
        <v>311</v>
      </c>
      <c r="DE109" s="69">
        <v>5070</v>
      </c>
      <c r="DF109" s="40"/>
      <c r="DG109" s="40"/>
      <c r="DH109" s="68">
        <v>0</v>
      </c>
    </row>
    <row r="110" spans="1:112">
      <c r="A110" s="40">
        <v>151</v>
      </c>
      <c r="B110" s="40" t="s">
        <v>210</v>
      </c>
      <c r="C110" s="40">
        <v>5</v>
      </c>
      <c r="D110" s="29" t="s">
        <v>111</v>
      </c>
      <c r="E110" s="30">
        <v>125</v>
      </c>
      <c r="F110" s="30">
        <v>7</v>
      </c>
      <c r="G110" s="52">
        <v>10.564928</v>
      </c>
      <c r="H110" s="68">
        <f t="shared" si="1"/>
        <v>0</v>
      </c>
      <c r="I110" s="47">
        <v>10.564928</v>
      </c>
      <c r="J110" s="43">
        <v>10.56</v>
      </c>
      <c r="K110" s="40"/>
      <c r="L110" s="40"/>
      <c r="M110" s="43"/>
      <c r="N110" s="40"/>
      <c r="O110" s="40"/>
      <c r="P110" s="40"/>
      <c r="Q110" s="42"/>
      <c r="R110" s="40"/>
      <c r="S110" s="40">
        <v>15</v>
      </c>
      <c r="T110" s="43"/>
      <c r="U110" s="40"/>
      <c r="V110" s="40"/>
      <c r="W110" s="42"/>
      <c r="X110" s="40"/>
      <c r="Y110" s="40"/>
      <c r="Z110" s="43"/>
      <c r="AA110" s="40"/>
      <c r="AB110" s="40"/>
      <c r="AC110" s="42"/>
      <c r="AD110" s="40"/>
      <c r="AE110" s="40"/>
      <c r="AF110" s="40"/>
      <c r="AG110" s="43"/>
      <c r="AH110" s="40"/>
      <c r="AI110" s="40"/>
      <c r="AJ110" s="40"/>
      <c r="AK110" s="42"/>
      <c r="AL110" s="40"/>
      <c r="AM110" s="40"/>
      <c r="AN110" s="43"/>
      <c r="AO110" s="40"/>
      <c r="AP110" s="40"/>
      <c r="AQ110" s="42"/>
      <c r="AR110" s="40"/>
      <c r="AS110" s="40"/>
      <c r="AT110" s="43"/>
      <c r="AU110" s="40"/>
      <c r="AV110" s="40"/>
      <c r="AW110" s="42"/>
      <c r="AX110" s="40"/>
      <c r="AY110" s="40"/>
      <c r="AZ110" s="43"/>
      <c r="BA110" s="40"/>
      <c r="BB110" s="40"/>
      <c r="BC110" s="42"/>
      <c r="BD110" s="40"/>
      <c r="BE110" s="40"/>
      <c r="BF110" s="43"/>
      <c r="BG110" s="40"/>
      <c r="BH110" s="40"/>
      <c r="BI110" s="42"/>
      <c r="BJ110" s="40"/>
      <c r="BK110" s="40"/>
      <c r="BL110" s="43"/>
      <c r="BM110" s="40"/>
      <c r="BN110" s="40"/>
      <c r="BO110" s="42"/>
      <c r="BP110" s="40"/>
      <c r="BQ110" s="40"/>
      <c r="BR110" s="43"/>
      <c r="BS110" s="40"/>
      <c r="BT110" s="40"/>
      <c r="BU110" s="42"/>
      <c r="BV110" s="40"/>
      <c r="BW110" s="40"/>
      <c r="BX110" s="43"/>
      <c r="BY110" s="40"/>
      <c r="BZ110" s="40"/>
      <c r="CA110" s="42"/>
      <c r="CB110" s="40"/>
      <c r="CC110" s="75"/>
      <c r="CD110" s="43"/>
      <c r="CE110" s="40"/>
      <c r="CF110" s="40"/>
      <c r="CG110" s="42"/>
      <c r="CH110" s="40"/>
      <c r="CI110" s="40"/>
      <c r="CJ110" s="43"/>
      <c r="CK110" s="40"/>
      <c r="CL110" s="40"/>
      <c r="CM110" s="42"/>
      <c r="CN110" s="40"/>
      <c r="CO110" s="40"/>
      <c r="CP110" s="43"/>
      <c r="CQ110" s="40"/>
      <c r="CR110" s="40"/>
      <c r="CS110" s="42"/>
      <c r="CT110" s="40"/>
      <c r="CU110" s="40"/>
      <c r="CV110" s="43"/>
      <c r="CW110" s="40"/>
      <c r="CX110" s="40"/>
      <c r="CY110" s="42"/>
      <c r="CZ110" s="40"/>
      <c r="DA110" s="40"/>
      <c r="DB110" s="43"/>
      <c r="DC110" s="40"/>
      <c r="DD110" s="75" t="s">
        <v>311</v>
      </c>
      <c r="DE110" s="69">
        <v>10560</v>
      </c>
      <c r="DF110" s="40"/>
      <c r="DG110" s="40"/>
      <c r="DH110" s="68">
        <v>0</v>
      </c>
    </row>
    <row r="111" spans="1:112">
      <c r="A111" s="40">
        <v>152</v>
      </c>
      <c r="B111" s="40" t="s">
        <v>210</v>
      </c>
      <c r="C111" s="40">
        <v>5</v>
      </c>
      <c r="D111" s="29" t="s">
        <v>111</v>
      </c>
      <c r="E111" s="30">
        <v>127</v>
      </c>
      <c r="F111" s="30">
        <v>7</v>
      </c>
      <c r="G111" s="52">
        <v>13.234079999999999</v>
      </c>
      <c r="H111" s="68">
        <f t="shared" si="1"/>
        <v>0</v>
      </c>
      <c r="I111" s="47">
        <v>13.234079999999999</v>
      </c>
      <c r="J111" s="43">
        <v>13.23</v>
      </c>
      <c r="K111" s="40"/>
      <c r="L111" s="40"/>
      <c r="M111" s="43"/>
      <c r="N111" s="40"/>
      <c r="O111" s="40"/>
      <c r="P111" s="40"/>
      <c r="Q111" s="42"/>
      <c r="R111" s="40"/>
      <c r="S111" s="40">
        <v>20</v>
      </c>
      <c r="T111" s="43"/>
      <c r="U111" s="40"/>
      <c r="V111" s="40"/>
      <c r="W111" s="42"/>
      <c r="X111" s="40"/>
      <c r="Y111" s="40"/>
      <c r="Z111" s="43"/>
      <c r="AA111" s="40"/>
      <c r="AB111" s="40"/>
      <c r="AC111" s="42"/>
      <c r="AD111" s="40"/>
      <c r="AE111" s="40"/>
      <c r="AF111" s="40"/>
      <c r="AG111" s="43"/>
      <c r="AH111" s="40"/>
      <c r="AI111" s="40"/>
      <c r="AJ111" s="40"/>
      <c r="AK111" s="42"/>
      <c r="AL111" s="40"/>
      <c r="AM111" s="40"/>
      <c r="AN111" s="43"/>
      <c r="AO111" s="40"/>
      <c r="AP111" s="40"/>
      <c r="AQ111" s="42"/>
      <c r="AR111" s="40"/>
      <c r="AS111" s="40"/>
      <c r="AT111" s="43"/>
      <c r="AU111" s="40"/>
      <c r="AV111" s="40"/>
      <c r="AW111" s="42"/>
      <c r="AX111" s="40"/>
      <c r="AY111" s="40"/>
      <c r="AZ111" s="43"/>
      <c r="BA111" s="40"/>
      <c r="BB111" s="40"/>
      <c r="BC111" s="42"/>
      <c r="BD111" s="40"/>
      <c r="BE111" s="40"/>
      <c r="BF111" s="43"/>
      <c r="BG111" s="40"/>
      <c r="BH111" s="40"/>
      <c r="BI111" s="42"/>
      <c r="BJ111" s="40"/>
      <c r="BK111" s="40"/>
      <c r="BL111" s="43"/>
      <c r="BM111" s="40"/>
      <c r="BN111" s="40"/>
      <c r="BO111" s="42"/>
      <c r="BP111" s="40"/>
      <c r="BQ111" s="40"/>
      <c r="BR111" s="43"/>
      <c r="BS111" s="40"/>
      <c r="BT111" s="40"/>
      <c r="BU111" s="42"/>
      <c r="BV111" s="40"/>
      <c r="BW111" s="40"/>
      <c r="BX111" s="43"/>
      <c r="BY111" s="40"/>
      <c r="BZ111" s="40"/>
      <c r="CA111" s="42"/>
      <c r="CB111" s="40"/>
      <c r="CC111" s="75"/>
      <c r="CD111" s="43"/>
      <c r="CE111" s="40"/>
      <c r="CF111" s="40"/>
      <c r="CG111" s="42"/>
      <c r="CH111" s="40"/>
      <c r="CI111" s="40"/>
      <c r="CJ111" s="43"/>
      <c r="CK111" s="40"/>
      <c r="CL111" s="40"/>
      <c r="CM111" s="42"/>
      <c r="CN111" s="40"/>
      <c r="CO111" s="40"/>
      <c r="CP111" s="43"/>
      <c r="CQ111" s="40"/>
      <c r="CR111" s="40"/>
      <c r="CS111" s="42"/>
      <c r="CT111" s="40"/>
      <c r="CU111" s="40"/>
      <c r="CV111" s="43"/>
      <c r="CW111" s="40"/>
      <c r="CX111" s="40"/>
      <c r="CY111" s="42"/>
      <c r="CZ111" s="40"/>
      <c r="DA111" s="40"/>
      <c r="DB111" s="43"/>
      <c r="DC111" s="40"/>
      <c r="DD111" s="75" t="s">
        <v>311</v>
      </c>
      <c r="DE111" s="69">
        <v>13230</v>
      </c>
      <c r="DF111" s="40"/>
      <c r="DG111" s="40"/>
      <c r="DH111" s="68">
        <v>0</v>
      </c>
    </row>
    <row r="112" spans="1:112">
      <c r="A112" s="40">
        <v>153</v>
      </c>
      <c r="B112" s="40" t="s">
        <v>210</v>
      </c>
      <c r="C112" s="40">
        <v>5</v>
      </c>
      <c r="D112" s="29" t="s">
        <v>111</v>
      </c>
      <c r="E112" s="30">
        <v>129</v>
      </c>
      <c r="F112" s="30">
        <v>7</v>
      </c>
      <c r="G112" s="52">
        <v>10.509088</v>
      </c>
      <c r="H112" s="68">
        <f t="shared" si="1"/>
        <v>0</v>
      </c>
      <c r="I112" s="47">
        <v>10.509088</v>
      </c>
      <c r="J112" s="43">
        <v>10.51</v>
      </c>
      <c r="K112" s="40"/>
      <c r="L112" s="40"/>
      <c r="M112" s="43"/>
      <c r="N112" s="40"/>
      <c r="O112" s="40"/>
      <c r="P112" s="40"/>
      <c r="Q112" s="42"/>
      <c r="R112" s="40"/>
      <c r="S112" s="40"/>
      <c r="T112" s="43"/>
      <c r="U112" s="40"/>
      <c r="V112" s="40"/>
      <c r="W112" s="42"/>
      <c r="X112" s="40"/>
      <c r="Y112" s="40"/>
      <c r="Z112" s="43"/>
      <c r="AA112" s="40"/>
      <c r="AB112" s="40"/>
      <c r="AC112" s="42"/>
      <c r="AD112" s="40"/>
      <c r="AE112" s="40"/>
      <c r="AF112" s="40"/>
      <c r="AG112" s="43"/>
      <c r="AH112" s="40"/>
      <c r="AI112" s="40"/>
      <c r="AJ112" s="40"/>
      <c r="AK112" s="42"/>
      <c r="AL112" s="40"/>
      <c r="AM112" s="40"/>
      <c r="AN112" s="43"/>
      <c r="AO112" s="40"/>
      <c r="AP112" s="40"/>
      <c r="AQ112" s="42"/>
      <c r="AR112" s="40"/>
      <c r="AS112" s="40"/>
      <c r="AT112" s="43"/>
      <c r="AU112" s="40"/>
      <c r="AV112" s="40"/>
      <c r="AW112" s="42"/>
      <c r="AX112" s="40"/>
      <c r="AY112" s="40"/>
      <c r="AZ112" s="43"/>
      <c r="BA112" s="40"/>
      <c r="BB112" s="40"/>
      <c r="BC112" s="42"/>
      <c r="BD112" s="40"/>
      <c r="BE112" s="40"/>
      <c r="BF112" s="43"/>
      <c r="BG112" s="40"/>
      <c r="BH112" s="40"/>
      <c r="BI112" s="42"/>
      <c r="BJ112" s="40"/>
      <c r="BK112" s="40"/>
      <c r="BL112" s="43"/>
      <c r="BM112" s="40"/>
      <c r="BN112" s="40"/>
      <c r="BO112" s="42"/>
      <c r="BP112" s="40"/>
      <c r="BQ112" s="40"/>
      <c r="BR112" s="43"/>
      <c r="BS112" s="40"/>
      <c r="BT112" s="40"/>
      <c r="BU112" s="42"/>
      <c r="BV112" s="40"/>
      <c r="BW112" s="40"/>
      <c r="BX112" s="43"/>
      <c r="BY112" s="40"/>
      <c r="BZ112" s="40"/>
      <c r="CA112" s="42"/>
      <c r="CB112" s="40"/>
      <c r="CC112" s="75"/>
      <c r="CD112" s="43"/>
      <c r="CE112" s="40"/>
      <c r="CF112" s="40"/>
      <c r="CG112" s="42"/>
      <c r="CH112" s="40"/>
      <c r="CI112" s="40"/>
      <c r="CJ112" s="43"/>
      <c r="CK112" s="40"/>
      <c r="CL112" s="40"/>
      <c r="CM112" s="42"/>
      <c r="CN112" s="40"/>
      <c r="CO112" s="40"/>
      <c r="CP112" s="43"/>
      <c r="CQ112" s="40"/>
      <c r="CR112" s="40"/>
      <c r="CS112" s="42"/>
      <c r="CT112" s="40"/>
      <c r="CU112" s="40"/>
      <c r="CV112" s="43"/>
      <c r="CW112" s="40"/>
      <c r="CX112" s="40"/>
      <c r="CY112" s="42"/>
      <c r="CZ112" s="40"/>
      <c r="DA112" s="40"/>
      <c r="DB112" s="43"/>
      <c r="DC112" s="40"/>
      <c r="DD112" s="75" t="s">
        <v>311</v>
      </c>
      <c r="DE112" s="69">
        <v>10510</v>
      </c>
      <c r="DF112" s="40"/>
      <c r="DG112" s="40"/>
      <c r="DH112" s="68">
        <v>0</v>
      </c>
    </row>
    <row r="113" spans="1:112">
      <c r="A113" s="40">
        <v>154</v>
      </c>
      <c r="B113" s="40" t="s">
        <v>210</v>
      </c>
      <c r="C113" s="40">
        <v>4</v>
      </c>
      <c r="D113" s="29" t="s">
        <v>114</v>
      </c>
      <c r="E113" s="30">
        <v>79</v>
      </c>
      <c r="F113" s="30">
        <v>7</v>
      </c>
      <c r="G113" s="52">
        <v>15.557024000000004</v>
      </c>
      <c r="H113" s="68">
        <f t="shared" si="1"/>
        <v>0</v>
      </c>
      <c r="I113" s="47">
        <v>15.557024000000004</v>
      </c>
      <c r="J113" s="43">
        <v>15.56</v>
      </c>
      <c r="K113" s="40"/>
      <c r="L113" s="40"/>
      <c r="M113" s="43"/>
      <c r="N113" s="40"/>
      <c r="O113" s="40"/>
      <c r="P113" s="40"/>
      <c r="Q113" s="42"/>
      <c r="R113" s="40"/>
      <c r="S113" s="40"/>
      <c r="T113" s="43"/>
      <c r="U113" s="40"/>
      <c r="V113" s="40"/>
      <c r="W113" s="42"/>
      <c r="X113" s="40"/>
      <c r="Y113" s="40"/>
      <c r="Z113" s="43"/>
      <c r="AA113" s="40"/>
      <c r="AB113" s="40"/>
      <c r="AC113" s="42"/>
      <c r="AD113" s="40"/>
      <c r="AE113" s="40"/>
      <c r="AF113" s="40"/>
      <c r="AG113" s="43"/>
      <c r="AH113" s="40"/>
      <c r="AI113" s="40"/>
      <c r="AJ113" s="40"/>
      <c r="AK113" s="42"/>
      <c r="AL113" s="40"/>
      <c r="AM113" s="40"/>
      <c r="AN113" s="43"/>
      <c r="AO113" s="40"/>
      <c r="AP113" s="40"/>
      <c r="AQ113" s="42"/>
      <c r="AR113" s="40"/>
      <c r="AS113" s="40"/>
      <c r="AT113" s="43"/>
      <c r="AU113" s="40"/>
      <c r="AV113" s="40"/>
      <c r="AW113" s="42"/>
      <c r="AX113" s="40"/>
      <c r="AY113" s="40"/>
      <c r="AZ113" s="43"/>
      <c r="BA113" s="40"/>
      <c r="BB113" s="40"/>
      <c r="BC113" s="42"/>
      <c r="BD113" s="40"/>
      <c r="BE113" s="40"/>
      <c r="BF113" s="43"/>
      <c r="BG113" s="40"/>
      <c r="BH113" s="40"/>
      <c r="BI113" s="42"/>
      <c r="BJ113" s="40"/>
      <c r="BK113" s="40"/>
      <c r="BL113" s="43"/>
      <c r="BM113" s="40"/>
      <c r="BN113" s="40"/>
      <c r="BO113" s="42"/>
      <c r="BP113" s="40"/>
      <c r="BQ113" s="40"/>
      <c r="BR113" s="43"/>
      <c r="BS113" s="40"/>
      <c r="BT113" s="40"/>
      <c r="BU113" s="42"/>
      <c r="BV113" s="40"/>
      <c r="BW113" s="40"/>
      <c r="BX113" s="43"/>
      <c r="BY113" s="40"/>
      <c r="BZ113" s="40"/>
      <c r="CA113" s="42"/>
      <c r="CB113" s="40"/>
      <c r="CC113" s="75"/>
      <c r="CD113" s="43"/>
      <c r="CE113" s="40"/>
      <c r="CF113" s="40"/>
      <c r="CG113" s="42"/>
      <c r="CH113" s="40"/>
      <c r="CI113" s="40"/>
      <c r="CJ113" s="43"/>
      <c r="CK113" s="40"/>
      <c r="CL113" s="40"/>
      <c r="CM113" s="42"/>
      <c r="CN113" s="40"/>
      <c r="CO113" s="40"/>
      <c r="CP113" s="43"/>
      <c r="CQ113" s="40"/>
      <c r="CR113" s="40"/>
      <c r="CS113" s="42"/>
      <c r="CT113" s="40"/>
      <c r="CU113" s="40"/>
      <c r="CV113" s="43"/>
      <c r="CW113" s="40"/>
      <c r="CX113" s="40"/>
      <c r="CY113" s="42"/>
      <c r="CZ113" s="40"/>
      <c r="DA113" s="40"/>
      <c r="DB113" s="43"/>
      <c r="DC113" s="40"/>
      <c r="DD113" s="75" t="s">
        <v>311</v>
      </c>
      <c r="DE113" s="69">
        <v>15560</v>
      </c>
      <c r="DF113" s="40"/>
      <c r="DG113" s="40"/>
      <c r="DH113" s="68">
        <v>0</v>
      </c>
    </row>
    <row r="114" spans="1:112">
      <c r="A114" s="40">
        <v>155</v>
      </c>
      <c r="B114" s="40" t="s">
        <v>210</v>
      </c>
      <c r="C114" s="40">
        <v>4</v>
      </c>
      <c r="D114" s="29" t="s">
        <v>115</v>
      </c>
      <c r="E114" s="30">
        <v>48</v>
      </c>
      <c r="F114" s="30">
        <v>6</v>
      </c>
      <c r="G114" s="52">
        <v>25.087992</v>
      </c>
      <c r="H114" s="68">
        <f t="shared" si="1"/>
        <v>0</v>
      </c>
      <c r="I114" s="47">
        <v>25.087992</v>
      </c>
      <c r="J114" s="43">
        <v>25.09</v>
      </c>
      <c r="K114" s="40"/>
      <c r="L114" s="40"/>
      <c r="M114" s="43"/>
      <c r="N114" s="40"/>
      <c r="O114" s="40"/>
      <c r="P114" s="40"/>
      <c r="Q114" s="42"/>
      <c r="R114" s="40"/>
      <c r="S114" s="40"/>
      <c r="T114" s="43"/>
      <c r="U114" s="40"/>
      <c r="V114" s="40"/>
      <c r="W114" s="42"/>
      <c r="X114" s="40"/>
      <c r="Y114" s="40"/>
      <c r="Z114" s="43"/>
      <c r="AA114" s="40"/>
      <c r="AB114" s="40"/>
      <c r="AC114" s="42"/>
      <c r="AD114" s="40"/>
      <c r="AE114" s="40"/>
      <c r="AF114" s="40"/>
      <c r="AG114" s="43"/>
      <c r="AH114" s="40"/>
      <c r="AI114" s="40"/>
      <c r="AJ114" s="40"/>
      <c r="AK114" s="42"/>
      <c r="AL114" s="40"/>
      <c r="AM114" s="40"/>
      <c r="AN114" s="43"/>
      <c r="AO114" s="40"/>
      <c r="AP114" s="40"/>
      <c r="AQ114" s="42"/>
      <c r="AR114" s="40"/>
      <c r="AS114" s="40"/>
      <c r="AT114" s="43"/>
      <c r="AU114" s="40"/>
      <c r="AV114" s="40"/>
      <c r="AW114" s="42"/>
      <c r="AX114" s="40"/>
      <c r="AY114" s="40"/>
      <c r="AZ114" s="43"/>
      <c r="BA114" s="40"/>
      <c r="BB114" s="40"/>
      <c r="BC114" s="42"/>
      <c r="BD114" s="40"/>
      <c r="BE114" s="40"/>
      <c r="BF114" s="43"/>
      <c r="BG114" s="40"/>
      <c r="BH114" s="40"/>
      <c r="BI114" s="42"/>
      <c r="BJ114" s="40"/>
      <c r="BK114" s="40"/>
      <c r="BL114" s="43"/>
      <c r="BM114" s="40"/>
      <c r="BN114" s="40"/>
      <c r="BO114" s="42"/>
      <c r="BP114" s="40"/>
      <c r="BQ114" s="40"/>
      <c r="BR114" s="43"/>
      <c r="BS114" s="40"/>
      <c r="BT114" s="40"/>
      <c r="BU114" s="42"/>
      <c r="BV114" s="40"/>
      <c r="BW114" s="40"/>
      <c r="BX114" s="43"/>
      <c r="BY114" s="40"/>
      <c r="BZ114" s="40"/>
      <c r="CA114" s="42"/>
      <c r="CB114" s="40"/>
      <c r="CC114" s="75"/>
      <c r="CD114" s="43"/>
      <c r="CE114" s="40"/>
      <c r="CF114" s="40"/>
      <c r="CG114" s="42"/>
      <c r="CH114" s="40"/>
      <c r="CI114" s="40"/>
      <c r="CJ114" s="43"/>
      <c r="CK114" s="40"/>
      <c r="CL114" s="40"/>
      <c r="CM114" s="42"/>
      <c r="CN114" s="40"/>
      <c r="CO114" s="40"/>
      <c r="CP114" s="43"/>
      <c r="CQ114" s="40"/>
      <c r="CR114" s="40"/>
      <c r="CS114" s="42"/>
      <c r="CT114" s="40"/>
      <c r="CU114" s="40"/>
      <c r="CV114" s="43"/>
      <c r="CW114" s="40"/>
      <c r="CX114" s="40"/>
      <c r="CY114" s="42"/>
      <c r="CZ114" s="40"/>
      <c r="DA114" s="40"/>
      <c r="DB114" s="43"/>
      <c r="DC114" s="40"/>
      <c r="DD114" s="75" t="s">
        <v>364</v>
      </c>
      <c r="DE114" s="69">
        <v>25090</v>
      </c>
      <c r="DF114" s="40"/>
      <c r="DG114" s="40"/>
      <c r="DH114" s="68">
        <v>0</v>
      </c>
    </row>
    <row r="115" spans="1:112">
      <c r="A115" s="40">
        <v>157</v>
      </c>
      <c r="B115" s="40" t="s">
        <v>210</v>
      </c>
      <c r="C115" s="40">
        <v>4</v>
      </c>
      <c r="D115" s="29" t="s">
        <v>115</v>
      </c>
      <c r="E115" s="30" t="s">
        <v>116</v>
      </c>
      <c r="F115" s="30">
        <v>6</v>
      </c>
      <c r="G115" s="52">
        <v>22.899967999999998</v>
      </c>
      <c r="H115" s="68">
        <f t="shared" si="1"/>
        <v>0</v>
      </c>
      <c r="I115" s="47">
        <v>22.899967999999998</v>
      </c>
      <c r="J115" s="43">
        <v>22.9</v>
      </c>
      <c r="K115" s="40"/>
      <c r="L115" s="40"/>
      <c r="M115" s="43"/>
      <c r="N115" s="40"/>
      <c r="O115" s="40"/>
      <c r="P115" s="40"/>
      <c r="Q115" s="42"/>
      <c r="R115" s="40"/>
      <c r="S115" s="40"/>
      <c r="T115" s="43"/>
      <c r="U115" s="40"/>
      <c r="V115" s="40"/>
      <c r="W115" s="42"/>
      <c r="X115" s="40"/>
      <c r="Y115" s="40"/>
      <c r="Z115" s="43"/>
      <c r="AA115" s="40"/>
      <c r="AB115" s="40"/>
      <c r="AC115" s="42"/>
      <c r="AD115" s="40"/>
      <c r="AE115" s="40"/>
      <c r="AF115" s="40"/>
      <c r="AG115" s="43"/>
      <c r="AH115" s="40"/>
      <c r="AI115" s="40"/>
      <c r="AJ115" s="40"/>
      <c r="AK115" s="42"/>
      <c r="AL115" s="40"/>
      <c r="AM115" s="40"/>
      <c r="AN115" s="43"/>
      <c r="AO115" s="40"/>
      <c r="AP115" s="40"/>
      <c r="AQ115" s="42"/>
      <c r="AR115" s="40"/>
      <c r="AS115" s="40"/>
      <c r="AT115" s="43"/>
      <c r="AU115" s="40"/>
      <c r="AV115" s="40"/>
      <c r="AW115" s="42"/>
      <c r="AX115" s="40"/>
      <c r="AY115" s="40"/>
      <c r="AZ115" s="43"/>
      <c r="BA115" s="40"/>
      <c r="BB115" s="40"/>
      <c r="BC115" s="42"/>
      <c r="BD115" s="40"/>
      <c r="BE115" s="40"/>
      <c r="BF115" s="43"/>
      <c r="BG115" s="40"/>
      <c r="BH115" s="40"/>
      <c r="BI115" s="42"/>
      <c r="BJ115" s="40"/>
      <c r="BK115" s="40"/>
      <c r="BL115" s="43"/>
      <c r="BM115" s="40"/>
      <c r="BN115" s="40"/>
      <c r="BO115" s="42"/>
      <c r="BP115" s="40"/>
      <c r="BQ115" s="40"/>
      <c r="BR115" s="43"/>
      <c r="BS115" s="40"/>
      <c r="BT115" s="40"/>
      <c r="BU115" s="42"/>
      <c r="BV115" s="40"/>
      <c r="BW115" s="40"/>
      <c r="BX115" s="43"/>
      <c r="BY115" s="40"/>
      <c r="BZ115" s="40"/>
      <c r="CA115" s="42"/>
      <c r="CB115" s="40"/>
      <c r="CC115" s="75"/>
      <c r="CD115" s="43"/>
      <c r="CE115" s="40"/>
      <c r="CF115" s="40"/>
      <c r="CG115" s="42"/>
      <c r="CH115" s="40"/>
      <c r="CI115" s="40"/>
      <c r="CJ115" s="43"/>
      <c r="CK115" s="40"/>
      <c r="CL115" s="40"/>
      <c r="CM115" s="42"/>
      <c r="CN115" s="40"/>
      <c r="CO115" s="40"/>
      <c r="CP115" s="43"/>
      <c r="CQ115" s="40"/>
      <c r="CR115" s="40"/>
      <c r="CS115" s="42"/>
      <c r="CT115" s="40"/>
      <c r="CU115" s="40"/>
      <c r="CV115" s="43"/>
      <c r="CW115" s="40"/>
      <c r="CX115" s="40"/>
      <c r="CY115" s="42"/>
      <c r="CZ115" s="40"/>
      <c r="DA115" s="40"/>
      <c r="DB115" s="43"/>
      <c r="DC115" s="40"/>
      <c r="DD115" s="75" t="s">
        <v>311</v>
      </c>
      <c r="DE115" s="69">
        <v>22900</v>
      </c>
      <c r="DF115" s="40"/>
      <c r="DG115" s="40"/>
      <c r="DH115" s="68">
        <v>0</v>
      </c>
    </row>
    <row r="116" spans="1:112">
      <c r="A116" s="40">
        <v>158</v>
      </c>
      <c r="B116" s="40" t="s">
        <v>210</v>
      </c>
      <c r="C116" s="40">
        <v>4</v>
      </c>
      <c r="D116" s="29" t="s">
        <v>115</v>
      </c>
      <c r="E116" s="30">
        <v>123</v>
      </c>
      <c r="F116" s="30">
        <v>6</v>
      </c>
      <c r="G116" s="52">
        <v>55.688999999999993</v>
      </c>
      <c r="H116" s="68">
        <f t="shared" si="1"/>
        <v>0</v>
      </c>
      <c r="I116" s="47">
        <v>55.688999999999993</v>
      </c>
      <c r="J116" s="43">
        <v>55.69</v>
      </c>
      <c r="K116" s="40"/>
      <c r="L116" s="40"/>
      <c r="M116" s="43"/>
      <c r="N116" s="40"/>
      <c r="O116" s="40"/>
      <c r="P116" s="40"/>
      <c r="Q116" s="42"/>
      <c r="R116" s="40"/>
      <c r="S116" s="40"/>
      <c r="T116" s="43"/>
      <c r="U116" s="40"/>
      <c r="V116" s="40"/>
      <c r="W116" s="42"/>
      <c r="X116" s="40"/>
      <c r="Y116" s="40"/>
      <c r="Z116" s="43"/>
      <c r="AA116" s="40"/>
      <c r="AB116" s="40"/>
      <c r="AC116" s="42"/>
      <c r="AD116" s="40"/>
      <c r="AE116" s="40"/>
      <c r="AF116" s="40"/>
      <c r="AG116" s="43"/>
      <c r="AH116" s="40"/>
      <c r="AI116" s="40"/>
      <c r="AJ116" s="40"/>
      <c r="AK116" s="42"/>
      <c r="AL116" s="40"/>
      <c r="AM116" s="40"/>
      <c r="AN116" s="43"/>
      <c r="AO116" s="40"/>
      <c r="AP116" s="40"/>
      <c r="AQ116" s="42"/>
      <c r="AR116" s="40"/>
      <c r="AS116" s="40"/>
      <c r="AT116" s="43"/>
      <c r="AU116" s="40"/>
      <c r="AV116" s="40"/>
      <c r="AW116" s="42"/>
      <c r="AX116" s="40"/>
      <c r="AY116" s="40"/>
      <c r="AZ116" s="43"/>
      <c r="BA116" s="40"/>
      <c r="BB116" s="40"/>
      <c r="BC116" s="42"/>
      <c r="BD116" s="40"/>
      <c r="BE116" s="40"/>
      <c r="BF116" s="43"/>
      <c r="BG116" s="40"/>
      <c r="BH116" s="40"/>
      <c r="BI116" s="42"/>
      <c r="BJ116" s="40"/>
      <c r="BK116" s="40"/>
      <c r="BL116" s="43"/>
      <c r="BM116" s="40"/>
      <c r="BN116" s="40"/>
      <c r="BO116" s="42"/>
      <c r="BP116" s="40"/>
      <c r="BQ116" s="40"/>
      <c r="BR116" s="43"/>
      <c r="BS116" s="40"/>
      <c r="BT116" s="40"/>
      <c r="BU116" s="42"/>
      <c r="BV116" s="40" t="s">
        <v>362</v>
      </c>
      <c r="BW116" s="40">
        <v>14</v>
      </c>
      <c r="BX116" s="43">
        <v>55690</v>
      </c>
      <c r="BY116" s="40"/>
      <c r="BZ116" s="40"/>
      <c r="CA116" s="42"/>
      <c r="CB116" s="40"/>
      <c r="CC116" s="75"/>
      <c r="CD116" s="43"/>
      <c r="CE116" s="40"/>
      <c r="CF116" s="40"/>
      <c r="CG116" s="42"/>
      <c r="CH116" s="40"/>
      <c r="CI116" s="40"/>
      <c r="CJ116" s="43"/>
      <c r="CK116" s="40"/>
      <c r="CL116" s="40"/>
      <c r="CM116" s="42"/>
      <c r="CN116" s="40"/>
      <c r="CO116" s="40"/>
      <c r="CP116" s="43"/>
      <c r="CQ116" s="40"/>
      <c r="CR116" s="40"/>
      <c r="CS116" s="42"/>
      <c r="CT116" s="40"/>
      <c r="CU116" s="40"/>
      <c r="CV116" s="43"/>
      <c r="CW116" s="40"/>
      <c r="CX116" s="40"/>
      <c r="CY116" s="42"/>
      <c r="CZ116" s="40"/>
      <c r="DA116" s="40"/>
      <c r="DB116" s="43"/>
      <c r="DC116" s="40"/>
      <c r="DD116" s="75"/>
      <c r="DE116" s="69">
        <v>0</v>
      </c>
      <c r="DF116" s="40"/>
      <c r="DG116" s="40"/>
      <c r="DH116" s="68">
        <v>0</v>
      </c>
    </row>
    <row r="117" spans="1:112">
      <c r="A117" s="40">
        <v>159</v>
      </c>
      <c r="B117" s="40" t="s">
        <v>210</v>
      </c>
      <c r="C117" s="40">
        <v>4</v>
      </c>
      <c r="D117" s="29" t="s">
        <v>115</v>
      </c>
      <c r="E117" s="30">
        <v>125</v>
      </c>
      <c r="F117" s="30">
        <v>6</v>
      </c>
      <c r="G117" s="52">
        <v>44.099328</v>
      </c>
      <c r="H117" s="68">
        <f t="shared" si="1"/>
        <v>0</v>
      </c>
      <c r="I117" s="47">
        <v>44.099328</v>
      </c>
      <c r="J117" s="43">
        <v>44.1</v>
      </c>
      <c r="K117" s="40"/>
      <c r="L117" s="40"/>
      <c r="M117" s="43"/>
      <c r="N117" s="40"/>
      <c r="O117" s="40"/>
      <c r="P117" s="40"/>
      <c r="Q117" s="42"/>
      <c r="R117" s="40"/>
      <c r="S117" s="40"/>
      <c r="T117" s="43"/>
      <c r="U117" s="40"/>
      <c r="V117" s="40"/>
      <c r="W117" s="42"/>
      <c r="X117" s="40"/>
      <c r="Y117" s="40"/>
      <c r="Z117" s="43"/>
      <c r="AA117" s="40"/>
      <c r="AB117" s="40"/>
      <c r="AC117" s="42"/>
      <c r="AD117" s="40"/>
      <c r="AE117" s="40"/>
      <c r="AF117" s="40"/>
      <c r="AG117" s="43"/>
      <c r="AH117" s="40"/>
      <c r="AI117" s="40"/>
      <c r="AJ117" s="40"/>
      <c r="AK117" s="42"/>
      <c r="AL117" s="40"/>
      <c r="AM117" s="40"/>
      <c r="AN117" s="43"/>
      <c r="AO117" s="40"/>
      <c r="AP117" s="40"/>
      <c r="AQ117" s="42"/>
      <c r="AR117" s="40"/>
      <c r="AS117" s="40"/>
      <c r="AT117" s="43"/>
      <c r="AU117" s="40"/>
      <c r="AV117" s="40"/>
      <c r="AW117" s="42"/>
      <c r="AX117" s="40"/>
      <c r="AY117" s="40"/>
      <c r="AZ117" s="43"/>
      <c r="BA117" s="40"/>
      <c r="BB117" s="40"/>
      <c r="BC117" s="42"/>
      <c r="BD117" s="40"/>
      <c r="BE117" s="40"/>
      <c r="BF117" s="43"/>
      <c r="BG117" s="40"/>
      <c r="BH117" s="40"/>
      <c r="BI117" s="42"/>
      <c r="BJ117" s="40"/>
      <c r="BK117" s="40"/>
      <c r="BL117" s="43"/>
      <c r="BM117" s="40"/>
      <c r="BN117" s="40"/>
      <c r="BO117" s="42"/>
      <c r="BP117" s="40"/>
      <c r="BQ117" s="40"/>
      <c r="BR117" s="43"/>
      <c r="BS117" s="40"/>
      <c r="BT117" s="40"/>
      <c r="BU117" s="42"/>
      <c r="BV117" s="40" t="s">
        <v>403</v>
      </c>
      <c r="BW117" s="40">
        <v>10</v>
      </c>
      <c r="BX117" s="43">
        <v>44100</v>
      </c>
      <c r="BY117" s="40"/>
      <c r="BZ117" s="40"/>
      <c r="CA117" s="42"/>
      <c r="CB117" s="40"/>
      <c r="CC117" s="75"/>
      <c r="CD117" s="43"/>
      <c r="CE117" s="40"/>
      <c r="CF117" s="40"/>
      <c r="CG117" s="42"/>
      <c r="CH117" s="40"/>
      <c r="CI117" s="40"/>
      <c r="CJ117" s="43"/>
      <c r="CK117" s="40"/>
      <c r="CL117" s="40"/>
      <c r="CM117" s="42"/>
      <c r="CN117" s="40"/>
      <c r="CO117" s="40"/>
      <c r="CP117" s="43"/>
      <c r="CQ117" s="40"/>
      <c r="CR117" s="40"/>
      <c r="CS117" s="42"/>
      <c r="CT117" s="40"/>
      <c r="CU117" s="40"/>
      <c r="CV117" s="43"/>
      <c r="CW117" s="40"/>
      <c r="CX117" s="40"/>
      <c r="CY117" s="42"/>
      <c r="CZ117" s="40"/>
      <c r="DA117" s="40"/>
      <c r="DB117" s="43"/>
      <c r="DC117" s="40"/>
      <c r="DD117" s="75"/>
      <c r="DE117" s="69">
        <v>0</v>
      </c>
      <c r="DF117" s="40"/>
      <c r="DG117" s="40"/>
      <c r="DH117" s="68">
        <v>0</v>
      </c>
    </row>
    <row r="118" spans="1:112">
      <c r="A118" s="40">
        <v>160</v>
      </c>
      <c r="B118" s="40" t="s">
        <v>210</v>
      </c>
      <c r="C118" s="40">
        <v>4</v>
      </c>
      <c r="D118" s="29" t="s">
        <v>115</v>
      </c>
      <c r="E118" s="30">
        <v>127</v>
      </c>
      <c r="F118" s="30">
        <v>6</v>
      </c>
      <c r="G118" s="52">
        <v>30.463363999999999</v>
      </c>
      <c r="H118" s="68">
        <f t="shared" si="1"/>
        <v>5.4820600000000006</v>
      </c>
      <c r="I118" s="47">
        <v>24.981303999999998</v>
      </c>
      <c r="J118" s="43">
        <v>30.46</v>
      </c>
      <c r="K118" s="40"/>
      <c r="L118" s="40"/>
      <c r="M118" s="43"/>
      <c r="N118" s="40"/>
      <c r="O118" s="40"/>
      <c r="P118" s="40"/>
      <c r="Q118" s="42"/>
      <c r="R118" s="40"/>
      <c r="S118" s="40"/>
      <c r="T118" s="43"/>
      <c r="U118" s="40"/>
      <c r="V118" s="40"/>
      <c r="W118" s="42"/>
      <c r="X118" s="40"/>
      <c r="Y118" s="40"/>
      <c r="Z118" s="43"/>
      <c r="AA118" s="40"/>
      <c r="AB118" s="40"/>
      <c r="AC118" s="42"/>
      <c r="AD118" s="40"/>
      <c r="AE118" s="40"/>
      <c r="AF118" s="40"/>
      <c r="AG118" s="43"/>
      <c r="AH118" s="44" t="s">
        <v>409</v>
      </c>
      <c r="AI118" s="40">
        <v>6.6</v>
      </c>
      <c r="AJ118" s="40">
        <v>4</v>
      </c>
      <c r="AK118" s="42">
        <v>5482.06</v>
      </c>
      <c r="AL118" s="40"/>
      <c r="AM118" s="40"/>
      <c r="AN118" s="43"/>
      <c r="AO118" s="40"/>
      <c r="AP118" s="40"/>
      <c r="AQ118" s="42"/>
      <c r="AR118" s="40"/>
      <c r="AS118" s="40"/>
      <c r="AT118" s="43"/>
      <c r="AU118" s="40"/>
      <c r="AV118" s="40"/>
      <c r="AW118" s="42"/>
      <c r="AX118" s="40"/>
      <c r="AY118" s="40"/>
      <c r="AZ118" s="43"/>
      <c r="BA118" s="40"/>
      <c r="BB118" s="40"/>
      <c r="BC118" s="42"/>
      <c r="BD118" s="40"/>
      <c r="BE118" s="40"/>
      <c r="BF118" s="43"/>
      <c r="BG118" s="40"/>
      <c r="BH118" s="40"/>
      <c r="BI118" s="42"/>
      <c r="BJ118" s="40"/>
      <c r="BK118" s="40"/>
      <c r="BL118" s="43"/>
      <c r="BM118" s="40"/>
      <c r="BN118" s="40"/>
      <c r="BO118" s="42"/>
      <c r="BP118" s="40"/>
      <c r="BQ118" s="40"/>
      <c r="BR118" s="43"/>
      <c r="BS118" s="40"/>
      <c r="BT118" s="40"/>
      <c r="BU118" s="42"/>
      <c r="BV118" s="40"/>
      <c r="BW118" s="40"/>
      <c r="BX118" s="43"/>
      <c r="BY118" s="40"/>
      <c r="BZ118" s="40"/>
      <c r="CA118" s="42"/>
      <c r="CB118" s="40"/>
      <c r="CC118" s="75"/>
      <c r="CD118" s="43"/>
      <c r="CE118" s="40"/>
      <c r="CF118" s="40"/>
      <c r="CG118" s="42"/>
      <c r="CH118" s="40"/>
      <c r="CI118" s="40"/>
      <c r="CJ118" s="43"/>
      <c r="CK118" s="40"/>
      <c r="CL118" s="40"/>
      <c r="CM118" s="42"/>
      <c r="CN118" s="40"/>
      <c r="CO118" s="40"/>
      <c r="CP118" s="43"/>
      <c r="CQ118" s="40"/>
      <c r="CR118" s="40"/>
      <c r="CS118" s="42"/>
      <c r="CT118" s="40"/>
      <c r="CU118" s="40"/>
      <c r="CV118" s="43"/>
      <c r="CW118" s="40"/>
      <c r="CX118" s="40"/>
      <c r="CY118" s="42"/>
      <c r="CZ118" s="40"/>
      <c r="DA118" s="40"/>
      <c r="DB118" s="43"/>
      <c r="DC118" s="40"/>
      <c r="DD118" s="75" t="s">
        <v>364</v>
      </c>
      <c r="DE118" s="69">
        <v>30460</v>
      </c>
      <c r="DF118" s="40"/>
      <c r="DG118" s="40"/>
      <c r="DH118" s="68">
        <v>0</v>
      </c>
    </row>
    <row r="119" spans="1:112">
      <c r="A119" s="40">
        <v>161</v>
      </c>
      <c r="B119" s="40" t="s">
        <v>210</v>
      </c>
      <c r="C119" s="40">
        <v>4</v>
      </c>
      <c r="D119" s="29" t="s">
        <v>117</v>
      </c>
      <c r="E119" s="30">
        <v>7</v>
      </c>
      <c r="F119" s="30">
        <v>7</v>
      </c>
      <c r="G119" s="52">
        <v>33.625450000000001</v>
      </c>
      <c r="H119" s="68">
        <f t="shared" si="1"/>
        <v>0</v>
      </c>
      <c r="I119" s="47">
        <v>33.625450000000001</v>
      </c>
      <c r="J119" s="43">
        <v>30.46</v>
      </c>
      <c r="K119" s="40"/>
      <c r="L119" s="40">
        <v>1</v>
      </c>
      <c r="M119" s="43"/>
      <c r="N119" s="40"/>
      <c r="O119" s="40"/>
      <c r="P119" s="40"/>
      <c r="Q119" s="42"/>
      <c r="R119" s="40"/>
      <c r="S119" s="40"/>
      <c r="T119" s="43"/>
      <c r="U119" s="40"/>
      <c r="V119" s="40"/>
      <c r="W119" s="42"/>
      <c r="X119" s="40"/>
      <c r="Y119" s="40"/>
      <c r="Z119" s="43"/>
      <c r="AA119" s="40"/>
      <c r="AB119" s="40"/>
      <c r="AC119" s="42"/>
      <c r="AD119" s="40"/>
      <c r="AE119" s="40"/>
      <c r="AF119" s="40"/>
      <c r="AG119" s="43"/>
      <c r="AH119" s="40"/>
      <c r="AI119" s="40"/>
      <c r="AJ119" s="40"/>
      <c r="AK119" s="42"/>
      <c r="AL119" s="40"/>
      <c r="AM119" s="40"/>
      <c r="AN119" s="43"/>
      <c r="AO119" s="40"/>
      <c r="AP119" s="40"/>
      <c r="AQ119" s="42"/>
      <c r="AR119" s="40"/>
      <c r="AS119" s="40"/>
      <c r="AT119" s="43"/>
      <c r="AU119" s="40"/>
      <c r="AV119" s="40"/>
      <c r="AW119" s="42"/>
      <c r="AX119" s="40"/>
      <c r="AY119" s="40"/>
      <c r="AZ119" s="43"/>
      <c r="BA119" s="40"/>
      <c r="BB119" s="40"/>
      <c r="BC119" s="42"/>
      <c r="BD119" s="40"/>
      <c r="BE119" s="40"/>
      <c r="BF119" s="43"/>
      <c r="BG119" s="40"/>
      <c r="BH119" s="40"/>
      <c r="BI119" s="42"/>
      <c r="BJ119" s="40"/>
      <c r="BK119" s="40"/>
      <c r="BL119" s="43"/>
      <c r="BM119" s="40"/>
      <c r="BN119" s="40"/>
      <c r="BO119" s="42"/>
      <c r="BP119" s="40"/>
      <c r="BQ119" s="40"/>
      <c r="BR119" s="43"/>
      <c r="BS119" s="40"/>
      <c r="BT119" s="40"/>
      <c r="BU119" s="42"/>
      <c r="BV119" s="40"/>
      <c r="BW119" s="40"/>
      <c r="BX119" s="43"/>
      <c r="BY119" s="40"/>
      <c r="BZ119" s="40"/>
      <c r="CA119" s="42"/>
      <c r="CB119" s="40"/>
      <c r="CC119" s="75"/>
      <c r="CD119" s="43"/>
      <c r="CE119" s="40"/>
      <c r="CF119" s="40"/>
      <c r="CG119" s="42"/>
      <c r="CH119" s="40"/>
      <c r="CI119" s="40"/>
      <c r="CJ119" s="43"/>
      <c r="CK119" s="40"/>
      <c r="CL119" s="40"/>
      <c r="CM119" s="42"/>
      <c r="CN119" s="40"/>
      <c r="CO119" s="40"/>
      <c r="CP119" s="43"/>
      <c r="CQ119" s="40"/>
      <c r="CR119" s="40"/>
      <c r="CS119" s="42"/>
      <c r="CT119" s="40"/>
      <c r="CU119" s="40"/>
      <c r="CV119" s="43"/>
      <c r="CW119" s="40"/>
      <c r="CX119" s="40"/>
      <c r="CY119" s="42"/>
      <c r="CZ119" s="40"/>
      <c r="DA119" s="40"/>
      <c r="DB119" s="43"/>
      <c r="DC119" s="40"/>
      <c r="DD119" s="75" t="s">
        <v>364</v>
      </c>
      <c r="DE119" s="69">
        <v>30460</v>
      </c>
      <c r="DF119" s="40"/>
      <c r="DG119" s="40"/>
      <c r="DH119" s="68">
        <v>0</v>
      </c>
    </row>
    <row r="120" spans="1:112">
      <c r="A120" s="40">
        <v>164</v>
      </c>
      <c r="B120" s="40" t="s">
        <v>210</v>
      </c>
      <c r="C120" s="40">
        <v>4</v>
      </c>
      <c r="D120" s="29" t="s">
        <v>118</v>
      </c>
      <c r="E120" s="30">
        <v>35</v>
      </c>
      <c r="F120" s="30">
        <v>7</v>
      </c>
      <c r="G120" s="52">
        <v>29.346374000000001</v>
      </c>
      <c r="H120" s="68">
        <f t="shared" si="1"/>
        <v>17.8706</v>
      </c>
      <c r="I120" s="47">
        <v>29.346374000000001</v>
      </c>
      <c r="J120" s="43">
        <v>10</v>
      </c>
      <c r="K120" s="40"/>
      <c r="L120" s="40"/>
      <c r="M120" s="43"/>
      <c r="N120" s="40"/>
      <c r="O120" s="40"/>
      <c r="P120" s="40"/>
      <c r="Q120" s="42"/>
      <c r="R120" s="40"/>
      <c r="S120" s="40"/>
      <c r="T120" s="43"/>
      <c r="U120" s="40"/>
      <c r="V120" s="40"/>
      <c r="W120" s="42"/>
      <c r="X120" s="40"/>
      <c r="Y120" s="40"/>
      <c r="Z120" s="43"/>
      <c r="AA120" s="40"/>
      <c r="AB120" s="40"/>
      <c r="AC120" s="42"/>
      <c r="AD120" s="40" t="s">
        <v>405</v>
      </c>
      <c r="AE120" s="40" t="s">
        <v>324</v>
      </c>
      <c r="AF120" s="40">
        <v>10</v>
      </c>
      <c r="AG120" s="43">
        <v>10000</v>
      </c>
      <c r="AH120" s="44" t="s">
        <v>402</v>
      </c>
      <c r="AI120" s="40">
        <v>1.32</v>
      </c>
      <c r="AJ120" s="40" t="s">
        <v>466</v>
      </c>
      <c r="AK120" s="42">
        <v>17870.599999999999</v>
      </c>
      <c r="AL120" s="40"/>
      <c r="AM120" s="40"/>
      <c r="AN120" s="43"/>
      <c r="AO120" s="40"/>
      <c r="AP120" s="40"/>
      <c r="AQ120" s="42"/>
      <c r="AR120" s="40"/>
      <c r="AS120" s="40"/>
      <c r="AT120" s="43"/>
      <c r="AU120" s="40"/>
      <c r="AV120" s="40"/>
      <c r="AW120" s="42"/>
      <c r="AX120" s="40"/>
      <c r="AY120" s="40"/>
      <c r="AZ120" s="43"/>
      <c r="BA120" s="40"/>
      <c r="BB120" s="40"/>
      <c r="BC120" s="42"/>
      <c r="BD120" s="40"/>
      <c r="BE120" s="40"/>
      <c r="BF120" s="43"/>
      <c r="BG120" s="40"/>
      <c r="BH120" s="40"/>
      <c r="BI120" s="42"/>
      <c r="BJ120" s="40"/>
      <c r="BK120" s="40"/>
      <c r="BL120" s="43"/>
      <c r="BM120" s="40"/>
      <c r="BN120" s="40"/>
      <c r="BO120" s="42"/>
      <c r="BP120" s="40"/>
      <c r="BQ120" s="40"/>
      <c r="BR120" s="43"/>
      <c r="BS120" s="40"/>
      <c r="BT120" s="40"/>
      <c r="BU120" s="42"/>
      <c r="BV120" s="40"/>
      <c r="BW120" s="40"/>
      <c r="BX120" s="43"/>
      <c r="BY120" s="40"/>
      <c r="BZ120" s="40"/>
      <c r="CA120" s="42"/>
      <c r="CB120" s="40"/>
      <c r="CC120" s="75"/>
      <c r="CD120" s="43"/>
      <c r="CE120" s="40"/>
      <c r="CF120" s="40"/>
      <c r="CG120" s="42"/>
      <c r="CH120" s="40"/>
      <c r="CI120" s="40"/>
      <c r="CJ120" s="43"/>
      <c r="CK120" s="40"/>
      <c r="CL120" s="40"/>
      <c r="CM120" s="42"/>
      <c r="CN120" s="40"/>
      <c r="CO120" s="40"/>
      <c r="CP120" s="43"/>
      <c r="CQ120" s="40"/>
      <c r="CR120" s="40"/>
      <c r="CS120" s="42"/>
      <c r="CT120" s="40"/>
      <c r="CU120" s="40"/>
      <c r="CV120" s="43"/>
      <c r="CW120" s="40"/>
      <c r="CX120" s="40"/>
      <c r="CY120" s="42"/>
      <c r="CZ120" s="40"/>
      <c r="DA120" s="40"/>
      <c r="DB120" s="43"/>
      <c r="DC120" s="40"/>
      <c r="DD120" s="75"/>
      <c r="DE120" s="69">
        <v>0</v>
      </c>
      <c r="DF120" s="40"/>
      <c r="DG120" s="40"/>
      <c r="DH120" s="68">
        <v>0</v>
      </c>
    </row>
    <row r="121" spans="1:112">
      <c r="A121" s="40">
        <v>168</v>
      </c>
      <c r="B121" s="40" t="s">
        <v>210</v>
      </c>
      <c r="C121" s="40">
        <v>4</v>
      </c>
      <c r="D121" s="29" t="s">
        <v>118</v>
      </c>
      <c r="E121" s="30">
        <v>46</v>
      </c>
      <c r="F121" s="30">
        <v>6</v>
      </c>
      <c r="G121" s="52">
        <v>40.159286000000002</v>
      </c>
      <c r="H121" s="68">
        <f t="shared" si="1"/>
        <v>0</v>
      </c>
      <c r="I121" s="47">
        <v>40.159286000000002</v>
      </c>
      <c r="J121" s="43">
        <v>40.159999999999997</v>
      </c>
      <c r="K121" s="40"/>
      <c r="L121" s="40"/>
      <c r="M121" s="43"/>
      <c r="N121" s="40"/>
      <c r="O121" s="40"/>
      <c r="P121" s="40"/>
      <c r="Q121" s="42"/>
      <c r="R121" s="40"/>
      <c r="S121" s="40"/>
      <c r="T121" s="43"/>
      <c r="U121" s="40"/>
      <c r="V121" s="40"/>
      <c r="W121" s="42"/>
      <c r="X121" s="40"/>
      <c r="Y121" s="40"/>
      <c r="Z121" s="43"/>
      <c r="AA121" s="40"/>
      <c r="AB121" s="40"/>
      <c r="AC121" s="42"/>
      <c r="AD121" s="40"/>
      <c r="AE121" s="40"/>
      <c r="AF121" s="40"/>
      <c r="AG121" s="43"/>
      <c r="AH121" s="40"/>
      <c r="AI121" s="40"/>
      <c r="AJ121" s="40"/>
      <c r="AK121" s="42"/>
      <c r="AL121" s="40"/>
      <c r="AM121" s="40"/>
      <c r="AN121" s="43"/>
      <c r="AO121" s="40"/>
      <c r="AP121" s="40"/>
      <c r="AQ121" s="42"/>
      <c r="AR121" s="40"/>
      <c r="AS121" s="40"/>
      <c r="AT121" s="43"/>
      <c r="AU121" s="40"/>
      <c r="AV121" s="40"/>
      <c r="AW121" s="42"/>
      <c r="AX121" s="40"/>
      <c r="AY121" s="40"/>
      <c r="AZ121" s="43"/>
      <c r="BA121" s="40"/>
      <c r="BB121" s="40"/>
      <c r="BC121" s="42"/>
      <c r="BD121" s="40"/>
      <c r="BE121" s="40"/>
      <c r="BF121" s="43"/>
      <c r="BG121" s="40"/>
      <c r="BH121" s="40"/>
      <c r="BI121" s="42"/>
      <c r="BJ121" s="40"/>
      <c r="BK121" s="40"/>
      <c r="BL121" s="43"/>
      <c r="BM121" s="40"/>
      <c r="BN121" s="40"/>
      <c r="BO121" s="42"/>
      <c r="BP121" s="40"/>
      <c r="BQ121" s="40"/>
      <c r="BR121" s="43"/>
      <c r="BS121" s="40"/>
      <c r="BT121" s="40"/>
      <c r="BU121" s="42"/>
      <c r="BV121" s="40"/>
      <c r="BW121" s="40"/>
      <c r="BX121" s="43"/>
      <c r="BY121" s="40"/>
      <c r="BZ121" s="40"/>
      <c r="CA121" s="42"/>
      <c r="CB121" s="40"/>
      <c r="CC121" s="75"/>
      <c r="CD121" s="43"/>
      <c r="CE121" s="40"/>
      <c r="CF121" s="40"/>
      <c r="CG121" s="42"/>
      <c r="CH121" s="40"/>
      <c r="CI121" s="40"/>
      <c r="CJ121" s="43"/>
      <c r="CK121" s="40"/>
      <c r="CL121" s="40"/>
      <c r="CM121" s="42"/>
      <c r="CN121" s="40"/>
      <c r="CO121" s="40"/>
      <c r="CP121" s="43"/>
      <c r="CQ121" s="40"/>
      <c r="CR121" s="40"/>
      <c r="CS121" s="42"/>
      <c r="CT121" s="40"/>
      <c r="CU121" s="40"/>
      <c r="CV121" s="43"/>
      <c r="CW121" s="40"/>
      <c r="CX121" s="40"/>
      <c r="CY121" s="42"/>
      <c r="CZ121" s="40"/>
      <c r="DA121" s="40"/>
      <c r="DB121" s="43"/>
      <c r="DC121" s="40"/>
      <c r="DD121" s="75" t="s">
        <v>311</v>
      </c>
      <c r="DE121" s="69">
        <v>40160</v>
      </c>
      <c r="DF121" s="40"/>
      <c r="DG121" s="40"/>
      <c r="DH121" s="68">
        <v>0</v>
      </c>
    </row>
    <row r="122" spans="1:112">
      <c r="A122" s="40">
        <v>169</v>
      </c>
      <c r="B122" s="40" t="s">
        <v>210</v>
      </c>
      <c r="C122" s="40">
        <v>4</v>
      </c>
      <c r="D122" s="29" t="s">
        <v>118</v>
      </c>
      <c r="E122" s="30">
        <v>47</v>
      </c>
      <c r="F122" s="30">
        <v>7</v>
      </c>
      <c r="G122" s="52">
        <v>15.783874000000004</v>
      </c>
      <c r="H122" s="68">
        <f t="shared" si="1"/>
        <v>0</v>
      </c>
      <c r="I122" s="47">
        <v>15.783874000000004</v>
      </c>
      <c r="J122" s="43">
        <v>15.78</v>
      </c>
      <c r="K122" s="40"/>
      <c r="L122" s="40"/>
      <c r="M122" s="43"/>
      <c r="N122" s="40"/>
      <c r="O122" s="40"/>
      <c r="P122" s="40"/>
      <c r="Q122" s="42"/>
      <c r="R122" s="40"/>
      <c r="S122" s="40"/>
      <c r="T122" s="43"/>
      <c r="U122" s="40"/>
      <c r="V122" s="40"/>
      <c r="W122" s="42"/>
      <c r="X122" s="40"/>
      <c r="Y122" s="40"/>
      <c r="Z122" s="43"/>
      <c r="AA122" s="40"/>
      <c r="AB122" s="40"/>
      <c r="AC122" s="42"/>
      <c r="AD122" s="40"/>
      <c r="AE122" s="40"/>
      <c r="AF122" s="40"/>
      <c r="AG122" s="43"/>
      <c r="AH122" s="40"/>
      <c r="AI122" s="40"/>
      <c r="AJ122" s="40"/>
      <c r="AK122" s="42"/>
      <c r="AL122" s="40"/>
      <c r="AM122" s="40"/>
      <c r="AN122" s="43"/>
      <c r="AO122" s="40"/>
      <c r="AP122" s="40"/>
      <c r="AQ122" s="42"/>
      <c r="AR122" s="40"/>
      <c r="AS122" s="40"/>
      <c r="AT122" s="43"/>
      <c r="AU122" s="40"/>
      <c r="AV122" s="40"/>
      <c r="AW122" s="42"/>
      <c r="AX122" s="40"/>
      <c r="AY122" s="40"/>
      <c r="AZ122" s="43"/>
      <c r="BA122" s="40"/>
      <c r="BB122" s="40"/>
      <c r="BC122" s="42"/>
      <c r="BD122" s="40"/>
      <c r="BE122" s="40"/>
      <c r="BF122" s="43"/>
      <c r="BG122" s="40"/>
      <c r="BH122" s="40"/>
      <c r="BI122" s="42"/>
      <c r="BJ122" s="40"/>
      <c r="BK122" s="40"/>
      <c r="BL122" s="43"/>
      <c r="BM122" s="40"/>
      <c r="BN122" s="40"/>
      <c r="BO122" s="42"/>
      <c r="BP122" s="40"/>
      <c r="BQ122" s="40"/>
      <c r="BR122" s="43"/>
      <c r="BS122" s="40"/>
      <c r="BT122" s="40"/>
      <c r="BU122" s="42"/>
      <c r="BV122" s="40"/>
      <c r="BW122" s="40"/>
      <c r="BX122" s="43"/>
      <c r="BY122" s="40"/>
      <c r="BZ122" s="40"/>
      <c r="CA122" s="42"/>
      <c r="CB122" s="40"/>
      <c r="CC122" s="75"/>
      <c r="CD122" s="43"/>
      <c r="CE122" s="40"/>
      <c r="CF122" s="40"/>
      <c r="CG122" s="42"/>
      <c r="CH122" s="40"/>
      <c r="CI122" s="40"/>
      <c r="CJ122" s="43"/>
      <c r="CK122" s="40"/>
      <c r="CL122" s="40"/>
      <c r="CM122" s="42"/>
      <c r="CN122" s="40"/>
      <c r="CO122" s="40"/>
      <c r="CP122" s="43"/>
      <c r="CQ122" s="40"/>
      <c r="CR122" s="40"/>
      <c r="CS122" s="42"/>
      <c r="CT122" s="40"/>
      <c r="CU122" s="40"/>
      <c r="CV122" s="43"/>
      <c r="CW122" s="40"/>
      <c r="CX122" s="40"/>
      <c r="CY122" s="42"/>
      <c r="CZ122" s="40"/>
      <c r="DA122" s="40"/>
      <c r="DB122" s="43"/>
      <c r="DC122" s="40"/>
      <c r="DD122" s="75" t="s">
        <v>311</v>
      </c>
      <c r="DE122" s="69">
        <v>15780</v>
      </c>
      <c r="DF122" s="40"/>
      <c r="DG122" s="40"/>
      <c r="DH122" s="68">
        <v>0</v>
      </c>
    </row>
    <row r="123" spans="1:112">
      <c r="A123" s="40">
        <v>170</v>
      </c>
      <c r="B123" s="40" t="s">
        <v>210</v>
      </c>
      <c r="C123" s="40">
        <v>4</v>
      </c>
      <c r="D123" s="29" t="s">
        <v>118</v>
      </c>
      <c r="E123" s="30">
        <v>49</v>
      </c>
      <c r="F123" s="30">
        <v>7</v>
      </c>
      <c r="G123" s="52">
        <v>18.898354000000005</v>
      </c>
      <c r="H123" s="68">
        <f t="shared" si="1"/>
        <v>4.9854500000000002</v>
      </c>
      <c r="I123" s="47">
        <v>13.912904000000005</v>
      </c>
      <c r="J123" s="43">
        <v>18.899999999999999</v>
      </c>
      <c r="K123" s="40"/>
      <c r="L123" s="40"/>
      <c r="M123" s="43"/>
      <c r="N123" s="40"/>
      <c r="O123" s="40"/>
      <c r="P123" s="40"/>
      <c r="Q123" s="42"/>
      <c r="R123" s="40"/>
      <c r="S123" s="40"/>
      <c r="T123" s="43"/>
      <c r="U123" s="40"/>
      <c r="V123" s="40"/>
      <c r="W123" s="42"/>
      <c r="X123" s="40"/>
      <c r="Y123" s="40"/>
      <c r="Z123" s="43"/>
      <c r="AA123" s="40"/>
      <c r="AB123" s="40"/>
      <c r="AC123" s="42"/>
      <c r="AD123" s="40"/>
      <c r="AE123" s="40"/>
      <c r="AF123" s="40"/>
      <c r="AG123" s="43"/>
      <c r="AH123" s="40"/>
      <c r="AI123" s="40"/>
      <c r="AJ123" s="40"/>
      <c r="AK123" s="42"/>
      <c r="AL123" s="40"/>
      <c r="AM123" s="40"/>
      <c r="AN123" s="43"/>
      <c r="AO123" s="40"/>
      <c r="AP123" s="40"/>
      <c r="AQ123" s="42"/>
      <c r="AR123" s="40"/>
      <c r="AS123" s="40"/>
      <c r="AT123" s="43"/>
      <c r="AU123" s="40"/>
      <c r="AV123" s="40"/>
      <c r="AW123" s="42"/>
      <c r="AX123" s="40"/>
      <c r="AY123" s="40"/>
      <c r="AZ123" s="43"/>
      <c r="BA123" s="44" t="s">
        <v>362</v>
      </c>
      <c r="BB123" s="40">
        <v>6.2</v>
      </c>
      <c r="BC123" s="42">
        <v>4985.45</v>
      </c>
      <c r="BD123" s="40"/>
      <c r="BE123" s="40"/>
      <c r="BF123" s="43"/>
      <c r="BG123" s="40"/>
      <c r="BH123" s="40"/>
      <c r="BI123" s="42"/>
      <c r="BJ123" s="40"/>
      <c r="BK123" s="40"/>
      <c r="BL123" s="43"/>
      <c r="BM123" s="40"/>
      <c r="BN123" s="40"/>
      <c r="BO123" s="42"/>
      <c r="BP123" s="40"/>
      <c r="BQ123" s="40"/>
      <c r="BR123" s="43"/>
      <c r="BS123" s="40"/>
      <c r="BT123" s="40"/>
      <c r="BU123" s="42"/>
      <c r="BV123" s="40"/>
      <c r="BW123" s="40"/>
      <c r="BX123" s="43"/>
      <c r="BY123" s="40"/>
      <c r="BZ123" s="40"/>
      <c r="CA123" s="42"/>
      <c r="CB123" s="40"/>
      <c r="CC123" s="75"/>
      <c r="CD123" s="43"/>
      <c r="CE123" s="40"/>
      <c r="CF123" s="40"/>
      <c r="CG123" s="42"/>
      <c r="CH123" s="40"/>
      <c r="CI123" s="40"/>
      <c r="CJ123" s="43"/>
      <c r="CK123" s="40"/>
      <c r="CL123" s="40"/>
      <c r="CM123" s="42"/>
      <c r="CN123" s="40"/>
      <c r="CO123" s="40"/>
      <c r="CP123" s="43"/>
      <c r="CQ123" s="40"/>
      <c r="CR123" s="40"/>
      <c r="CS123" s="42"/>
      <c r="CT123" s="40"/>
      <c r="CU123" s="40"/>
      <c r="CV123" s="43"/>
      <c r="CW123" s="40"/>
      <c r="CX123" s="40"/>
      <c r="CY123" s="42"/>
      <c r="CZ123" s="40"/>
      <c r="DA123" s="40"/>
      <c r="DB123" s="43"/>
      <c r="DC123" s="40"/>
      <c r="DD123" s="75" t="s">
        <v>311</v>
      </c>
      <c r="DE123" s="69">
        <v>18900</v>
      </c>
      <c r="DF123" s="40"/>
      <c r="DG123" s="40"/>
      <c r="DH123" s="68">
        <v>0</v>
      </c>
    </row>
    <row r="124" spans="1:112">
      <c r="A124" s="40">
        <v>171</v>
      </c>
      <c r="B124" s="40" t="s">
        <v>210</v>
      </c>
      <c r="C124" s="40">
        <v>4</v>
      </c>
      <c r="D124" s="29" t="s">
        <v>118</v>
      </c>
      <c r="E124" s="30">
        <v>50</v>
      </c>
      <c r="F124" s="30">
        <v>7</v>
      </c>
      <c r="G124" s="52">
        <v>26.711061999999998</v>
      </c>
      <c r="H124" s="68">
        <f t="shared" si="1"/>
        <v>0</v>
      </c>
      <c r="I124" s="47">
        <v>26.711061999999998</v>
      </c>
      <c r="J124" s="43">
        <v>26.71</v>
      </c>
      <c r="K124" s="40"/>
      <c r="L124" s="40"/>
      <c r="M124" s="43"/>
      <c r="N124" s="40"/>
      <c r="O124" s="40"/>
      <c r="P124" s="40"/>
      <c r="Q124" s="42"/>
      <c r="R124" s="40"/>
      <c r="S124" s="40"/>
      <c r="T124" s="43"/>
      <c r="U124" s="40"/>
      <c r="V124" s="40"/>
      <c r="W124" s="42"/>
      <c r="X124" s="40"/>
      <c r="Y124" s="40"/>
      <c r="Z124" s="43"/>
      <c r="AA124" s="40"/>
      <c r="AB124" s="40"/>
      <c r="AC124" s="42"/>
      <c r="AD124" s="40"/>
      <c r="AE124" s="40"/>
      <c r="AF124" s="40"/>
      <c r="AG124" s="43"/>
      <c r="AH124" s="40"/>
      <c r="AI124" s="40"/>
      <c r="AJ124" s="40"/>
      <c r="AK124" s="42"/>
      <c r="AL124" s="40"/>
      <c r="AM124" s="40"/>
      <c r="AN124" s="43"/>
      <c r="AO124" s="40"/>
      <c r="AP124" s="40"/>
      <c r="AQ124" s="42"/>
      <c r="AR124" s="40"/>
      <c r="AS124" s="40"/>
      <c r="AT124" s="43"/>
      <c r="AU124" s="40"/>
      <c r="AV124" s="40"/>
      <c r="AW124" s="42"/>
      <c r="AX124" s="40"/>
      <c r="AY124" s="40"/>
      <c r="AZ124" s="43"/>
      <c r="BA124" s="40"/>
      <c r="BB124" s="40"/>
      <c r="BC124" s="42"/>
      <c r="BD124" s="40"/>
      <c r="BE124" s="40"/>
      <c r="BF124" s="43"/>
      <c r="BG124" s="40"/>
      <c r="BH124" s="40"/>
      <c r="BI124" s="42"/>
      <c r="BJ124" s="40"/>
      <c r="BK124" s="40"/>
      <c r="BL124" s="43"/>
      <c r="BM124" s="40"/>
      <c r="BN124" s="40"/>
      <c r="BO124" s="42"/>
      <c r="BP124" s="40"/>
      <c r="BQ124" s="40"/>
      <c r="BR124" s="43"/>
      <c r="BS124" s="40"/>
      <c r="BT124" s="40"/>
      <c r="BU124" s="42"/>
      <c r="BV124" s="40"/>
      <c r="BW124" s="40"/>
      <c r="BX124" s="43"/>
      <c r="BY124" s="40"/>
      <c r="BZ124" s="40"/>
      <c r="CA124" s="42"/>
      <c r="CB124" s="40"/>
      <c r="CC124" s="75"/>
      <c r="CD124" s="43"/>
      <c r="CE124" s="40"/>
      <c r="CF124" s="40"/>
      <c r="CG124" s="42"/>
      <c r="CH124" s="40"/>
      <c r="CI124" s="40"/>
      <c r="CJ124" s="43"/>
      <c r="CK124" s="40"/>
      <c r="CL124" s="40"/>
      <c r="CM124" s="42"/>
      <c r="CN124" s="40"/>
      <c r="CO124" s="40"/>
      <c r="CP124" s="43"/>
      <c r="CQ124" s="40"/>
      <c r="CR124" s="40"/>
      <c r="CS124" s="42"/>
      <c r="CT124" s="40"/>
      <c r="CU124" s="40"/>
      <c r="CV124" s="43"/>
      <c r="CW124" s="40"/>
      <c r="CX124" s="40"/>
      <c r="CY124" s="42"/>
      <c r="CZ124" s="40"/>
      <c r="DA124" s="40"/>
      <c r="DB124" s="43"/>
      <c r="DC124" s="40"/>
      <c r="DD124" s="75" t="s">
        <v>311</v>
      </c>
      <c r="DE124" s="69">
        <v>26710</v>
      </c>
      <c r="DF124" s="40"/>
      <c r="DG124" s="40"/>
      <c r="DH124" s="68">
        <v>0</v>
      </c>
    </row>
    <row r="125" spans="1:112">
      <c r="A125" s="40">
        <v>172</v>
      </c>
      <c r="B125" s="40" t="s">
        <v>210</v>
      </c>
      <c r="C125" s="40">
        <v>4</v>
      </c>
      <c r="D125" s="29" t="s">
        <v>118</v>
      </c>
      <c r="E125" s="30" t="s">
        <v>120</v>
      </c>
      <c r="F125" s="30">
        <v>7</v>
      </c>
      <c r="G125" s="52">
        <v>27.161278000000003</v>
      </c>
      <c r="H125" s="68">
        <f t="shared" si="1"/>
        <v>3.5894499999999998</v>
      </c>
      <c r="I125" s="47">
        <v>23.571828000000004</v>
      </c>
      <c r="J125" s="43">
        <v>27.16</v>
      </c>
      <c r="K125" s="40"/>
      <c r="L125" s="40"/>
      <c r="M125" s="43"/>
      <c r="N125" s="40"/>
      <c r="O125" s="40"/>
      <c r="P125" s="40"/>
      <c r="Q125" s="42"/>
      <c r="R125" s="40"/>
      <c r="S125" s="40"/>
      <c r="T125" s="43"/>
      <c r="U125" s="40"/>
      <c r="V125" s="40"/>
      <c r="W125" s="42"/>
      <c r="X125" s="40"/>
      <c r="Y125" s="40"/>
      <c r="Z125" s="43"/>
      <c r="AA125" s="40"/>
      <c r="AB125" s="40"/>
      <c r="AC125" s="42"/>
      <c r="AD125" s="40"/>
      <c r="AE125" s="40"/>
      <c r="AF125" s="40"/>
      <c r="AG125" s="43"/>
      <c r="AH125" s="40"/>
      <c r="AI125" s="40"/>
      <c r="AJ125" s="40"/>
      <c r="AK125" s="42"/>
      <c r="AL125" s="40"/>
      <c r="AM125" s="40"/>
      <c r="AN125" s="43"/>
      <c r="AO125" s="40"/>
      <c r="AP125" s="40"/>
      <c r="AQ125" s="42"/>
      <c r="AR125" s="40"/>
      <c r="AS125" s="40"/>
      <c r="AT125" s="43"/>
      <c r="AU125" s="40"/>
      <c r="AV125" s="40"/>
      <c r="AW125" s="42"/>
      <c r="AX125" s="40"/>
      <c r="AY125" s="40"/>
      <c r="AZ125" s="43"/>
      <c r="BA125" s="44" t="s">
        <v>362</v>
      </c>
      <c r="BB125" s="40"/>
      <c r="BC125" s="42">
        <v>3589.45</v>
      </c>
      <c r="BD125" s="40"/>
      <c r="BE125" s="40"/>
      <c r="BF125" s="43"/>
      <c r="BG125" s="40"/>
      <c r="BH125" s="40"/>
      <c r="BI125" s="42"/>
      <c r="BJ125" s="40"/>
      <c r="BK125" s="40"/>
      <c r="BL125" s="43"/>
      <c r="BM125" s="40"/>
      <c r="BN125" s="40"/>
      <c r="BO125" s="42"/>
      <c r="BP125" s="40"/>
      <c r="BQ125" s="40"/>
      <c r="BR125" s="43"/>
      <c r="BS125" s="40"/>
      <c r="BT125" s="40"/>
      <c r="BU125" s="42"/>
      <c r="BV125" s="40"/>
      <c r="BW125" s="40"/>
      <c r="BX125" s="43"/>
      <c r="BY125" s="40"/>
      <c r="BZ125" s="40"/>
      <c r="CA125" s="42"/>
      <c r="CB125" s="40"/>
      <c r="CC125" s="75"/>
      <c r="CD125" s="43"/>
      <c r="CE125" s="40"/>
      <c r="CF125" s="40"/>
      <c r="CG125" s="42"/>
      <c r="CH125" s="40"/>
      <c r="CI125" s="40"/>
      <c r="CJ125" s="43"/>
      <c r="CK125" s="40"/>
      <c r="CL125" s="40"/>
      <c r="CM125" s="42"/>
      <c r="CN125" s="40"/>
      <c r="CO125" s="40"/>
      <c r="CP125" s="43"/>
      <c r="CQ125" s="40"/>
      <c r="CR125" s="40"/>
      <c r="CS125" s="42"/>
      <c r="CT125" s="40"/>
      <c r="CU125" s="40"/>
      <c r="CV125" s="43"/>
      <c r="CW125" s="40"/>
      <c r="CX125" s="40"/>
      <c r="CY125" s="42"/>
      <c r="CZ125" s="40"/>
      <c r="DA125" s="40"/>
      <c r="DB125" s="43"/>
      <c r="DC125" s="40"/>
      <c r="DD125" s="75" t="s">
        <v>311</v>
      </c>
      <c r="DE125" s="69">
        <v>27160</v>
      </c>
      <c r="DF125" s="40"/>
      <c r="DG125" s="40"/>
      <c r="DH125" s="68">
        <v>0</v>
      </c>
    </row>
    <row r="126" spans="1:112">
      <c r="A126" s="40">
        <v>173</v>
      </c>
      <c r="B126" s="40" t="s">
        <v>210</v>
      </c>
      <c r="C126" s="40">
        <v>4</v>
      </c>
      <c r="D126" s="29" t="s">
        <v>118</v>
      </c>
      <c r="E126" s="30" t="s">
        <v>121</v>
      </c>
      <c r="F126" s="30">
        <v>6</v>
      </c>
      <c r="G126" s="52">
        <v>43.026764</v>
      </c>
      <c r="H126" s="68">
        <f t="shared" si="1"/>
        <v>0</v>
      </c>
      <c r="I126" s="47">
        <v>43.026764</v>
      </c>
      <c r="J126" s="43">
        <v>43.03</v>
      </c>
      <c r="K126" s="40"/>
      <c r="L126" s="40"/>
      <c r="M126" s="43"/>
      <c r="N126" s="40"/>
      <c r="O126" s="40"/>
      <c r="P126" s="40"/>
      <c r="Q126" s="42"/>
      <c r="R126" s="40"/>
      <c r="S126" s="40"/>
      <c r="T126" s="43"/>
      <c r="U126" s="40"/>
      <c r="V126" s="40"/>
      <c r="W126" s="42"/>
      <c r="X126" s="40"/>
      <c r="Y126" s="40"/>
      <c r="Z126" s="43"/>
      <c r="AA126" s="40"/>
      <c r="AB126" s="40"/>
      <c r="AC126" s="42"/>
      <c r="AD126" s="40"/>
      <c r="AE126" s="40"/>
      <c r="AF126" s="40"/>
      <c r="AG126" s="43"/>
      <c r="AH126" s="40"/>
      <c r="AI126" s="40"/>
      <c r="AJ126" s="40"/>
      <c r="AK126" s="42"/>
      <c r="AL126" s="40"/>
      <c r="AM126" s="40"/>
      <c r="AN126" s="43"/>
      <c r="AO126" s="40"/>
      <c r="AP126" s="40"/>
      <c r="AQ126" s="42"/>
      <c r="AR126" s="40"/>
      <c r="AS126" s="40"/>
      <c r="AT126" s="43"/>
      <c r="AU126" s="40"/>
      <c r="AV126" s="40"/>
      <c r="AW126" s="42"/>
      <c r="AX126" s="40"/>
      <c r="AY126" s="40"/>
      <c r="AZ126" s="43"/>
      <c r="BA126" s="40"/>
      <c r="BB126" s="40"/>
      <c r="BC126" s="42"/>
      <c r="BD126" s="40"/>
      <c r="BE126" s="40"/>
      <c r="BF126" s="43"/>
      <c r="BG126" s="40"/>
      <c r="BH126" s="40"/>
      <c r="BI126" s="42"/>
      <c r="BJ126" s="40"/>
      <c r="BK126" s="40"/>
      <c r="BL126" s="43"/>
      <c r="BM126" s="40"/>
      <c r="BN126" s="40"/>
      <c r="BO126" s="42"/>
      <c r="BP126" s="40"/>
      <c r="BQ126" s="40"/>
      <c r="BR126" s="43"/>
      <c r="BS126" s="40"/>
      <c r="BT126" s="40"/>
      <c r="BU126" s="42"/>
      <c r="BV126" s="40"/>
      <c r="BW126" s="40"/>
      <c r="BX126" s="43"/>
      <c r="BY126" s="40"/>
      <c r="BZ126" s="40"/>
      <c r="CA126" s="42"/>
      <c r="CB126" s="40"/>
      <c r="CC126" s="75"/>
      <c r="CD126" s="43"/>
      <c r="CE126" s="40"/>
      <c r="CF126" s="40"/>
      <c r="CG126" s="42"/>
      <c r="CH126" s="40"/>
      <c r="CI126" s="40"/>
      <c r="CJ126" s="43"/>
      <c r="CK126" s="40"/>
      <c r="CL126" s="40"/>
      <c r="CM126" s="42"/>
      <c r="CN126" s="40"/>
      <c r="CO126" s="40"/>
      <c r="CP126" s="43"/>
      <c r="CQ126" s="40"/>
      <c r="CR126" s="40"/>
      <c r="CS126" s="42"/>
      <c r="CT126" s="40"/>
      <c r="CU126" s="40"/>
      <c r="CV126" s="43"/>
      <c r="CW126" s="40"/>
      <c r="CX126" s="40"/>
      <c r="CY126" s="42"/>
      <c r="CZ126" s="40"/>
      <c r="DA126" s="40"/>
      <c r="DB126" s="43"/>
      <c r="DC126" s="40"/>
      <c r="DD126" s="75" t="s">
        <v>311</v>
      </c>
      <c r="DE126" s="69">
        <v>43030</v>
      </c>
      <c r="DF126" s="40"/>
      <c r="DG126" s="40"/>
      <c r="DH126" s="68">
        <v>0</v>
      </c>
    </row>
    <row r="127" spans="1:112">
      <c r="A127" s="40">
        <v>181</v>
      </c>
      <c r="B127" s="40" t="s">
        <v>210</v>
      </c>
      <c r="C127" s="40">
        <v>5</v>
      </c>
      <c r="D127" s="29" t="s">
        <v>127</v>
      </c>
      <c r="E127" s="30">
        <v>7</v>
      </c>
      <c r="F127" s="30">
        <v>6</v>
      </c>
      <c r="G127" s="52">
        <v>37.567571999999998</v>
      </c>
      <c r="H127" s="68">
        <f t="shared" si="1"/>
        <v>20.410589999999999</v>
      </c>
      <c r="I127" s="47">
        <v>17.156981999999999</v>
      </c>
      <c r="J127" s="43">
        <v>7</v>
      </c>
      <c r="K127" s="40"/>
      <c r="L127" s="40"/>
      <c r="M127" s="43"/>
      <c r="N127" s="40"/>
      <c r="O127" s="40"/>
      <c r="P127" s="40"/>
      <c r="Q127" s="42"/>
      <c r="R127" s="40"/>
      <c r="S127" s="40"/>
      <c r="T127" s="43"/>
      <c r="U127" s="40"/>
      <c r="V127" s="40"/>
      <c r="W127" s="42"/>
      <c r="X127" s="40"/>
      <c r="Y127" s="40"/>
      <c r="Z127" s="43"/>
      <c r="AA127" s="40"/>
      <c r="AB127" s="40"/>
      <c r="AC127" s="42"/>
      <c r="AD127" s="40"/>
      <c r="AE127" s="40"/>
      <c r="AF127" s="40"/>
      <c r="AG127" s="43"/>
      <c r="AH127" s="40"/>
      <c r="AI127" s="40"/>
      <c r="AJ127" s="40"/>
      <c r="AK127" s="42"/>
      <c r="AL127" s="40"/>
      <c r="AM127" s="40"/>
      <c r="AN127" s="43"/>
      <c r="AO127" s="40"/>
      <c r="AP127" s="40"/>
      <c r="AQ127" s="42"/>
      <c r="AR127" s="40"/>
      <c r="AS127" s="40"/>
      <c r="AT127" s="43"/>
      <c r="AU127" s="40"/>
      <c r="AV127" s="40"/>
      <c r="AW127" s="42"/>
      <c r="AX127" s="40"/>
      <c r="AY127" s="40"/>
      <c r="AZ127" s="43"/>
      <c r="BA127" s="40"/>
      <c r="BB127" s="40"/>
      <c r="BC127" s="42"/>
      <c r="BD127" s="40"/>
      <c r="BE127" s="40"/>
      <c r="BF127" s="43"/>
      <c r="BG127" s="40"/>
      <c r="BH127" s="40"/>
      <c r="BI127" s="42"/>
      <c r="BJ127" s="40"/>
      <c r="BK127" s="40"/>
      <c r="BL127" s="43"/>
      <c r="BM127" s="40"/>
      <c r="BN127" s="40"/>
      <c r="BO127" s="42"/>
      <c r="BP127" s="40"/>
      <c r="BQ127" s="40"/>
      <c r="BR127" s="43"/>
      <c r="BS127" s="40"/>
      <c r="BT127" s="40"/>
      <c r="BU127" s="42"/>
      <c r="BV127" s="40"/>
      <c r="BW127" s="40"/>
      <c r="BX127" s="43"/>
      <c r="BY127" s="40"/>
      <c r="BZ127" s="40"/>
      <c r="CA127" s="42"/>
      <c r="CB127" s="40"/>
      <c r="CC127" s="75"/>
      <c r="CD127" s="43"/>
      <c r="CE127" s="40"/>
      <c r="CF127" s="40"/>
      <c r="CG127" s="42"/>
      <c r="CH127" s="40"/>
      <c r="CI127" s="40"/>
      <c r="CJ127" s="43"/>
      <c r="CK127" s="40"/>
      <c r="CL127" s="40"/>
      <c r="CM127" s="42"/>
      <c r="CN127" s="40"/>
      <c r="CO127" s="40"/>
      <c r="CP127" s="43"/>
      <c r="CQ127" s="40"/>
      <c r="CR127" s="40"/>
      <c r="CS127" s="42"/>
      <c r="CT127" s="40"/>
      <c r="CU127" s="40"/>
      <c r="CV127" s="43"/>
      <c r="CW127" s="40"/>
      <c r="CX127" s="40"/>
      <c r="CY127" s="42"/>
      <c r="CZ127" s="40"/>
      <c r="DA127" s="40"/>
      <c r="DB127" s="43"/>
      <c r="DC127" s="40" t="s">
        <v>362</v>
      </c>
      <c r="DD127" s="75" t="s">
        <v>359</v>
      </c>
      <c r="DE127" s="69">
        <v>7000</v>
      </c>
      <c r="DF127" s="40" t="s">
        <v>409</v>
      </c>
      <c r="DG127" s="40" t="s">
        <v>435</v>
      </c>
      <c r="DH127" s="68">
        <v>20410.59</v>
      </c>
    </row>
    <row r="128" spans="1:112">
      <c r="A128" s="40">
        <v>183</v>
      </c>
      <c r="B128" s="40" t="s">
        <v>210</v>
      </c>
      <c r="C128" s="40">
        <v>5</v>
      </c>
      <c r="D128" s="33" t="s">
        <v>127</v>
      </c>
      <c r="E128" s="34">
        <v>26</v>
      </c>
      <c r="F128" s="30">
        <v>7</v>
      </c>
      <c r="G128" s="52">
        <v>35.959566000000002</v>
      </c>
      <c r="H128" s="68">
        <f t="shared" si="1"/>
        <v>0</v>
      </c>
      <c r="I128" s="47">
        <v>35.959566000000002</v>
      </c>
      <c r="J128" s="43">
        <v>35.96</v>
      </c>
      <c r="K128" s="40"/>
      <c r="L128" s="40"/>
      <c r="M128" s="43"/>
      <c r="N128" s="40"/>
      <c r="O128" s="40"/>
      <c r="P128" s="40"/>
      <c r="Q128" s="42"/>
      <c r="R128" s="40"/>
      <c r="S128" s="40"/>
      <c r="T128" s="43"/>
      <c r="U128" s="40"/>
      <c r="V128" s="40"/>
      <c r="W128" s="42"/>
      <c r="X128" s="40"/>
      <c r="Y128" s="40"/>
      <c r="Z128" s="43"/>
      <c r="AA128" s="40"/>
      <c r="AB128" s="40"/>
      <c r="AC128" s="42"/>
      <c r="AD128" s="40"/>
      <c r="AE128" s="40"/>
      <c r="AF128" s="40"/>
      <c r="AG128" s="43"/>
      <c r="AH128" s="40"/>
      <c r="AI128" s="40"/>
      <c r="AJ128" s="40"/>
      <c r="AK128" s="42"/>
      <c r="AL128" s="40"/>
      <c r="AM128" s="40"/>
      <c r="AN128" s="43"/>
      <c r="AO128" s="40"/>
      <c r="AP128" s="40"/>
      <c r="AQ128" s="42"/>
      <c r="AR128" s="40"/>
      <c r="AS128" s="40"/>
      <c r="AT128" s="43"/>
      <c r="AU128" s="40"/>
      <c r="AV128" s="40"/>
      <c r="AW128" s="42"/>
      <c r="AX128" s="40" t="s">
        <v>323</v>
      </c>
      <c r="AY128" s="40">
        <v>20</v>
      </c>
      <c r="AZ128" s="43">
        <v>35960</v>
      </c>
      <c r="BA128" s="40"/>
      <c r="BB128" s="40"/>
      <c r="BC128" s="42"/>
      <c r="BD128" s="40"/>
      <c r="BE128" s="40"/>
      <c r="BF128" s="43"/>
      <c r="BG128" s="40"/>
      <c r="BH128" s="40"/>
      <c r="BI128" s="42"/>
      <c r="BJ128" s="40"/>
      <c r="BK128" s="40"/>
      <c r="BL128" s="43"/>
      <c r="BM128" s="40"/>
      <c r="BN128" s="40"/>
      <c r="BO128" s="42"/>
      <c r="BP128" s="40"/>
      <c r="BQ128" s="40"/>
      <c r="BR128" s="43"/>
      <c r="BS128" s="40"/>
      <c r="BT128" s="40"/>
      <c r="BU128" s="42"/>
      <c r="BV128" s="40"/>
      <c r="BW128" s="40"/>
      <c r="BX128" s="43"/>
      <c r="BY128" s="40"/>
      <c r="BZ128" s="40"/>
      <c r="CA128" s="42"/>
      <c r="CB128" s="40"/>
      <c r="CC128" s="75"/>
      <c r="CD128" s="43"/>
      <c r="CE128" s="40"/>
      <c r="CF128" s="40"/>
      <c r="CG128" s="42"/>
      <c r="CH128" s="40"/>
      <c r="CI128" s="40"/>
      <c r="CJ128" s="43"/>
      <c r="CK128" s="40"/>
      <c r="CL128" s="40"/>
      <c r="CM128" s="42"/>
      <c r="CN128" s="40"/>
      <c r="CO128" s="40"/>
      <c r="CP128" s="43"/>
      <c r="CQ128" s="40"/>
      <c r="CR128" s="40"/>
      <c r="CS128" s="42"/>
      <c r="CT128" s="40"/>
      <c r="CU128" s="40"/>
      <c r="CV128" s="43"/>
      <c r="CW128" s="40"/>
      <c r="CX128" s="40"/>
      <c r="CY128" s="42"/>
      <c r="CZ128" s="40"/>
      <c r="DA128" s="40"/>
      <c r="DB128" s="43"/>
      <c r="DC128" s="40"/>
      <c r="DD128" s="75"/>
      <c r="DE128" s="69">
        <v>0</v>
      </c>
      <c r="DF128" s="40"/>
      <c r="DG128" s="40"/>
      <c r="DH128" s="68">
        <v>0</v>
      </c>
    </row>
    <row r="129" spans="1:112">
      <c r="A129" s="40">
        <v>184</v>
      </c>
      <c r="B129" s="40" t="s">
        <v>210</v>
      </c>
      <c r="C129" s="40">
        <v>5</v>
      </c>
      <c r="D129" s="29" t="s">
        <v>129</v>
      </c>
      <c r="E129" s="30">
        <v>145</v>
      </c>
      <c r="F129" s="30">
        <v>7</v>
      </c>
      <c r="G129" s="52">
        <v>8.6105280000000004</v>
      </c>
      <c r="H129" s="68">
        <f t="shared" si="1"/>
        <v>0</v>
      </c>
      <c r="I129" s="47">
        <v>8.6105280000000004</v>
      </c>
      <c r="J129" s="43">
        <v>8.61</v>
      </c>
      <c r="K129" s="40"/>
      <c r="L129" s="40"/>
      <c r="M129" s="43"/>
      <c r="N129" s="40"/>
      <c r="O129" s="40"/>
      <c r="P129" s="40"/>
      <c r="Q129" s="42"/>
      <c r="R129" s="40"/>
      <c r="S129" s="40"/>
      <c r="T129" s="43"/>
      <c r="U129" s="40"/>
      <c r="V129" s="40"/>
      <c r="W129" s="42"/>
      <c r="X129" s="40"/>
      <c r="Y129" s="40"/>
      <c r="Z129" s="43"/>
      <c r="AA129" s="40"/>
      <c r="AB129" s="40"/>
      <c r="AC129" s="42"/>
      <c r="AD129" s="40"/>
      <c r="AE129" s="40"/>
      <c r="AF129" s="40"/>
      <c r="AG129" s="43"/>
      <c r="AH129" s="40"/>
      <c r="AI129" s="40"/>
      <c r="AJ129" s="40"/>
      <c r="AK129" s="42"/>
      <c r="AL129" s="40"/>
      <c r="AM129" s="40"/>
      <c r="AN129" s="43"/>
      <c r="AO129" s="40"/>
      <c r="AP129" s="40"/>
      <c r="AQ129" s="42"/>
      <c r="AR129" s="40"/>
      <c r="AS129" s="40"/>
      <c r="AT129" s="43"/>
      <c r="AU129" s="40"/>
      <c r="AV129" s="40"/>
      <c r="AW129" s="42"/>
      <c r="AX129" s="40"/>
      <c r="AY129" s="40"/>
      <c r="AZ129" s="43"/>
      <c r="BA129" s="40"/>
      <c r="BB129" s="40"/>
      <c r="BC129" s="42"/>
      <c r="BD129" s="40"/>
      <c r="BE129" s="40"/>
      <c r="BF129" s="43"/>
      <c r="BG129" s="40"/>
      <c r="BH129" s="40"/>
      <c r="BI129" s="42"/>
      <c r="BJ129" s="40"/>
      <c r="BK129" s="40"/>
      <c r="BL129" s="43"/>
      <c r="BM129" s="40"/>
      <c r="BN129" s="40"/>
      <c r="BO129" s="42"/>
      <c r="BP129" s="40"/>
      <c r="BQ129" s="40"/>
      <c r="BR129" s="43"/>
      <c r="BS129" s="40"/>
      <c r="BT129" s="40"/>
      <c r="BU129" s="42"/>
      <c r="BV129" s="40"/>
      <c r="BW129" s="40"/>
      <c r="BX129" s="43"/>
      <c r="BY129" s="40"/>
      <c r="BZ129" s="40"/>
      <c r="CA129" s="42"/>
      <c r="CB129" s="40"/>
      <c r="CC129" s="75"/>
      <c r="CD129" s="43"/>
      <c r="CE129" s="40"/>
      <c r="CF129" s="40"/>
      <c r="CG129" s="42"/>
      <c r="CH129" s="40"/>
      <c r="CI129" s="40"/>
      <c r="CJ129" s="43"/>
      <c r="CK129" s="40"/>
      <c r="CL129" s="40"/>
      <c r="CM129" s="42"/>
      <c r="CN129" s="40"/>
      <c r="CO129" s="40"/>
      <c r="CP129" s="43"/>
      <c r="CQ129" s="40"/>
      <c r="CR129" s="40"/>
      <c r="CS129" s="42"/>
      <c r="CT129" s="40"/>
      <c r="CU129" s="40"/>
      <c r="CV129" s="43"/>
      <c r="CW129" s="40"/>
      <c r="CX129" s="40"/>
      <c r="CY129" s="42"/>
      <c r="CZ129" s="40"/>
      <c r="DA129" s="40"/>
      <c r="DB129" s="43"/>
      <c r="DC129" s="40" t="s">
        <v>403</v>
      </c>
      <c r="DD129" s="75" t="s">
        <v>305</v>
      </c>
      <c r="DE129" s="69">
        <v>8610</v>
      </c>
      <c r="DF129" s="40"/>
      <c r="DG129" s="40"/>
      <c r="DH129" s="68">
        <v>0</v>
      </c>
    </row>
    <row r="130" spans="1:112">
      <c r="A130" s="40">
        <v>189</v>
      </c>
      <c r="B130" s="40" t="s">
        <v>210</v>
      </c>
      <c r="C130" s="40">
        <v>4</v>
      </c>
      <c r="D130" s="29" t="s">
        <v>130</v>
      </c>
      <c r="E130" s="30">
        <v>1</v>
      </c>
      <c r="F130" s="30">
        <v>7</v>
      </c>
      <c r="G130" s="52">
        <v>13.155904</v>
      </c>
      <c r="H130" s="68">
        <f t="shared" si="1"/>
        <v>0</v>
      </c>
      <c r="I130" s="47">
        <v>13.155904</v>
      </c>
      <c r="J130" s="43">
        <v>13.16</v>
      </c>
      <c r="K130" s="40"/>
      <c r="L130" s="40"/>
      <c r="M130" s="43"/>
      <c r="N130" s="40"/>
      <c r="O130" s="40"/>
      <c r="P130" s="40"/>
      <c r="Q130" s="42"/>
      <c r="R130" s="40"/>
      <c r="S130" s="40"/>
      <c r="T130" s="43"/>
      <c r="U130" s="40"/>
      <c r="V130" s="40"/>
      <c r="W130" s="42"/>
      <c r="X130" s="40"/>
      <c r="Y130" s="40"/>
      <c r="Z130" s="43"/>
      <c r="AA130" s="40"/>
      <c r="AB130" s="40"/>
      <c r="AC130" s="42"/>
      <c r="AD130" s="40"/>
      <c r="AE130" s="40"/>
      <c r="AF130" s="40"/>
      <c r="AG130" s="43"/>
      <c r="AH130" s="40"/>
      <c r="AI130" s="40"/>
      <c r="AJ130" s="40"/>
      <c r="AK130" s="42"/>
      <c r="AL130" s="40"/>
      <c r="AM130" s="40"/>
      <c r="AN130" s="43"/>
      <c r="AO130" s="40"/>
      <c r="AP130" s="40"/>
      <c r="AQ130" s="42"/>
      <c r="AR130" s="40"/>
      <c r="AS130" s="40"/>
      <c r="AT130" s="43"/>
      <c r="AU130" s="40"/>
      <c r="AV130" s="40"/>
      <c r="AW130" s="42"/>
      <c r="AX130" s="40"/>
      <c r="AY130" s="40"/>
      <c r="AZ130" s="43"/>
      <c r="BA130" s="40"/>
      <c r="BB130" s="40"/>
      <c r="BC130" s="42"/>
      <c r="BD130" s="40"/>
      <c r="BE130" s="40"/>
      <c r="BF130" s="43"/>
      <c r="BG130" s="40"/>
      <c r="BH130" s="40"/>
      <c r="BI130" s="42"/>
      <c r="BJ130" s="40"/>
      <c r="BK130" s="40"/>
      <c r="BL130" s="43"/>
      <c r="BM130" s="40"/>
      <c r="BN130" s="40"/>
      <c r="BO130" s="42"/>
      <c r="BP130" s="40"/>
      <c r="BQ130" s="40"/>
      <c r="BR130" s="43"/>
      <c r="BS130" s="40"/>
      <c r="BT130" s="40"/>
      <c r="BU130" s="42"/>
      <c r="BV130" s="40"/>
      <c r="BW130" s="40"/>
      <c r="BX130" s="43"/>
      <c r="BY130" s="40"/>
      <c r="BZ130" s="40"/>
      <c r="CA130" s="42"/>
      <c r="CB130" s="40"/>
      <c r="CC130" s="75"/>
      <c r="CD130" s="43"/>
      <c r="CE130" s="40"/>
      <c r="CF130" s="40"/>
      <c r="CG130" s="42"/>
      <c r="CH130" s="40"/>
      <c r="CI130" s="40"/>
      <c r="CJ130" s="43"/>
      <c r="CK130" s="40"/>
      <c r="CL130" s="40"/>
      <c r="CM130" s="42"/>
      <c r="CN130" s="40"/>
      <c r="CO130" s="40"/>
      <c r="CP130" s="43"/>
      <c r="CQ130" s="40"/>
      <c r="CR130" s="40"/>
      <c r="CS130" s="42"/>
      <c r="CT130" s="40"/>
      <c r="CU130" s="40"/>
      <c r="CV130" s="43"/>
      <c r="CW130" s="40"/>
      <c r="CX130" s="40"/>
      <c r="CY130" s="42"/>
      <c r="CZ130" s="40"/>
      <c r="DA130" s="40"/>
      <c r="DB130" s="43"/>
      <c r="DC130" s="40"/>
      <c r="DD130" s="75" t="s">
        <v>364</v>
      </c>
      <c r="DE130" s="69">
        <v>13160</v>
      </c>
      <c r="DF130" s="40"/>
      <c r="DG130" s="40"/>
      <c r="DH130" s="68">
        <v>0</v>
      </c>
    </row>
    <row r="131" spans="1:112">
      <c r="A131" s="40">
        <v>190</v>
      </c>
      <c r="B131" s="40" t="s">
        <v>210</v>
      </c>
      <c r="C131" s="40">
        <v>4</v>
      </c>
      <c r="D131" s="29" t="s">
        <v>130</v>
      </c>
      <c r="E131" s="30">
        <v>13</v>
      </c>
      <c r="F131" s="30">
        <v>7</v>
      </c>
      <c r="G131" s="52">
        <v>10.263392000000001</v>
      </c>
      <c r="H131" s="68">
        <f t="shared" si="1"/>
        <v>0</v>
      </c>
      <c r="I131" s="47">
        <v>10.263392000000001</v>
      </c>
      <c r="J131" s="43">
        <v>10.26</v>
      </c>
      <c r="K131" s="40"/>
      <c r="L131" s="40"/>
      <c r="M131" s="43"/>
      <c r="N131" s="40"/>
      <c r="O131" s="40"/>
      <c r="P131" s="40"/>
      <c r="Q131" s="42"/>
      <c r="R131" s="40"/>
      <c r="S131" s="40"/>
      <c r="T131" s="43"/>
      <c r="U131" s="40"/>
      <c r="V131" s="40"/>
      <c r="W131" s="42"/>
      <c r="X131" s="40"/>
      <c r="Y131" s="40"/>
      <c r="Z131" s="43"/>
      <c r="AA131" s="40"/>
      <c r="AB131" s="40"/>
      <c r="AC131" s="42"/>
      <c r="AD131" s="40"/>
      <c r="AE131" s="40"/>
      <c r="AF131" s="40"/>
      <c r="AG131" s="43"/>
      <c r="AH131" s="40"/>
      <c r="AI131" s="40"/>
      <c r="AJ131" s="40"/>
      <c r="AK131" s="42"/>
      <c r="AL131" s="40"/>
      <c r="AM131" s="40"/>
      <c r="AN131" s="43"/>
      <c r="AO131" s="40"/>
      <c r="AP131" s="40"/>
      <c r="AQ131" s="42"/>
      <c r="AR131" s="40"/>
      <c r="AS131" s="40"/>
      <c r="AT131" s="43"/>
      <c r="AU131" s="40"/>
      <c r="AV131" s="40"/>
      <c r="AW131" s="42"/>
      <c r="AX131" s="40"/>
      <c r="AY131" s="40"/>
      <c r="AZ131" s="43"/>
      <c r="BA131" s="40"/>
      <c r="BB131" s="40"/>
      <c r="BC131" s="42"/>
      <c r="BD131" s="40"/>
      <c r="BE131" s="40"/>
      <c r="BF131" s="43"/>
      <c r="BG131" s="40"/>
      <c r="BH131" s="40"/>
      <c r="BI131" s="42"/>
      <c r="BJ131" s="40"/>
      <c r="BK131" s="40"/>
      <c r="BL131" s="43"/>
      <c r="BM131" s="40"/>
      <c r="BN131" s="40"/>
      <c r="BO131" s="42"/>
      <c r="BP131" s="40"/>
      <c r="BQ131" s="40"/>
      <c r="BR131" s="43"/>
      <c r="BS131" s="40"/>
      <c r="BT131" s="40"/>
      <c r="BU131" s="42"/>
      <c r="BV131" s="40"/>
      <c r="BW131" s="40"/>
      <c r="BX131" s="43"/>
      <c r="BY131" s="40"/>
      <c r="BZ131" s="40"/>
      <c r="CA131" s="42"/>
      <c r="CB131" s="40"/>
      <c r="CC131" s="75"/>
      <c r="CD131" s="43"/>
      <c r="CE131" s="40"/>
      <c r="CF131" s="40"/>
      <c r="CG131" s="42"/>
      <c r="CH131" s="40"/>
      <c r="CI131" s="40"/>
      <c r="CJ131" s="43"/>
      <c r="CK131" s="40"/>
      <c r="CL131" s="40"/>
      <c r="CM131" s="42"/>
      <c r="CN131" s="40"/>
      <c r="CO131" s="40"/>
      <c r="CP131" s="43"/>
      <c r="CQ131" s="40"/>
      <c r="CR131" s="40"/>
      <c r="CS131" s="42"/>
      <c r="CT131" s="40"/>
      <c r="CU131" s="40"/>
      <c r="CV131" s="43"/>
      <c r="CW131" s="40"/>
      <c r="CX131" s="40"/>
      <c r="CY131" s="42"/>
      <c r="CZ131" s="40"/>
      <c r="DA131" s="40"/>
      <c r="DB131" s="43"/>
      <c r="DC131" s="40"/>
      <c r="DD131" s="75" t="s">
        <v>364</v>
      </c>
      <c r="DE131" s="69">
        <v>10260</v>
      </c>
      <c r="DF131" s="40"/>
      <c r="DG131" s="40"/>
      <c r="DH131" s="68">
        <v>0</v>
      </c>
    </row>
    <row r="132" spans="1:112">
      <c r="A132" s="40">
        <v>191</v>
      </c>
      <c r="B132" s="40" t="s">
        <v>210</v>
      </c>
      <c r="C132" s="40">
        <v>4</v>
      </c>
      <c r="D132" s="29" t="s">
        <v>130</v>
      </c>
      <c r="E132" s="30">
        <v>16</v>
      </c>
      <c r="F132" s="30">
        <v>7</v>
      </c>
      <c r="G132" s="52">
        <v>9.906016000000001</v>
      </c>
      <c r="H132" s="68">
        <f t="shared" si="1"/>
        <v>0</v>
      </c>
      <c r="I132" s="47">
        <v>9.906016000000001</v>
      </c>
      <c r="J132" s="43">
        <v>9.91</v>
      </c>
      <c r="K132" s="40"/>
      <c r="L132" s="40"/>
      <c r="M132" s="43"/>
      <c r="N132" s="40"/>
      <c r="O132" s="40"/>
      <c r="P132" s="40"/>
      <c r="Q132" s="42"/>
      <c r="R132" s="40"/>
      <c r="S132" s="40"/>
      <c r="T132" s="43"/>
      <c r="U132" s="40"/>
      <c r="V132" s="40"/>
      <c r="W132" s="42"/>
      <c r="X132" s="40"/>
      <c r="Y132" s="40"/>
      <c r="Z132" s="43"/>
      <c r="AA132" s="40"/>
      <c r="AB132" s="40"/>
      <c r="AC132" s="42"/>
      <c r="AD132" s="40"/>
      <c r="AE132" s="40"/>
      <c r="AF132" s="40"/>
      <c r="AG132" s="43"/>
      <c r="AH132" s="40"/>
      <c r="AI132" s="40"/>
      <c r="AJ132" s="40"/>
      <c r="AK132" s="42"/>
      <c r="AL132" s="40"/>
      <c r="AM132" s="40"/>
      <c r="AN132" s="43"/>
      <c r="AO132" s="40"/>
      <c r="AP132" s="40"/>
      <c r="AQ132" s="42"/>
      <c r="AR132" s="40"/>
      <c r="AS132" s="40"/>
      <c r="AT132" s="43"/>
      <c r="AU132" s="40"/>
      <c r="AV132" s="40"/>
      <c r="AW132" s="42"/>
      <c r="AX132" s="40"/>
      <c r="AY132" s="40"/>
      <c r="AZ132" s="43"/>
      <c r="BA132" s="40"/>
      <c r="BB132" s="40"/>
      <c r="BC132" s="42"/>
      <c r="BD132" s="40"/>
      <c r="BE132" s="40"/>
      <c r="BF132" s="43"/>
      <c r="BG132" s="40"/>
      <c r="BH132" s="40"/>
      <c r="BI132" s="42"/>
      <c r="BJ132" s="40"/>
      <c r="BK132" s="40"/>
      <c r="BL132" s="43"/>
      <c r="BM132" s="40"/>
      <c r="BN132" s="40"/>
      <c r="BO132" s="42"/>
      <c r="BP132" s="40"/>
      <c r="BQ132" s="40"/>
      <c r="BR132" s="43"/>
      <c r="BS132" s="40"/>
      <c r="BT132" s="40"/>
      <c r="BU132" s="42"/>
      <c r="BV132" s="40"/>
      <c r="BW132" s="40"/>
      <c r="BX132" s="43"/>
      <c r="BY132" s="40"/>
      <c r="BZ132" s="40"/>
      <c r="CA132" s="42"/>
      <c r="CB132" s="40"/>
      <c r="CC132" s="75"/>
      <c r="CD132" s="43"/>
      <c r="CE132" s="40"/>
      <c r="CF132" s="40"/>
      <c r="CG132" s="42"/>
      <c r="CH132" s="40"/>
      <c r="CI132" s="40"/>
      <c r="CJ132" s="43"/>
      <c r="CK132" s="40"/>
      <c r="CL132" s="40"/>
      <c r="CM132" s="42"/>
      <c r="CN132" s="40"/>
      <c r="CO132" s="40"/>
      <c r="CP132" s="43"/>
      <c r="CQ132" s="40"/>
      <c r="CR132" s="40"/>
      <c r="CS132" s="42"/>
      <c r="CT132" s="40"/>
      <c r="CU132" s="40"/>
      <c r="CV132" s="43"/>
      <c r="CW132" s="40"/>
      <c r="CX132" s="40"/>
      <c r="CY132" s="42"/>
      <c r="CZ132" s="40"/>
      <c r="DA132" s="40"/>
      <c r="DB132" s="43"/>
      <c r="DC132" s="40"/>
      <c r="DD132" s="75" t="s">
        <v>364</v>
      </c>
      <c r="DE132" s="69">
        <v>9910</v>
      </c>
      <c r="DF132" s="40"/>
      <c r="DG132" s="40"/>
      <c r="DH132" s="68">
        <v>0</v>
      </c>
    </row>
    <row r="133" spans="1:112">
      <c r="A133" s="40">
        <v>192</v>
      </c>
      <c r="B133" s="40" t="s">
        <v>210</v>
      </c>
      <c r="C133" s="40">
        <v>4</v>
      </c>
      <c r="D133" s="29" t="s">
        <v>130</v>
      </c>
      <c r="E133" s="30">
        <v>22</v>
      </c>
      <c r="F133" s="30">
        <v>7</v>
      </c>
      <c r="G133" s="52">
        <v>11.715232</v>
      </c>
      <c r="H133" s="68">
        <f t="shared" si="1"/>
        <v>5.5420699999999998</v>
      </c>
      <c r="I133" s="47">
        <v>11.715232</v>
      </c>
      <c r="J133" s="43">
        <v>11.72</v>
      </c>
      <c r="K133" s="40"/>
      <c r="L133" s="40"/>
      <c r="M133" s="43"/>
      <c r="N133" s="40"/>
      <c r="O133" s="40"/>
      <c r="P133" s="40"/>
      <c r="Q133" s="42"/>
      <c r="R133" s="40"/>
      <c r="S133" s="40"/>
      <c r="T133" s="43"/>
      <c r="U133" s="40"/>
      <c r="V133" s="40"/>
      <c r="W133" s="42"/>
      <c r="X133" s="40"/>
      <c r="Y133" s="40"/>
      <c r="Z133" s="43"/>
      <c r="AA133" s="40"/>
      <c r="AB133" s="40"/>
      <c r="AC133" s="42"/>
      <c r="AD133" s="40"/>
      <c r="AE133" s="40"/>
      <c r="AF133" s="40"/>
      <c r="AG133" s="43"/>
      <c r="AH133" s="44" t="s">
        <v>408</v>
      </c>
      <c r="AI133" s="40">
        <v>9.43</v>
      </c>
      <c r="AJ133" s="40">
        <v>1</v>
      </c>
      <c r="AK133" s="42">
        <v>5542.07</v>
      </c>
      <c r="AL133" s="40"/>
      <c r="AM133" s="40"/>
      <c r="AN133" s="43"/>
      <c r="AO133" s="40"/>
      <c r="AP133" s="40"/>
      <c r="AQ133" s="42"/>
      <c r="AR133" s="40"/>
      <c r="AS133" s="40"/>
      <c r="AT133" s="43"/>
      <c r="AU133" s="40"/>
      <c r="AV133" s="40"/>
      <c r="AW133" s="42"/>
      <c r="AX133" s="40"/>
      <c r="AY133" s="40"/>
      <c r="AZ133" s="43"/>
      <c r="BA133" s="40"/>
      <c r="BB133" s="40"/>
      <c r="BC133" s="42"/>
      <c r="BD133" s="40"/>
      <c r="BE133" s="40"/>
      <c r="BF133" s="43"/>
      <c r="BG133" s="40"/>
      <c r="BH133" s="40"/>
      <c r="BI133" s="42"/>
      <c r="BJ133" s="40"/>
      <c r="BK133" s="40"/>
      <c r="BL133" s="43"/>
      <c r="BM133" s="40"/>
      <c r="BN133" s="40"/>
      <c r="BO133" s="42"/>
      <c r="BP133" s="40"/>
      <c r="BQ133" s="40"/>
      <c r="BR133" s="43"/>
      <c r="BS133" s="40"/>
      <c r="BT133" s="40"/>
      <c r="BU133" s="42"/>
      <c r="BV133" s="40"/>
      <c r="BW133" s="40"/>
      <c r="BX133" s="43"/>
      <c r="BY133" s="40"/>
      <c r="BZ133" s="40"/>
      <c r="CA133" s="42"/>
      <c r="CB133" s="40"/>
      <c r="CC133" s="75"/>
      <c r="CD133" s="43"/>
      <c r="CE133" s="40"/>
      <c r="CF133" s="40"/>
      <c r="CG133" s="42"/>
      <c r="CH133" s="40"/>
      <c r="CI133" s="40"/>
      <c r="CJ133" s="43"/>
      <c r="CK133" s="40"/>
      <c r="CL133" s="40"/>
      <c r="CM133" s="42"/>
      <c r="CN133" s="40"/>
      <c r="CO133" s="40"/>
      <c r="CP133" s="43"/>
      <c r="CQ133" s="40"/>
      <c r="CR133" s="40"/>
      <c r="CS133" s="42"/>
      <c r="CT133" s="40"/>
      <c r="CU133" s="40"/>
      <c r="CV133" s="43"/>
      <c r="CW133" s="40"/>
      <c r="CX133" s="40"/>
      <c r="CY133" s="42"/>
      <c r="CZ133" s="40"/>
      <c r="DA133" s="40"/>
      <c r="DB133" s="43"/>
      <c r="DC133" s="40"/>
      <c r="DD133" s="75" t="s">
        <v>364</v>
      </c>
      <c r="DE133" s="69">
        <v>11720</v>
      </c>
      <c r="DF133" s="40"/>
      <c r="DG133" s="40"/>
      <c r="DH133" s="68">
        <v>0</v>
      </c>
    </row>
    <row r="134" spans="1:112">
      <c r="A134" s="40">
        <v>193</v>
      </c>
      <c r="B134" s="40" t="s">
        <v>210</v>
      </c>
      <c r="C134" s="40">
        <v>4</v>
      </c>
      <c r="D134" s="29" t="s">
        <v>130</v>
      </c>
      <c r="E134" s="30">
        <v>26</v>
      </c>
      <c r="F134" s="30">
        <v>7</v>
      </c>
      <c r="G134" s="52">
        <v>9.6826520000000009</v>
      </c>
      <c r="H134" s="68">
        <f t="shared" si="1"/>
        <v>0</v>
      </c>
      <c r="I134" s="47">
        <v>9.6826520000000009</v>
      </c>
      <c r="J134" s="43">
        <v>9.68</v>
      </c>
      <c r="K134" s="40"/>
      <c r="L134" s="40"/>
      <c r="M134" s="43"/>
      <c r="N134" s="40"/>
      <c r="O134" s="40"/>
      <c r="P134" s="40"/>
      <c r="Q134" s="42"/>
      <c r="R134" s="40"/>
      <c r="S134" s="40"/>
      <c r="T134" s="43"/>
      <c r="U134" s="40"/>
      <c r="V134" s="40"/>
      <c r="W134" s="42"/>
      <c r="X134" s="40"/>
      <c r="Y134" s="40"/>
      <c r="Z134" s="43"/>
      <c r="AA134" s="40"/>
      <c r="AB134" s="40"/>
      <c r="AC134" s="42"/>
      <c r="AD134" s="40"/>
      <c r="AE134" s="40"/>
      <c r="AF134" s="40"/>
      <c r="AG134" s="43"/>
      <c r="AH134" s="40"/>
      <c r="AI134" s="40"/>
      <c r="AJ134" s="40"/>
      <c r="AK134" s="42"/>
      <c r="AL134" s="40"/>
      <c r="AM134" s="40"/>
      <c r="AN134" s="43"/>
      <c r="AO134" s="40"/>
      <c r="AP134" s="40"/>
      <c r="AQ134" s="42"/>
      <c r="AR134" s="40"/>
      <c r="AS134" s="40"/>
      <c r="AT134" s="43"/>
      <c r="AU134" s="40"/>
      <c r="AV134" s="40"/>
      <c r="AW134" s="42"/>
      <c r="AX134" s="40"/>
      <c r="AY134" s="40"/>
      <c r="AZ134" s="43"/>
      <c r="BA134" s="40"/>
      <c r="BB134" s="40"/>
      <c r="BC134" s="42"/>
      <c r="BD134" s="40"/>
      <c r="BE134" s="40"/>
      <c r="BF134" s="43"/>
      <c r="BG134" s="40"/>
      <c r="BH134" s="40"/>
      <c r="BI134" s="42"/>
      <c r="BJ134" s="40"/>
      <c r="BK134" s="40"/>
      <c r="BL134" s="43"/>
      <c r="BM134" s="40"/>
      <c r="BN134" s="40"/>
      <c r="BO134" s="42"/>
      <c r="BP134" s="40"/>
      <c r="BQ134" s="40"/>
      <c r="BR134" s="43"/>
      <c r="BS134" s="40"/>
      <c r="BT134" s="40"/>
      <c r="BU134" s="42"/>
      <c r="BV134" s="40"/>
      <c r="BW134" s="40"/>
      <c r="BX134" s="43"/>
      <c r="BY134" s="40"/>
      <c r="BZ134" s="40"/>
      <c r="CA134" s="42"/>
      <c r="CB134" s="40"/>
      <c r="CC134" s="75"/>
      <c r="CD134" s="43"/>
      <c r="CE134" s="40"/>
      <c r="CF134" s="40"/>
      <c r="CG134" s="42"/>
      <c r="CH134" s="40"/>
      <c r="CI134" s="40"/>
      <c r="CJ134" s="43"/>
      <c r="CK134" s="40"/>
      <c r="CL134" s="40"/>
      <c r="CM134" s="42"/>
      <c r="CN134" s="40"/>
      <c r="CO134" s="40"/>
      <c r="CP134" s="43"/>
      <c r="CQ134" s="40"/>
      <c r="CR134" s="40"/>
      <c r="CS134" s="42"/>
      <c r="CT134" s="40"/>
      <c r="CU134" s="40"/>
      <c r="CV134" s="43"/>
      <c r="CW134" s="40"/>
      <c r="CX134" s="40"/>
      <c r="CY134" s="42"/>
      <c r="CZ134" s="40"/>
      <c r="DA134" s="40"/>
      <c r="DB134" s="43"/>
      <c r="DC134" s="40"/>
      <c r="DD134" s="75" t="s">
        <v>364</v>
      </c>
      <c r="DE134" s="69">
        <v>9680</v>
      </c>
      <c r="DF134" s="40"/>
      <c r="DG134" s="40"/>
      <c r="DH134" s="68">
        <v>0</v>
      </c>
    </row>
    <row r="135" spans="1:112">
      <c r="A135" s="40">
        <v>194</v>
      </c>
      <c r="B135" s="40" t="s">
        <v>210</v>
      </c>
      <c r="C135" s="40">
        <v>4</v>
      </c>
      <c r="D135" s="29" t="s">
        <v>130</v>
      </c>
      <c r="E135" s="30">
        <v>27</v>
      </c>
      <c r="F135" s="30">
        <v>7</v>
      </c>
      <c r="G135" s="52">
        <v>10.095872000000002</v>
      </c>
      <c r="H135" s="68">
        <f t="shared" si="1"/>
        <v>26.12434</v>
      </c>
      <c r="I135" s="47">
        <v>10.095872000000002</v>
      </c>
      <c r="J135" s="43">
        <v>40</v>
      </c>
      <c r="K135" s="40"/>
      <c r="L135" s="40"/>
      <c r="M135" s="43"/>
      <c r="N135" s="40"/>
      <c r="O135" s="40"/>
      <c r="P135" s="40"/>
      <c r="Q135" s="42"/>
      <c r="R135" s="40"/>
      <c r="S135" s="40"/>
      <c r="T135" s="43"/>
      <c r="U135" s="40"/>
      <c r="V135" s="40"/>
      <c r="W135" s="42"/>
      <c r="X135" s="40"/>
      <c r="Y135" s="40"/>
      <c r="Z135" s="43"/>
      <c r="AA135" s="40"/>
      <c r="AB135" s="40"/>
      <c r="AC135" s="42"/>
      <c r="AD135" s="40" t="s">
        <v>405</v>
      </c>
      <c r="AE135" s="40" t="s">
        <v>308</v>
      </c>
      <c r="AF135" s="99">
        <v>50</v>
      </c>
      <c r="AG135" s="43">
        <v>40000</v>
      </c>
      <c r="AH135" s="44" t="s">
        <v>408</v>
      </c>
      <c r="AI135" s="40">
        <v>44.45</v>
      </c>
      <c r="AJ135" s="40">
        <v>1</v>
      </c>
      <c r="AK135" s="42">
        <v>26124.34</v>
      </c>
      <c r="AL135" s="40"/>
      <c r="AM135" s="40"/>
      <c r="AN135" s="43"/>
      <c r="AO135" s="40"/>
      <c r="AP135" s="40"/>
      <c r="AQ135" s="42"/>
      <c r="AR135" s="40"/>
      <c r="AS135" s="40"/>
      <c r="AT135" s="43"/>
      <c r="AU135" s="40"/>
      <c r="AV135" s="40"/>
      <c r="AW135" s="42"/>
      <c r="AX135" s="40"/>
      <c r="AY135" s="40"/>
      <c r="AZ135" s="43"/>
      <c r="BA135" s="40"/>
      <c r="BB135" s="40"/>
      <c r="BC135" s="42"/>
      <c r="BD135" s="40"/>
      <c r="BE135" s="40"/>
      <c r="BF135" s="43"/>
      <c r="BG135" s="40"/>
      <c r="BH135" s="40"/>
      <c r="BI135" s="42"/>
      <c r="BJ135" s="40"/>
      <c r="BK135" s="40"/>
      <c r="BL135" s="43"/>
      <c r="BM135" s="40"/>
      <c r="BN135" s="40"/>
      <c r="BO135" s="42"/>
      <c r="BP135" s="40"/>
      <c r="BQ135" s="40"/>
      <c r="BR135" s="43"/>
      <c r="BS135" s="40"/>
      <c r="BT135" s="40"/>
      <c r="BU135" s="42"/>
      <c r="BV135" s="40"/>
      <c r="BW135" s="40"/>
      <c r="BX135" s="43"/>
      <c r="BY135" s="40"/>
      <c r="BZ135" s="40"/>
      <c r="CA135" s="42"/>
      <c r="CB135" s="40"/>
      <c r="CC135" s="75"/>
      <c r="CD135" s="43"/>
      <c r="CE135" s="40"/>
      <c r="CF135" s="40"/>
      <c r="CG135" s="42"/>
      <c r="CH135" s="40"/>
      <c r="CI135" s="40"/>
      <c r="CJ135" s="43"/>
      <c r="CK135" s="40"/>
      <c r="CL135" s="40"/>
      <c r="CM135" s="42"/>
      <c r="CN135" s="40"/>
      <c r="CO135" s="40"/>
      <c r="CP135" s="43"/>
      <c r="CQ135" s="40"/>
      <c r="CR135" s="40"/>
      <c r="CS135" s="42"/>
      <c r="CT135" s="40"/>
      <c r="CU135" s="40"/>
      <c r="CV135" s="43"/>
      <c r="CW135" s="40"/>
      <c r="CX135" s="40"/>
      <c r="CY135" s="42"/>
      <c r="CZ135" s="40"/>
      <c r="DA135" s="40"/>
      <c r="DB135" s="43"/>
      <c r="DC135" s="40"/>
      <c r="DD135" s="75"/>
      <c r="DE135" s="69">
        <v>0</v>
      </c>
      <c r="DF135" s="40"/>
      <c r="DG135" s="40"/>
      <c r="DH135" s="68">
        <v>0</v>
      </c>
    </row>
    <row r="136" spans="1:112">
      <c r="A136" s="40">
        <v>198</v>
      </c>
      <c r="B136" s="40" t="s">
        <v>210</v>
      </c>
      <c r="C136" s="40">
        <v>4</v>
      </c>
      <c r="D136" s="29" t="s">
        <v>130</v>
      </c>
      <c r="E136" s="30">
        <v>32</v>
      </c>
      <c r="F136" s="30">
        <v>7</v>
      </c>
      <c r="G136" s="52">
        <v>6.6940120000000007</v>
      </c>
      <c r="H136" s="68">
        <f t="shared" si="1"/>
        <v>0</v>
      </c>
      <c r="I136" s="47">
        <v>6.6940120000000007</v>
      </c>
      <c r="J136" s="43">
        <v>6.69</v>
      </c>
      <c r="K136" s="40"/>
      <c r="L136" s="40"/>
      <c r="M136" s="43"/>
      <c r="N136" s="40"/>
      <c r="O136" s="40"/>
      <c r="P136" s="40"/>
      <c r="Q136" s="42"/>
      <c r="R136" s="40"/>
      <c r="S136" s="40"/>
      <c r="T136" s="43"/>
      <c r="U136" s="40"/>
      <c r="V136" s="40"/>
      <c r="W136" s="42"/>
      <c r="X136" s="40"/>
      <c r="Y136" s="40"/>
      <c r="Z136" s="43"/>
      <c r="AA136" s="40"/>
      <c r="AB136" s="40"/>
      <c r="AC136" s="42"/>
      <c r="AD136" s="40"/>
      <c r="AE136" s="40"/>
      <c r="AF136" s="40"/>
      <c r="AG136" s="43"/>
      <c r="AH136" s="40"/>
      <c r="AI136" s="40"/>
      <c r="AJ136" s="40"/>
      <c r="AK136" s="42"/>
      <c r="AL136" s="40"/>
      <c r="AM136" s="40"/>
      <c r="AN136" s="43"/>
      <c r="AO136" s="40"/>
      <c r="AP136" s="40"/>
      <c r="AQ136" s="42"/>
      <c r="AR136" s="40"/>
      <c r="AS136" s="40"/>
      <c r="AT136" s="43"/>
      <c r="AU136" s="40"/>
      <c r="AV136" s="40"/>
      <c r="AW136" s="42"/>
      <c r="AX136" s="40"/>
      <c r="AY136" s="40"/>
      <c r="AZ136" s="43"/>
      <c r="BA136" s="40"/>
      <c r="BB136" s="40"/>
      <c r="BC136" s="42"/>
      <c r="BD136" s="40"/>
      <c r="BE136" s="40"/>
      <c r="BF136" s="43"/>
      <c r="BG136" s="40"/>
      <c r="BH136" s="40"/>
      <c r="BI136" s="42"/>
      <c r="BJ136" s="40"/>
      <c r="BK136" s="40"/>
      <c r="BL136" s="43"/>
      <c r="BM136" s="40"/>
      <c r="BN136" s="40"/>
      <c r="BO136" s="42"/>
      <c r="BP136" s="40"/>
      <c r="BQ136" s="40"/>
      <c r="BR136" s="43"/>
      <c r="BS136" s="40"/>
      <c r="BT136" s="40"/>
      <c r="BU136" s="42"/>
      <c r="BV136" s="40"/>
      <c r="BW136" s="40"/>
      <c r="BX136" s="43"/>
      <c r="BY136" s="40"/>
      <c r="BZ136" s="40"/>
      <c r="CA136" s="42"/>
      <c r="CB136" s="40"/>
      <c r="CC136" s="75"/>
      <c r="CD136" s="43"/>
      <c r="CE136" s="40"/>
      <c r="CF136" s="40"/>
      <c r="CG136" s="42"/>
      <c r="CH136" s="40"/>
      <c r="CI136" s="40"/>
      <c r="CJ136" s="43"/>
      <c r="CK136" s="40"/>
      <c r="CL136" s="40"/>
      <c r="CM136" s="42"/>
      <c r="CN136" s="40"/>
      <c r="CO136" s="40"/>
      <c r="CP136" s="43"/>
      <c r="CQ136" s="40"/>
      <c r="CR136" s="40"/>
      <c r="CS136" s="42"/>
      <c r="CT136" s="40"/>
      <c r="CU136" s="40"/>
      <c r="CV136" s="43"/>
      <c r="CW136" s="40"/>
      <c r="CX136" s="40"/>
      <c r="CY136" s="42"/>
      <c r="CZ136" s="40"/>
      <c r="DA136" s="40"/>
      <c r="DB136" s="43"/>
      <c r="DC136" s="40"/>
      <c r="DD136" s="75" t="s">
        <v>364</v>
      </c>
      <c r="DE136" s="69">
        <v>6690</v>
      </c>
      <c r="DF136" s="40"/>
      <c r="DG136" s="40"/>
      <c r="DH136" s="68">
        <v>0</v>
      </c>
    </row>
    <row r="137" spans="1:112">
      <c r="A137" s="40">
        <v>206</v>
      </c>
      <c r="B137" s="40" t="s">
        <v>210</v>
      </c>
      <c r="C137" s="40">
        <v>4</v>
      </c>
      <c r="D137" s="29" t="s">
        <v>131</v>
      </c>
      <c r="E137" s="30">
        <v>3</v>
      </c>
      <c r="F137" s="30">
        <v>7</v>
      </c>
      <c r="G137" s="52">
        <v>13.993508000000002</v>
      </c>
      <c r="H137" s="68">
        <f t="shared" ref="H137:H200" si="2">(Q137+W137+AC137+AK137+AQ137+AW137+BC137+BI137+BO137+BU137+CA137+CG137+CM137+CS137+CY137+DH137)/1000</f>
        <v>0</v>
      </c>
      <c r="I137" s="47">
        <v>13.993508000000002</v>
      </c>
      <c r="J137" s="43">
        <v>0</v>
      </c>
      <c r="K137" s="40" t="s">
        <v>396</v>
      </c>
      <c r="L137" s="40"/>
      <c r="M137" s="43"/>
      <c r="N137" s="40"/>
      <c r="O137" s="40"/>
      <c r="P137" s="40"/>
      <c r="Q137" s="42"/>
      <c r="R137" s="40"/>
      <c r="S137" s="40"/>
      <c r="T137" s="43"/>
      <c r="U137" s="40"/>
      <c r="V137" s="40"/>
      <c r="W137" s="42"/>
      <c r="X137" s="40"/>
      <c r="Y137" s="40"/>
      <c r="Z137" s="43"/>
      <c r="AA137" s="40"/>
      <c r="AB137" s="40"/>
      <c r="AC137" s="42"/>
      <c r="AD137" s="40"/>
      <c r="AE137" s="40"/>
      <c r="AF137" s="40"/>
      <c r="AG137" s="43"/>
      <c r="AH137" s="40"/>
      <c r="AI137" s="40"/>
      <c r="AJ137" s="40"/>
      <c r="AK137" s="42"/>
      <c r="AL137" s="40"/>
      <c r="AM137" s="40"/>
      <c r="AN137" s="43"/>
      <c r="AO137" s="40"/>
      <c r="AP137" s="40"/>
      <c r="AQ137" s="42"/>
      <c r="AR137" s="40"/>
      <c r="AS137" s="40"/>
      <c r="AT137" s="43"/>
      <c r="AU137" s="40"/>
      <c r="AV137" s="40"/>
      <c r="AW137" s="42"/>
      <c r="AX137" s="40"/>
      <c r="AY137" s="40"/>
      <c r="AZ137" s="43"/>
      <c r="BA137" s="40"/>
      <c r="BB137" s="40"/>
      <c r="BC137" s="42"/>
      <c r="BD137" s="40"/>
      <c r="BE137" s="40"/>
      <c r="BF137" s="43"/>
      <c r="BG137" s="40"/>
      <c r="BH137" s="40"/>
      <c r="BI137" s="42"/>
      <c r="BJ137" s="40"/>
      <c r="BK137" s="40"/>
      <c r="BL137" s="43"/>
      <c r="BM137" s="40"/>
      <c r="BN137" s="40"/>
      <c r="BO137" s="42"/>
      <c r="BP137" s="40"/>
      <c r="BQ137" s="40"/>
      <c r="BR137" s="43"/>
      <c r="BS137" s="40"/>
      <c r="BT137" s="40"/>
      <c r="BU137" s="42"/>
      <c r="BV137" s="40"/>
      <c r="BW137" s="40"/>
      <c r="BX137" s="43"/>
      <c r="BY137" s="40"/>
      <c r="BZ137" s="40"/>
      <c r="CA137" s="42"/>
      <c r="CB137" s="40"/>
      <c r="CC137" s="75"/>
      <c r="CD137" s="43"/>
      <c r="CE137" s="40"/>
      <c r="CF137" s="40"/>
      <c r="CG137" s="42"/>
      <c r="CH137" s="40"/>
      <c r="CI137" s="40"/>
      <c r="CJ137" s="43"/>
      <c r="CK137" s="40"/>
      <c r="CL137" s="40"/>
      <c r="CM137" s="42"/>
      <c r="CN137" s="40"/>
      <c r="CO137" s="40"/>
      <c r="CP137" s="43"/>
      <c r="CQ137" s="40"/>
      <c r="CR137" s="40"/>
      <c r="CS137" s="42"/>
      <c r="CT137" s="40"/>
      <c r="CU137" s="40"/>
      <c r="CV137" s="43"/>
      <c r="CW137" s="40"/>
      <c r="CX137" s="40"/>
      <c r="CY137" s="42"/>
      <c r="CZ137" s="40"/>
      <c r="DA137" s="40"/>
      <c r="DB137" s="43"/>
      <c r="DC137" s="40"/>
      <c r="DD137" s="75"/>
      <c r="DE137" s="69">
        <v>0</v>
      </c>
      <c r="DF137" s="40"/>
      <c r="DG137" s="40"/>
      <c r="DH137" s="68">
        <v>0</v>
      </c>
    </row>
    <row r="138" spans="1:112">
      <c r="A138" s="40">
        <v>207</v>
      </c>
      <c r="B138" s="40" t="s">
        <v>210</v>
      </c>
      <c r="C138" s="40">
        <v>4</v>
      </c>
      <c r="D138" s="29" t="s">
        <v>131</v>
      </c>
      <c r="E138" s="30">
        <v>4</v>
      </c>
      <c r="F138" s="30">
        <v>7</v>
      </c>
      <c r="G138" s="52">
        <v>17.98048</v>
      </c>
      <c r="H138" s="68">
        <f t="shared" si="2"/>
        <v>0</v>
      </c>
      <c r="I138" s="47">
        <v>17.98048</v>
      </c>
      <c r="J138" s="43">
        <v>17.98</v>
      </c>
      <c r="K138" s="40"/>
      <c r="L138" s="40"/>
      <c r="M138" s="43"/>
      <c r="N138" s="40"/>
      <c r="O138" s="40"/>
      <c r="P138" s="40"/>
      <c r="Q138" s="42"/>
      <c r="R138" s="40"/>
      <c r="S138" s="40"/>
      <c r="T138" s="43"/>
      <c r="U138" s="40"/>
      <c r="V138" s="40"/>
      <c r="W138" s="42"/>
      <c r="X138" s="40"/>
      <c r="Y138" s="40"/>
      <c r="Z138" s="43"/>
      <c r="AA138" s="40"/>
      <c r="AB138" s="40"/>
      <c r="AC138" s="42"/>
      <c r="AD138" s="40"/>
      <c r="AE138" s="40"/>
      <c r="AF138" s="40"/>
      <c r="AG138" s="43"/>
      <c r="AH138" s="40"/>
      <c r="AI138" s="40"/>
      <c r="AJ138" s="40"/>
      <c r="AK138" s="42"/>
      <c r="AL138" s="40"/>
      <c r="AM138" s="40"/>
      <c r="AN138" s="43"/>
      <c r="AO138" s="40"/>
      <c r="AP138" s="40"/>
      <c r="AQ138" s="42"/>
      <c r="AR138" s="40"/>
      <c r="AS138" s="40"/>
      <c r="AT138" s="43"/>
      <c r="AU138" s="40"/>
      <c r="AV138" s="40"/>
      <c r="AW138" s="42"/>
      <c r="AX138" s="40"/>
      <c r="AY138" s="40"/>
      <c r="AZ138" s="43"/>
      <c r="BA138" s="40"/>
      <c r="BB138" s="40"/>
      <c r="BC138" s="42"/>
      <c r="BD138" s="40"/>
      <c r="BE138" s="40"/>
      <c r="BF138" s="43"/>
      <c r="BG138" s="40"/>
      <c r="BH138" s="40"/>
      <c r="BI138" s="42"/>
      <c r="BJ138" s="40"/>
      <c r="BK138" s="40"/>
      <c r="BL138" s="43"/>
      <c r="BM138" s="40"/>
      <c r="BN138" s="40"/>
      <c r="BO138" s="42"/>
      <c r="BP138" s="40"/>
      <c r="BQ138" s="40"/>
      <c r="BR138" s="43"/>
      <c r="BS138" s="40"/>
      <c r="BT138" s="40"/>
      <c r="BU138" s="42"/>
      <c r="BV138" s="40"/>
      <c r="BW138" s="40"/>
      <c r="BX138" s="43"/>
      <c r="BY138" s="40"/>
      <c r="BZ138" s="40"/>
      <c r="CA138" s="42"/>
      <c r="CB138" s="40"/>
      <c r="CC138" s="75"/>
      <c r="CD138" s="43"/>
      <c r="CE138" s="40"/>
      <c r="CF138" s="40"/>
      <c r="CG138" s="42"/>
      <c r="CH138" s="40"/>
      <c r="CI138" s="40"/>
      <c r="CJ138" s="43"/>
      <c r="CK138" s="40"/>
      <c r="CL138" s="40"/>
      <c r="CM138" s="42"/>
      <c r="CN138" s="40"/>
      <c r="CO138" s="40"/>
      <c r="CP138" s="43"/>
      <c r="CQ138" s="40"/>
      <c r="CR138" s="40"/>
      <c r="CS138" s="42"/>
      <c r="CT138" s="40"/>
      <c r="CU138" s="40"/>
      <c r="CV138" s="43"/>
      <c r="CW138" s="40"/>
      <c r="CX138" s="40"/>
      <c r="CY138" s="42"/>
      <c r="CZ138" s="40"/>
      <c r="DA138" s="40"/>
      <c r="DB138" s="43"/>
      <c r="DC138" s="40"/>
      <c r="DD138" s="75" t="s">
        <v>311</v>
      </c>
      <c r="DE138" s="69">
        <v>17980</v>
      </c>
      <c r="DF138" s="40"/>
      <c r="DG138" s="40"/>
      <c r="DH138" s="68">
        <v>0</v>
      </c>
    </row>
    <row r="139" spans="1:112">
      <c r="A139" s="40">
        <v>208</v>
      </c>
      <c r="B139" s="40" t="s">
        <v>210</v>
      </c>
      <c r="C139" s="40">
        <v>4</v>
      </c>
      <c r="D139" s="29" t="s">
        <v>131</v>
      </c>
      <c r="E139" s="30">
        <v>6</v>
      </c>
      <c r="F139" s="30">
        <v>7</v>
      </c>
      <c r="G139" s="52">
        <v>26.451689999999999</v>
      </c>
      <c r="H139" s="68">
        <f t="shared" si="2"/>
        <v>0</v>
      </c>
      <c r="I139" s="47">
        <v>26.451689999999999</v>
      </c>
      <c r="J139" s="43">
        <v>26.45</v>
      </c>
      <c r="K139" s="40"/>
      <c r="L139" s="40"/>
      <c r="M139" s="43"/>
      <c r="N139" s="40"/>
      <c r="O139" s="40"/>
      <c r="P139" s="40"/>
      <c r="Q139" s="42"/>
      <c r="R139" s="40"/>
      <c r="S139" s="40"/>
      <c r="T139" s="43"/>
      <c r="U139" s="40"/>
      <c r="V139" s="40"/>
      <c r="W139" s="42"/>
      <c r="X139" s="40"/>
      <c r="Y139" s="40"/>
      <c r="Z139" s="43"/>
      <c r="AA139" s="40"/>
      <c r="AB139" s="40"/>
      <c r="AC139" s="42"/>
      <c r="AD139" s="40"/>
      <c r="AE139" s="40"/>
      <c r="AF139" s="40"/>
      <c r="AG139" s="43"/>
      <c r="AH139" s="40"/>
      <c r="AI139" s="40"/>
      <c r="AJ139" s="40"/>
      <c r="AK139" s="42"/>
      <c r="AL139" s="40"/>
      <c r="AM139" s="40"/>
      <c r="AN139" s="43"/>
      <c r="AO139" s="40"/>
      <c r="AP139" s="40"/>
      <c r="AQ139" s="42"/>
      <c r="AR139" s="40"/>
      <c r="AS139" s="40"/>
      <c r="AT139" s="43"/>
      <c r="AU139" s="40"/>
      <c r="AV139" s="40"/>
      <c r="AW139" s="42"/>
      <c r="AX139" s="40"/>
      <c r="AY139" s="40"/>
      <c r="AZ139" s="43"/>
      <c r="BA139" s="40"/>
      <c r="BB139" s="40"/>
      <c r="BC139" s="42"/>
      <c r="BD139" s="40"/>
      <c r="BE139" s="40"/>
      <c r="BF139" s="43"/>
      <c r="BG139" s="40"/>
      <c r="BH139" s="40"/>
      <c r="BI139" s="42"/>
      <c r="BJ139" s="40"/>
      <c r="BK139" s="40"/>
      <c r="BL139" s="43"/>
      <c r="BM139" s="40"/>
      <c r="BN139" s="40"/>
      <c r="BO139" s="42"/>
      <c r="BP139" s="40"/>
      <c r="BQ139" s="40"/>
      <c r="BR139" s="43"/>
      <c r="BS139" s="40"/>
      <c r="BT139" s="40"/>
      <c r="BU139" s="42"/>
      <c r="BV139" s="40"/>
      <c r="BW139" s="40"/>
      <c r="BX139" s="43"/>
      <c r="BY139" s="40"/>
      <c r="BZ139" s="40"/>
      <c r="CA139" s="42"/>
      <c r="CB139" s="40"/>
      <c r="CC139" s="75"/>
      <c r="CD139" s="43"/>
      <c r="CE139" s="40"/>
      <c r="CF139" s="40"/>
      <c r="CG139" s="42"/>
      <c r="CH139" s="40"/>
      <c r="CI139" s="40"/>
      <c r="CJ139" s="43"/>
      <c r="CK139" s="40"/>
      <c r="CL139" s="40"/>
      <c r="CM139" s="42"/>
      <c r="CN139" s="40"/>
      <c r="CO139" s="40"/>
      <c r="CP139" s="43"/>
      <c r="CQ139" s="40"/>
      <c r="CR139" s="40"/>
      <c r="CS139" s="42"/>
      <c r="CT139" s="40"/>
      <c r="CU139" s="40"/>
      <c r="CV139" s="43"/>
      <c r="CW139" s="40"/>
      <c r="CX139" s="40"/>
      <c r="CY139" s="42"/>
      <c r="CZ139" s="40"/>
      <c r="DA139" s="40"/>
      <c r="DB139" s="43"/>
      <c r="DC139" s="40"/>
      <c r="DD139" s="75" t="s">
        <v>311</v>
      </c>
      <c r="DE139" s="69">
        <v>26450</v>
      </c>
      <c r="DF139" s="40"/>
      <c r="DG139" s="40"/>
      <c r="DH139" s="68">
        <v>0</v>
      </c>
    </row>
    <row r="140" spans="1:112">
      <c r="A140" s="40">
        <v>211</v>
      </c>
      <c r="B140" s="40" t="s">
        <v>210</v>
      </c>
      <c r="C140" s="40">
        <v>5</v>
      </c>
      <c r="D140" s="29" t="s">
        <v>133</v>
      </c>
      <c r="E140" s="30">
        <v>205</v>
      </c>
      <c r="F140" s="30">
        <v>7</v>
      </c>
      <c r="G140" s="52">
        <v>42.752500000000012</v>
      </c>
      <c r="H140" s="68">
        <f t="shared" si="2"/>
        <v>0</v>
      </c>
      <c r="I140" s="47">
        <v>42.752500000000012</v>
      </c>
      <c r="J140" s="43">
        <v>42.75</v>
      </c>
      <c r="K140" s="40"/>
      <c r="L140" s="40"/>
      <c r="M140" s="43"/>
      <c r="N140" s="40"/>
      <c r="O140" s="40"/>
      <c r="P140" s="40"/>
      <c r="Q140" s="42"/>
      <c r="R140" s="40"/>
      <c r="S140" s="40"/>
      <c r="T140" s="43"/>
      <c r="U140" s="40"/>
      <c r="V140" s="40"/>
      <c r="W140" s="42"/>
      <c r="X140" s="40"/>
      <c r="Y140" s="40"/>
      <c r="Z140" s="43"/>
      <c r="AA140" s="40"/>
      <c r="AB140" s="40"/>
      <c r="AC140" s="42"/>
      <c r="AD140" s="40" t="s">
        <v>405</v>
      </c>
      <c r="AE140" s="40" t="s">
        <v>308</v>
      </c>
      <c r="AF140" s="40">
        <v>53</v>
      </c>
      <c r="AG140" s="43">
        <v>42750</v>
      </c>
      <c r="AH140" s="40"/>
      <c r="AI140" s="40"/>
      <c r="AJ140" s="40"/>
      <c r="AK140" s="42"/>
      <c r="AL140" s="40"/>
      <c r="AM140" s="40"/>
      <c r="AN140" s="43"/>
      <c r="AO140" s="40"/>
      <c r="AP140" s="40"/>
      <c r="AQ140" s="42"/>
      <c r="AR140" s="40"/>
      <c r="AS140" s="40"/>
      <c r="AT140" s="43"/>
      <c r="AU140" s="40"/>
      <c r="AV140" s="40"/>
      <c r="AW140" s="42"/>
      <c r="AX140" s="40"/>
      <c r="AY140" s="40"/>
      <c r="AZ140" s="43"/>
      <c r="BA140" s="40"/>
      <c r="BB140" s="40"/>
      <c r="BC140" s="42"/>
      <c r="BD140" s="40"/>
      <c r="BE140" s="40"/>
      <c r="BF140" s="43"/>
      <c r="BG140" s="40"/>
      <c r="BH140" s="40"/>
      <c r="BI140" s="42"/>
      <c r="BJ140" s="40"/>
      <c r="BK140" s="40"/>
      <c r="BL140" s="43"/>
      <c r="BM140" s="40"/>
      <c r="BN140" s="40"/>
      <c r="BO140" s="42"/>
      <c r="BP140" s="40"/>
      <c r="BQ140" s="40"/>
      <c r="BR140" s="43"/>
      <c r="BS140" s="40"/>
      <c r="BT140" s="40"/>
      <c r="BU140" s="42"/>
      <c r="BV140" s="40"/>
      <c r="BW140" s="40"/>
      <c r="BX140" s="43"/>
      <c r="BY140" s="40"/>
      <c r="BZ140" s="40"/>
      <c r="CA140" s="42"/>
      <c r="CB140" s="40"/>
      <c r="CC140" s="75"/>
      <c r="CD140" s="43"/>
      <c r="CE140" s="40"/>
      <c r="CF140" s="40"/>
      <c r="CG140" s="42"/>
      <c r="CH140" s="40"/>
      <c r="CI140" s="40"/>
      <c r="CJ140" s="43"/>
      <c r="CK140" s="40"/>
      <c r="CL140" s="40"/>
      <c r="CM140" s="42"/>
      <c r="CN140" s="40"/>
      <c r="CO140" s="40"/>
      <c r="CP140" s="43"/>
      <c r="CQ140" s="40"/>
      <c r="CR140" s="40"/>
      <c r="CS140" s="42"/>
      <c r="CT140" s="40"/>
      <c r="CU140" s="40"/>
      <c r="CV140" s="43"/>
      <c r="CW140" s="40"/>
      <c r="CX140" s="40"/>
      <c r="CY140" s="42"/>
      <c r="CZ140" s="40"/>
      <c r="DA140" s="40"/>
      <c r="DB140" s="43"/>
      <c r="DC140" s="40"/>
      <c r="DD140" s="75"/>
      <c r="DE140" s="69">
        <v>0</v>
      </c>
      <c r="DF140" s="40"/>
      <c r="DG140" s="40"/>
      <c r="DH140" s="68">
        <v>0</v>
      </c>
    </row>
    <row r="141" spans="1:112">
      <c r="A141" s="40">
        <v>212</v>
      </c>
      <c r="B141" s="40" t="s">
        <v>210</v>
      </c>
      <c r="C141" s="40">
        <v>5</v>
      </c>
      <c r="D141" s="29" t="s">
        <v>133</v>
      </c>
      <c r="E141" s="30" t="s">
        <v>134</v>
      </c>
      <c r="F141" s="30">
        <v>7</v>
      </c>
      <c r="G141" s="52">
        <v>41.586836000000005</v>
      </c>
      <c r="H141" s="68">
        <f t="shared" si="2"/>
        <v>0</v>
      </c>
      <c r="I141" s="47">
        <v>41.586836000000005</v>
      </c>
      <c r="J141" s="43">
        <v>41.59</v>
      </c>
      <c r="K141" s="40"/>
      <c r="L141" s="40"/>
      <c r="M141" s="43"/>
      <c r="N141" s="40"/>
      <c r="O141" s="40"/>
      <c r="P141" s="40"/>
      <c r="Q141" s="42"/>
      <c r="R141" s="40"/>
      <c r="S141" s="40"/>
      <c r="T141" s="43"/>
      <c r="U141" s="40"/>
      <c r="V141" s="40"/>
      <c r="W141" s="42"/>
      <c r="X141" s="40"/>
      <c r="Y141" s="40"/>
      <c r="Z141" s="43"/>
      <c r="AA141" s="40"/>
      <c r="AB141" s="40"/>
      <c r="AC141" s="42"/>
      <c r="AD141" s="40" t="s">
        <v>405</v>
      </c>
      <c r="AE141" s="40" t="s">
        <v>324</v>
      </c>
      <c r="AF141" s="40">
        <v>41.6</v>
      </c>
      <c r="AG141" s="43">
        <v>41590</v>
      </c>
      <c r="AH141" s="40"/>
      <c r="AI141" s="40"/>
      <c r="AJ141" s="40"/>
      <c r="AK141" s="42"/>
      <c r="AL141" s="40"/>
      <c r="AM141" s="40"/>
      <c r="AN141" s="43"/>
      <c r="AO141" s="40"/>
      <c r="AP141" s="40"/>
      <c r="AQ141" s="42"/>
      <c r="AR141" s="40"/>
      <c r="AS141" s="40"/>
      <c r="AT141" s="43"/>
      <c r="AU141" s="40"/>
      <c r="AV141" s="40"/>
      <c r="AW141" s="42"/>
      <c r="AX141" s="40"/>
      <c r="AY141" s="40"/>
      <c r="AZ141" s="43"/>
      <c r="BA141" s="40"/>
      <c r="BB141" s="40"/>
      <c r="BC141" s="42"/>
      <c r="BD141" s="40"/>
      <c r="BE141" s="40"/>
      <c r="BF141" s="43"/>
      <c r="BG141" s="40"/>
      <c r="BH141" s="40"/>
      <c r="BI141" s="42"/>
      <c r="BJ141" s="40"/>
      <c r="BK141" s="40"/>
      <c r="BL141" s="43"/>
      <c r="BM141" s="40"/>
      <c r="BN141" s="40"/>
      <c r="BO141" s="42"/>
      <c r="BP141" s="40"/>
      <c r="BQ141" s="40"/>
      <c r="BR141" s="43"/>
      <c r="BS141" s="40"/>
      <c r="BT141" s="40"/>
      <c r="BU141" s="42"/>
      <c r="BV141" s="40"/>
      <c r="BW141" s="40"/>
      <c r="BX141" s="43"/>
      <c r="BY141" s="40"/>
      <c r="BZ141" s="40"/>
      <c r="CA141" s="42"/>
      <c r="CB141" s="40"/>
      <c r="CC141" s="75"/>
      <c r="CD141" s="43"/>
      <c r="CE141" s="40"/>
      <c r="CF141" s="40"/>
      <c r="CG141" s="42"/>
      <c r="CH141" s="40"/>
      <c r="CI141" s="40"/>
      <c r="CJ141" s="43"/>
      <c r="CK141" s="40"/>
      <c r="CL141" s="40"/>
      <c r="CM141" s="42"/>
      <c r="CN141" s="40"/>
      <c r="CO141" s="40"/>
      <c r="CP141" s="43"/>
      <c r="CQ141" s="40"/>
      <c r="CR141" s="40"/>
      <c r="CS141" s="42"/>
      <c r="CT141" s="40"/>
      <c r="CU141" s="40"/>
      <c r="CV141" s="43"/>
      <c r="CW141" s="40"/>
      <c r="CX141" s="40"/>
      <c r="CY141" s="42"/>
      <c r="CZ141" s="40"/>
      <c r="DA141" s="40"/>
      <c r="DB141" s="43"/>
      <c r="DC141" s="40"/>
      <c r="DD141" s="75"/>
      <c r="DE141" s="69">
        <v>0</v>
      </c>
      <c r="DF141" s="40"/>
      <c r="DG141" s="40"/>
      <c r="DH141" s="68">
        <v>0</v>
      </c>
    </row>
    <row r="142" spans="1:112">
      <c r="A142" s="40">
        <v>213</v>
      </c>
      <c r="B142" s="40" t="s">
        <v>210</v>
      </c>
      <c r="C142" s="40">
        <v>5</v>
      </c>
      <c r="D142" s="29" t="s">
        <v>135</v>
      </c>
      <c r="E142" s="30">
        <v>100</v>
      </c>
      <c r="F142" s="30">
        <v>7</v>
      </c>
      <c r="G142" s="52">
        <v>6.0195540000000012</v>
      </c>
      <c r="H142" s="68">
        <f t="shared" si="2"/>
        <v>0</v>
      </c>
      <c r="I142" s="47">
        <v>6.0195540000000012</v>
      </c>
      <c r="J142" s="43">
        <v>6.02</v>
      </c>
      <c r="K142" s="40"/>
      <c r="L142" s="40"/>
      <c r="M142" s="43"/>
      <c r="N142" s="40"/>
      <c r="O142" s="40"/>
      <c r="P142" s="40"/>
      <c r="Q142" s="42"/>
      <c r="R142" s="40"/>
      <c r="S142" s="40"/>
      <c r="T142" s="43"/>
      <c r="U142" s="40"/>
      <c r="V142" s="40"/>
      <c r="W142" s="42"/>
      <c r="X142" s="40"/>
      <c r="Y142" s="40"/>
      <c r="Z142" s="43"/>
      <c r="AA142" s="40"/>
      <c r="AB142" s="40"/>
      <c r="AC142" s="42"/>
      <c r="AD142" s="40"/>
      <c r="AE142" s="40"/>
      <c r="AF142" s="40"/>
      <c r="AG142" s="43"/>
      <c r="AH142" s="40"/>
      <c r="AI142" s="40"/>
      <c r="AJ142" s="40"/>
      <c r="AK142" s="42"/>
      <c r="AL142" s="40"/>
      <c r="AM142" s="40"/>
      <c r="AN142" s="43"/>
      <c r="AO142" s="40"/>
      <c r="AP142" s="40"/>
      <c r="AQ142" s="42"/>
      <c r="AR142" s="40"/>
      <c r="AS142" s="40"/>
      <c r="AT142" s="43"/>
      <c r="AU142" s="40"/>
      <c r="AV142" s="40"/>
      <c r="AW142" s="42"/>
      <c r="AX142" s="40"/>
      <c r="AY142" s="40"/>
      <c r="AZ142" s="43"/>
      <c r="BA142" s="40"/>
      <c r="BB142" s="40"/>
      <c r="BC142" s="42"/>
      <c r="BD142" s="40"/>
      <c r="BE142" s="40"/>
      <c r="BF142" s="43"/>
      <c r="BG142" s="40"/>
      <c r="BH142" s="40"/>
      <c r="BI142" s="42"/>
      <c r="BJ142" s="40"/>
      <c r="BK142" s="40"/>
      <c r="BL142" s="43"/>
      <c r="BM142" s="40"/>
      <c r="BN142" s="40"/>
      <c r="BO142" s="42"/>
      <c r="BP142" s="40"/>
      <c r="BQ142" s="40"/>
      <c r="BR142" s="43"/>
      <c r="BS142" s="40"/>
      <c r="BT142" s="40"/>
      <c r="BU142" s="42"/>
      <c r="BV142" s="40"/>
      <c r="BW142" s="40"/>
      <c r="BX142" s="43"/>
      <c r="BY142" s="40"/>
      <c r="BZ142" s="40"/>
      <c r="CA142" s="42"/>
      <c r="CB142" s="40"/>
      <c r="CC142" s="75"/>
      <c r="CD142" s="43"/>
      <c r="CE142" s="40"/>
      <c r="CF142" s="40"/>
      <c r="CG142" s="42"/>
      <c r="CH142" s="40"/>
      <c r="CI142" s="40"/>
      <c r="CJ142" s="43"/>
      <c r="CK142" s="40"/>
      <c r="CL142" s="40"/>
      <c r="CM142" s="42"/>
      <c r="CN142" s="40"/>
      <c r="CO142" s="40"/>
      <c r="CP142" s="43"/>
      <c r="CQ142" s="40"/>
      <c r="CR142" s="40"/>
      <c r="CS142" s="42"/>
      <c r="CT142" s="40"/>
      <c r="CU142" s="40"/>
      <c r="CV142" s="43"/>
      <c r="CW142" s="40"/>
      <c r="CX142" s="40"/>
      <c r="CY142" s="42"/>
      <c r="CZ142" s="40"/>
      <c r="DA142" s="40"/>
      <c r="DB142" s="43"/>
      <c r="DC142" s="40"/>
      <c r="DD142" s="75" t="s">
        <v>311</v>
      </c>
      <c r="DE142" s="69">
        <v>6020</v>
      </c>
      <c r="DF142" s="40"/>
      <c r="DG142" s="40"/>
      <c r="DH142" s="68">
        <v>0</v>
      </c>
    </row>
    <row r="143" spans="1:112">
      <c r="A143" s="40">
        <v>214</v>
      </c>
      <c r="B143" s="40" t="s">
        <v>210</v>
      </c>
      <c r="C143" s="40">
        <v>5</v>
      </c>
      <c r="D143" s="29" t="s">
        <v>135</v>
      </c>
      <c r="E143" s="30" t="s">
        <v>136</v>
      </c>
      <c r="F143" s="30">
        <v>7</v>
      </c>
      <c r="G143" s="52">
        <v>5.7403519999999997</v>
      </c>
      <c r="H143" s="68">
        <f t="shared" si="2"/>
        <v>0</v>
      </c>
      <c r="I143" s="47">
        <v>5.7403519999999997</v>
      </c>
      <c r="J143" s="43">
        <v>5.74</v>
      </c>
      <c r="K143" s="40"/>
      <c r="L143" s="40"/>
      <c r="M143" s="43"/>
      <c r="N143" s="40"/>
      <c r="O143" s="40"/>
      <c r="P143" s="40"/>
      <c r="Q143" s="42"/>
      <c r="R143" s="40"/>
      <c r="S143" s="40"/>
      <c r="T143" s="43"/>
      <c r="U143" s="40"/>
      <c r="V143" s="40"/>
      <c r="W143" s="42"/>
      <c r="X143" s="40"/>
      <c r="Y143" s="40"/>
      <c r="Z143" s="43"/>
      <c r="AA143" s="40"/>
      <c r="AB143" s="40"/>
      <c r="AC143" s="42"/>
      <c r="AD143" s="40"/>
      <c r="AE143" s="40"/>
      <c r="AF143" s="40"/>
      <c r="AG143" s="43"/>
      <c r="AH143" s="40"/>
      <c r="AI143" s="40"/>
      <c r="AJ143" s="40"/>
      <c r="AK143" s="42"/>
      <c r="AL143" s="40"/>
      <c r="AM143" s="40"/>
      <c r="AN143" s="43"/>
      <c r="AO143" s="40"/>
      <c r="AP143" s="40"/>
      <c r="AQ143" s="42"/>
      <c r="AR143" s="40"/>
      <c r="AS143" s="40"/>
      <c r="AT143" s="43"/>
      <c r="AU143" s="40"/>
      <c r="AV143" s="40"/>
      <c r="AW143" s="42"/>
      <c r="AX143" s="40"/>
      <c r="AY143" s="40"/>
      <c r="AZ143" s="43"/>
      <c r="BA143" s="40"/>
      <c r="BB143" s="40"/>
      <c r="BC143" s="42"/>
      <c r="BD143" s="40"/>
      <c r="BE143" s="40"/>
      <c r="BF143" s="43"/>
      <c r="BG143" s="40"/>
      <c r="BH143" s="40"/>
      <c r="BI143" s="42"/>
      <c r="BJ143" s="40"/>
      <c r="BK143" s="40"/>
      <c r="BL143" s="43"/>
      <c r="BM143" s="40"/>
      <c r="BN143" s="40"/>
      <c r="BO143" s="42"/>
      <c r="BP143" s="40"/>
      <c r="BQ143" s="40"/>
      <c r="BR143" s="43"/>
      <c r="BS143" s="40"/>
      <c r="BT143" s="40"/>
      <c r="BU143" s="42"/>
      <c r="BV143" s="40"/>
      <c r="BW143" s="40"/>
      <c r="BX143" s="43"/>
      <c r="BY143" s="40"/>
      <c r="BZ143" s="40"/>
      <c r="CA143" s="42"/>
      <c r="CB143" s="40"/>
      <c r="CC143" s="75"/>
      <c r="CD143" s="43"/>
      <c r="CE143" s="40"/>
      <c r="CF143" s="40"/>
      <c r="CG143" s="42"/>
      <c r="CH143" s="40"/>
      <c r="CI143" s="40"/>
      <c r="CJ143" s="43"/>
      <c r="CK143" s="40"/>
      <c r="CL143" s="40"/>
      <c r="CM143" s="42"/>
      <c r="CN143" s="40"/>
      <c r="CO143" s="40"/>
      <c r="CP143" s="43"/>
      <c r="CQ143" s="40"/>
      <c r="CR143" s="40"/>
      <c r="CS143" s="42"/>
      <c r="CT143" s="40"/>
      <c r="CU143" s="40"/>
      <c r="CV143" s="43"/>
      <c r="CW143" s="40"/>
      <c r="CX143" s="40"/>
      <c r="CY143" s="42"/>
      <c r="CZ143" s="40"/>
      <c r="DA143" s="40"/>
      <c r="DB143" s="43"/>
      <c r="DC143" s="40"/>
      <c r="DD143" s="75" t="s">
        <v>311</v>
      </c>
      <c r="DE143" s="69">
        <v>5740</v>
      </c>
      <c r="DF143" s="40"/>
      <c r="DG143" s="40"/>
      <c r="DH143" s="68">
        <v>0</v>
      </c>
    </row>
    <row r="144" spans="1:112">
      <c r="A144" s="40">
        <v>215</v>
      </c>
      <c r="B144" s="40" t="s">
        <v>210</v>
      </c>
      <c r="C144" s="40">
        <v>5</v>
      </c>
      <c r="D144" s="29" t="s">
        <v>135</v>
      </c>
      <c r="E144" s="30">
        <v>101</v>
      </c>
      <c r="F144" s="30">
        <v>7</v>
      </c>
      <c r="G144" s="52">
        <v>13.334593999999999</v>
      </c>
      <c r="H144" s="68">
        <f t="shared" si="2"/>
        <v>0</v>
      </c>
      <c r="I144" s="47">
        <v>13.334593999999999</v>
      </c>
      <c r="J144" s="43">
        <v>13.33</v>
      </c>
      <c r="K144" s="40"/>
      <c r="L144" s="40"/>
      <c r="M144" s="43"/>
      <c r="N144" s="40"/>
      <c r="O144" s="40"/>
      <c r="P144" s="40"/>
      <c r="Q144" s="42"/>
      <c r="R144" s="40"/>
      <c r="S144" s="40"/>
      <c r="T144" s="43"/>
      <c r="U144" s="40"/>
      <c r="V144" s="40"/>
      <c r="W144" s="42"/>
      <c r="X144" s="40"/>
      <c r="Y144" s="40"/>
      <c r="Z144" s="43"/>
      <c r="AA144" s="40"/>
      <c r="AB144" s="40"/>
      <c r="AC144" s="42"/>
      <c r="AD144" s="40"/>
      <c r="AE144" s="40"/>
      <c r="AF144" s="40"/>
      <c r="AG144" s="43"/>
      <c r="AH144" s="40"/>
      <c r="AI144" s="40"/>
      <c r="AJ144" s="40"/>
      <c r="AK144" s="42"/>
      <c r="AL144" s="40"/>
      <c r="AM144" s="40"/>
      <c r="AN144" s="43"/>
      <c r="AO144" s="40"/>
      <c r="AP144" s="40"/>
      <c r="AQ144" s="42"/>
      <c r="AR144" s="40"/>
      <c r="AS144" s="40"/>
      <c r="AT144" s="43"/>
      <c r="AU144" s="40"/>
      <c r="AV144" s="40"/>
      <c r="AW144" s="42"/>
      <c r="AX144" s="40"/>
      <c r="AY144" s="40"/>
      <c r="AZ144" s="43"/>
      <c r="BA144" s="40"/>
      <c r="BB144" s="40"/>
      <c r="BC144" s="42"/>
      <c r="BD144" s="40"/>
      <c r="BE144" s="40"/>
      <c r="BF144" s="43"/>
      <c r="BG144" s="40"/>
      <c r="BH144" s="40"/>
      <c r="BI144" s="42"/>
      <c r="BJ144" s="40"/>
      <c r="BK144" s="40"/>
      <c r="BL144" s="43"/>
      <c r="BM144" s="40"/>
      <c r="BN144" s="40"/>
      <c r="BO144" s="42"/>
      <c r="BP144" s="40"/>
      <c r="BQ144" s="40"/>
      <c r="BR144" s="43"/>
      <c r="BS144" s="40"/>
      <c r="BT144" s="40"/>
      <c r="BU144" s="42"/>
      <c r="BV144" s="40"/>
      <c r="BW144" s="40"/>
      <c r="BX144" s="43"/>
      <c r="BY144" s="40"/>
      <c r="BZ144" s="40"/>
      <c r="CA144" s="42"/>
      <c r="CB144" s="40"/>
      <c r="CC144" s="75"/>
      <c r="CD144" s="43"/>
      <c r="CE144" s="40"/>
      <c r="CF144" s="40"/>
      <c r="CG144" s="42"/>
      <c r="CH144" s="40"/>
      <c r="CI144" s="40"/>
      <c r="CJ144" s="43"/>
      <c r="CK144" s="40"/>
      <c r="CL144" s="40"/>
      <c r="CM144" s="42"/>
      <c r="CN144" s="40" t="s">
        <v>402</v>
      </c>
      <c r="CO144" s="40">
        <v>15</v>
      </c>
      <c r="CP144" s="43">
        <v>13330</v>
      </c>
      <c r="CQ144" s="40"/>
      <c r="CR144" s="40"/>
      <c r="CS144" s="42"/>
      <c r="CT144" s="40"/>
      <c r="CU144" s="40"/>
      <c r="CV144" s="43"/>
      <c r="CW144" s="40"/>
      <c r="CX144" s="40"/>
      <c r="CY144" s="42"/>
      <c r="CZ144" s="40"/>
      <c r="DA144" s="40"/>
      <c r="DB144" s="43"/>
      <c r="DC144" s="40"/>
      <c r="DD144" s="75"/>
      <c r="DE144" s="69">
        <v>0</v>
      </c>
      <c r="DF144" s="40"/>
      <c r="DG144" s="40"/>
      <c r="DH144" s="68">
        <v>0</v>
      </c>
    </row>
    <row r="145" spans="1:112">
      <c r="A145" s="40">
        <v>217</v>
      </c>
      <c r="B145" s="40" t="s">
        <v>210</v>
      </c>
      <c r="C145" s="40">
        <v>4</v>
      </c>
      <c r="D145" s="29" t="s">
        <v>137</v>
      </c>
      <c r="E145" s="30">
        <v>5</v>
      </c>
      <c r="F145" s="30">
        <v>7</v>
      </c>
      <c r="G145" s="52">
        <v>12.564</v>
      </c>
      <c r="H145" s="68">
        <f t="shared" si="2"/>
        <v>0</v>
      </c>
      <c r="I145" s="47">
        <v>12.564</v>
      </c>
      <c r="J145" s="43">
        <v>12.56</v>
      </c>
      <c r="K145" s="40"/>
      <c r="L145" s="40"/>
      <c r="M145" s="43"/>
      <c r="N145" s="40"/>
      <c r="O145" s="40"/>
      <c r="P145" s="40"/>
      <c r="Q145" s="42"/>
      <c r="R145" s="40"/>
      <c r="S145" s="40"/>
      <c r="T145" s="43"/>
      <c r="U145" s="40"/>
      <c r="V145" s="40"/>
      <c r="W145" s="42"/>
      <c r="X145" s="40"/>
      <c r="Y145" s="40"/>
      <c r="Z145" s="43"/>
      <c r="AA145" s="40"/>
      <c r="AB145" s="40"/>
      <c r="AC145" s="42"/>
      <c r="AD145" s="40"/>
      <c r="AE145" s="40"/>
      <c r="AF145" s="40"/>
      <c r="AG145" s="43"/>
      <c r="AH145" s="40"/>
      <c r="AI145" s="40"/>
      <c r="AJ145" s="40"/>
      <c r="AK145" s="42"/>
      <c r="AL145" s="40"/>
      <c r="AM145" s="40"/>
      <c r="AN145" s="43"/>
      <c r="AO145" s="40"/>
      <c r="AP145" s="40"/>
      <c r="AQ145" s="42"/>
      <c r="AR145" s="40"/>
      <c r="AS145" s="40"/>
      <c r="AT145" s="43"/>
      <c r="AU145" s="40"/>
      <c r="AV145" s="40"/>
      <c r="AW145" s="42"/>
      <c r="AX145" s="40"/>
      <c r="AY145" s="40"/>
      <c r="AZ145" s="43"/>
      <c r="BA145" s="40"/>
      <c r="BB145" s="40"/>
      <c r="BC145" s="42"/>
      <c r="BD145" s="40"/>
      <c r="BE145" s="40"/>
      <c r="BF145" s="43"/>
      <c r="BG145" s="40"/>
      <c r="BH145" s="40"/>
      <c r="BI145" s="42"/>
      <c r="BJ145" s="40"/>
      <c r="BK145" s="40"/>
      <c r="BL145" s="43"/>
      <c r="BM145" s="40"/>
      <c r="BN145" s="40"/>
      <c r="BO145" s="42"/>
      <c r="BP145" s="40"/>
      <c r="BQ145" s="40"/>
      <c r="BR145" s="43"/>
      <c r="BS145" s="40"/>
      <c r="BT145" s="40"/>
      <c r="BU145" s="42"/>
      <c r="BV145" s="40"/>
      <c r="BW145" s="40"/>
      <c r="BX145" s="43"/>
      <c r="BY145" s="40"/>
      <c r="BZ145" s="40"/>
      <c r="CA145" s="42"/>
      <c r="CB145" s="40"/>
      <c r="CC145" s="75"/>
      <c r="CD145" s="43"/>
      <c r="CE145" s="40"/>
      <c r="CF145" s="40"/>
      <c r="CG145" s="42"/>
      <c r="CH145" s="40"/>
      <c r="CI145" s="40"/>
      <c r="CJ145" s="43"/>
      <c r="CK145" s="40"/>
      <c r="CL145" s="40"/>
      <c r="CM145" s="42"/>
      <c r="CN145" s="40"/>
      <c r="CO145" s="40"/>
      <c r="CP145" s="43"/>
      <c r="CQ145" s="40"/>
      <c r="CR145" s="40"/>
      <c r="CS145" s="42"/>
      <c r="CT145" s="40"/>
      <c r="CU145" s="40"/>
      <c r="CV145" s="43"/>
      <c r="CW145" s="40"/>
      <c r="CX145" s="40"/>
      <c r="CY145" s="42"/>
      <c r="CZ145" s="40"/>
      <c r="DA145" s="40"/>
      <c r="DB145" s="43"/>
      <c r="DC145" s="40"/>
      <c r="DD145" s="75" t="s">
        <v>364</v>
      </c>
      <c r="DE145" s="69">
        <v>12560</v>
      </c>
      <c r="DF145" s="40"/>
      <c r="DG145" s="40"/>
      <c r="DH145" s="68">
        <v>0</v>
      </c>
    </row>
    <row r="146" spans="1:112">
      <c r="A146" s="40">
        <v>218</v>
      </c>
      <c r="B146" s="40" t="s">
        <v>210</v>
      </c>
      <c r="C146" s="40">
        <v>4</v>
      </c>
      <c r="D146" s="29" t="s">
        <v>137</v>
      </c>
      <c r="E146" s="30">
        <v>6</v>
      </c>
      <c r="F146" s="30">
        <v>7</v>
      </c>
      <c r="G146" s="52">
        <v>36.027966000000006</v>
      </c>
      <c r="H146" s="68">
        <f t="shared" si="2"/>
        <v>0</v>
      </c>
      <c r="I146" s="47">
        <v>36.027966000000006</v>
      </c>
      <c r="J146" s="43">
        <v>36.03</v>
      </c>
      <c r="K146" s="40"/>
      <c r="L146" s="40"/>
      <c r="M146" s="43"/>
      <c r="N146" s="40"/>
      <c r="O146" s="40"/>
      <c r="P146" s="40"/>
      <c r="Q146" s="42"/>
      <c r="R146" s="40"/>
      <c r="S146" s="40"/>
      <c r="T146" s="43"/>
      <c r="U146" s="40"/>
      <c r="V146" s="40"/>
      <c r="W146" s="42"/>
      <c r="X146" s="40"/>
      <c r="Y146" s="40"/>
      <c r="Z146" s="43"/>
      <c r="AA146" s="40"/>
      <c r="AB146" s="40"/>
      <c r="AC146" s="42"/>
      <c r="AD146" s="40"/>
      <c r="AE146" s="40"/>
      <c r="AF146" s="40"/>
      <c r="AG146" s="43"/>
      <c r="AH146" s="40"/>
      <c r="AI146" s="40"/>
      <c r="AJ146" s="40"/>
      <c r="AK146" s="42"/>
      <c r="AL146" s="40"/>
      <c r="AM146" s="40"/>
      <c r="AN146" s="43"/>
      <c r="AO146" s="40"/>
      <c r="AP146" s="40"/>
      <c r="AQ146" s="42"/>
      <c r="AR146" s="40"/>
      <c r="AS146" s="40"/>
      <c r="AT146" s="43"/>
      <c r="AU146" s="40"/>
      <c r="AV146" s="40"/>
      <c r="AW146" s="42"/>
      <c r="AX146" s="40"/>
      <c r="AY146" s="40"/>
      <c r="AZ146" s="43"/>
      <c r="BA146" s="40"/>
      <c r="BB146" s="40"/>
      <c r="BC146" s="42"/>
      <c r="BD146" s="40"/>
      <c r="BE146" s="40"/>
      <c r="BF146" s="43"/>
      <c r="BG146" s="40"/>
      <c r="BH146" s="40"/>
      <c r="BI146" s="42"/>
      <c r="BJ146" s="40"/>
      <c r="BK146" s="40"/>
      <c r="BL146" s="43"/>
      <c r="BM146" s="40"/>
      <c r="BN146" s="40"/>
      <c r="BO146" s="42"/>
      <c r="BP146" s="40"/>
      <c r="BQ146" s="40"/>
      <c r="BR146" s="43"/>
      <c r="BS146" s="40"/>
      <c r="BT146" s="40"/>
      <c r="BU146" s="42"/>
      <c r="BV146" s="40"/>
      <c r="BW146" s="40"/>
      <c r="BX146" s="43"/>
      <c r="BY146" s="40"/>
      <c r="BZ146" s="40"/>
      <c r="CA146" s="42"/>
      <c r="CB146" s="40"/>
      <c r="CC146" s="75"/>
      <c r="CD146" s="43"/>
      <c r="CE146" s="40"/>
      <c r="CF146" s="40"/>
      <c r="CG146" s="42"/>
      <c r="CH146" s="40"/>
      <c r="CI146" s="40"/>
      <c r="CJ146" s="43"/>
      <c r="CK146" s="40"/>
      <c r="CL146" s="40"/>
      <c r="CM146" s="42"/>
      <c r="CN146" s="40"/>
      <c r="CO146" s="40"/>
      <c r="CP146" s="43"/>
      <c r="CQ146" s="40"/>
      <c r="CR146" s="40"/>
      <c r="CS146" s="42"/>
      <c r="CT146" s="40"/>
      <c r="CU146" s="40"/>
      <c r="CV146" s="43"/>
      <c r="CW146" s="40"/>
      <c r="CX146" s="40"/>
      <c r="CY146" s="42"/>
      <c r="CZ146" s="40"/>
      <c r="DA146" s="40"/>
      <c r="DB146" s="43"/>
      <c r="DC146" s="40"/>
      <c r="DD146" s="75" t="s">
        <v>311</v>
      </c>
      <c r="DE146" s="69">
        <v>36030</v>
      </c>
      <c r="DF146" s="40"/>
      <c r="DG146" s="40"/>
      <c r="DH146" s="68">
        <v>0</v>
      </c>
    </row>
    <row r="147" spans="1:112">
      <c r="A147" s="40">
        <v>220</v>
      </c>
      <c r="B147" s="40" t="s">
        <v>210</v>
      </c>
      <c r="C147" s="40">
        <v>4</v>
      </c>
      <c r="D147" s="29" t="s">
        <v>137</v>
      </c>
      <c r="E147" s="30">
        <v>8</v>
      </c>
      <c r="F147" s="30">
        <v>7</v>
      </c>
      <c r="G147" s="52">
        <v>64.450526000000011</v>
      </c>
      <c r="H147" s="68">
        <f t="shared" si="2"/>
        <v>0</v>
      </c>
      <c r="I147" s="47">
        <v>64.450526000000011</v>
      </c>
      <c r="J147" s="43">
        <v>64.45</v>
      </c>
      <c r="K147" s="40"/>
      <c r="L147" s="40"/>
      <c r="M147" s="43"/>
      <c r="N147" s="40"/>
      <c r="O147" s="40"/>
      <c r="P147" s="40"/>
      <c r="Q147" s="42"/>
      <c r="R147" s="40"/>
      <c r="S147" s="40"/>
      <c r="T147" s="43"/>
      <c r="U147" s="40"/>
      <c r="V147" s="40"/>
      <c r="W147" s="42"/>
      <c r="X147" s="40"/>
      <c r="Y147" s="40"/>
      <c r="Z147" s="43"/>
      <c r="AA147" s="40"/>
      <c r="AB147" s="40"/>
      <c r="AC147" s="42"/>
      <c r="AD147" s="40" t="s">
        <v>406</v>
      </c>
      <c r="AE147" s="40" t="s">
        <v>308</v>
      </c>
      <c r="AF147" s="40">
        <v>80</v>
      </c>
      <c r="AG147" s="43">
        <v>64450</v>
      </c>
      <c r="AH147" s="40"/>
      <c r="AI147" s="40"/>
      <c r="AJ147" s="40"/>
      <c r="AK147" s="42"/>
      <c r="AL147" s="40"/>
      <c r="AM147" s="40"/>
      <c r="AN147" s="43"/>
      <c r="AO147" s="40"/>
      <c r="AP147" s="40"/>
      <c r="AQ147" s="42"/>
      <c r="AR147" s="40"/>
      <c r="AS147" s="40"/>
      <c r="AT147" s="43"/>
      <c r="AU147" s="40"/>
      <c r="AV147" s="40"/>
      <c r="AW147" s="42"/>
      <c r="AX147" s="40"/>
      <c r="AY147" s="40"/>
      <c r="AZ147" s="43"/>
      <c r="BA147" s="40"/>
      <c r="BB147" s="40"/>
      <c r="BC147" s="42"/>
      <c r="BD147" s="40"/>
      <c r="BE147" s="40"/>
      <c r="BF147" s="43"/>
      <c r="BG147" s="40"/>
      <c r="BH147" s="40"/>
      <c r="BI147" s="42"/>
      <c r="BJ147" s="40"/>
      <c r="BK147" s="40"/>
      <c r="BL147" s="43"/>
      <c r="BM147" s="40"/>
      <c r="BN147" s="40"/>
      <c r="BO147" s="42"/>
      <c r="BP147" s="40"/>
      <c r="BQ147" s="40"/>
      <c r="BR147" s="43"/>
      <c r="BS147" s="40"/>
      <c r="BT147" s="40"/>
      <c r="BU147" s="42"/>
      <c r="BV147" s="40"/>
      <c r="BW147" s="40"/>
      <c r="BX147" s="43"/>
      <c r="BY147" s="40"/>
      <c r="BZ147" s="40"/>
      <c r="CA147" s="42"/>
      <c r="CB147" s="40"/>
      <c r="CC147" s="75"/>
      <c r="CD147" s="43"/>
      <c r="CE147" s="40"/>
      <c r="CF147" s="40"/>
      <c r="CG147" s="42"/>
      <c r="CH147" s="40"/>
      <c r="CI147" s="40"/>
      <c r="CJ147" s="43"/>
      <c r="CK147" s="40"/>
      <c r="CL147" s="40"/>
      <c r="CM147" s="42"/>
      <c r="CN147" s="40"/>
      <c r="CO147" s="40"/>
      <c r="CP147" s="43"/>
      <c r="CQ147" s="40"/>
      <c r="CR147" s="40"/>
      <c r="CS147" s="42"/>
      <c r="CT147" s="40"/>
      <c r="CU147" s="40"/>
      <c r="CV147" s="43"/>
      <c r="CW147" s="40"/>
      <c r="CX147" s="40"/>
      <c r="CY147" s="42"/>
      <c r="CZ147" s="40"/>
      <c r="DA147" s="40"/>
      <c r="DB147" s="43"/>
      <c r="DC147" s="40"/>
      <c r="DD147" s="75"/>
      <c r="DE147" s="69">
        <v>0</v>
      </c>
      <c r="DF147" s="40"/>
      <c r="DG147" s="40"/>
      <c r="DH147" s="68">
        <v>0</v>
      </c>
    </row>
    <row r="148" spans="1:112">
      <c r="A148" s="44">
        <v>221</v>
      </c>
      <c r="B148" s="44" t="s">
        <v>210</v>
      </c>
      <c r="C148" s="44">
        <v>4</v>
      </c>
      <c r="D148" s="33" t="s">
        <v>137</v>
      </c>
      <c r="E148" s="34">
        <v>10</v>
      </c>
      <c r="F148" s="34">
        <v>7</v>
      </c>
      <c r="G148" s="60">
        <v>0</v>
      </c>
      <c r="H148" s="68">
        <f t="shared" si="2"/>
        <v>21.944860000000002</v>
      </c>
      <c r="I148" s="60">
        <v>0</v>
      </c>
      <c r="J148" s="44">
        <v>0</v>
      </c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 t="s">
        <v>402</v>
      </c>
      <c r="AI148" s="44">
        <v>25.07</v>
      </c>
      <c r="AJ148" s="44">
        <v>31</v>
      </c>
      <c r="AK148" s="44">
        <v>21944.86</v>
      </c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87"/>
      <c r="CD148" s="44"/>
      <c r="CE148" s="44"/>
      <c r="CF148" s="44"/>
      <c r="CG148" s="44"/>
      <c r="CH148" s="44"/>
      <c r="CI148" s="44"/>
      <c r="CJ148" s="44"/>
      <c r="CK148" s="44"/>
      <c r="CL148" s="44"/>
      <c r="CM148" s="44"/>
      <c r="CN148" s="44"/>
      <c r="CO148" s="44"/>
      <c r="CP148" s="44"/>
      <c r="CQ148" s="44"/>
      <c r="CR148" s="44"/>
      <c r="CS148" s="44"/>
      <c r="CT148" s="44"/>
      <c r="CU148" s="44"/>
      <c r="CV148" s="44"/>
      <c r="CW148" s="44"/>
      <c r="CX148" s="44"/>
      <c r="CY148" s="44"/>
      <c r="CZ148" s="44"/>
      <c r="DA148" s="44"/>
      <c r="DB148" s="44"/>
      <c r="DC148" s="44"/>
      <c r="DD148" s="87"/>
      <c r="DE148" s="60">
        <v>0</v>
      </c>
      <c r="DF148" s="44"/>
      <c r="DG148" s="44"/>
      <c r="DH148" s="68">
        <v>0</v>
      </c>
    </row>
    <row r="149" spans="1:112">
      <c r="A149" s="40">
        <v>222</v>
      </c>
      <c r="B149" s="40" t="s">
        <v>210</v>
      </c>
      <c r="C149" s="40">
        <v>4</v>
      </c>
      <c r="D149" s="29" t="s">
        <v>138</v>
      </c>
      <c r="E149" s="30">
        <v>1</v>
      </c>
      <c r="F149" s="30">
        <v>7</v>
      </c>
      <c r="G149" s="52">
        <v>106.922434</v>
      </c>
      <c r="H149" s="68">
        <f t="shared" si="2"/>
        <v>0</v>
      </c>
      <c r="I149" s="47">
        <v>106.922434</v>
      </c>
      <c r="J149" s="43">
        <v>100</v>
      </c>
      <c r="K149" s="40"/>
      <c r="L149" s="40"/>
      <c r="M149" s="43"/>
      <c r="N149" s="40"/>
      <c r="O149" s="40"/>
      <c r="P149" s="40"/>
      <c r="Q149" s="42"/>
      <c r="R149" s="40"/>
      <c r="S149" s="40"/>
      <c r="T149" s="43"/>
      <c r="U149" s="40"/>
      <c r="V149" s="40"/>
      <c r="W149" s="42"/>
      <c r="X149" s="40"/>
      <c r="Y149" s="40"/>
      <c r="Z149" s="43"/>
      <c r="AA149" s="40"/>
      <c r="AB149" s="40"/>
      <c r="AC149" s="42"/>
      <c r="AD149" s="40"/>
      <c r="AE149" s="40"/>
      <c r="AF149" s="40"/>
      <c r="AG149" s="43"/>
      <c r="AH149" s="40"/>
      <c r="AI149" s="40"/>
      <c r="AJ149" s="40"/>
      <c r="AK149" s="42"/>
      <c r="AL149" s="40"/>
      <c r="AM149" s="40"/>
      <c r="AN149" s="43"/>
      <c r="AO149" s="40"/>
      <c r="AP149" s="40"/>
      <c r="AQ149" s="42"/>
      <c r="AR149" s="40"/>
      <c r="AS149" s="40"/>
      <c r="AT149" s="43"/>
      <c r="AU149" s="40"/>
      <c r="AV149" s="40"/>
      <c r="AW149" s="42"/>
      <c r="AX149" s="40"/>
      <c r="AY149" s="40"/>
      <c r="AZ149" s="43"/>
      <c r="BA149" s="40"/>
      <c r="BB149" s="40"/>
      <c r="BC149" s="42"/>
      <c r="BD149" s="40"/>
      <c r="BE149" s="40"/>
      <c r="BF149" s="43"/>
      <c r="BG149" s="40"/>
      <c r="BH149" s="40"/>
      <c r="BI149" s="42"/>
      <c r="BJ149" s="40"/>
      <c r="BK149" s="40"/>
      <c r="BL149" s="43"/>
      <c r="BM149" s="40"/>
      <c r="BN149" s="40"/>
      <c r="BO149" s="42"/>
      <c r="BP149" s="40"/>
      <c r="BQ149" s="40"/>
      <c r="BR149" s="43"/>
      <c r="BS149" s="40"/>
      <c r="BT149" s="40"/>
      <c r="BU149" s="42"/>
      <c r="BV149" s="40" t="s">
        <v>407</v>
      </c>
      <c r="BW149" s="40">
        <v>20</v>
      </c>
      <c r="BX149" s="43">
        <v>100000</v>
      </c>
      <c r="BY149" s="40"/>
      <c r="BZ149" s="40"/>
      <c r="CA149" s="42"/>
      <c r="CB149" s="40"/>
      <c r="CC149" s="75"/>
      <c r="CD149" s="43"/>
      <c r="CE149" s="40"/>
      <c r="CF149" s="40"/>
      <c r="CG149" s="42"/>
      <c r="CH149" s="40"/>
      <c r="CI149" s="40"/>
      <c r="CJ149" s="43"/>
      <c r="CK149" s="40"/>
      <c r="CL149" s="40"/>
      <c r="CM149" s="42"/>
      <c r="CN149" s="40"/>
      <c r="CO149" s="40"/>
      <c r="CP149" s="43"/>
      <c r="CQ149" s="40"/>
      <c r="CR149" s="40"/>
      <c r="CS149" s="42"/>
      <c r="CT149" s="40"/>
      <c r="CU149" s="40"/>
      <c r="CV149" s="43"/>
      <c r="CW149" s="40"/>
      <c r="CX149" s="40"/>
      <c r="CY149" s="42"/>
      <c r="CZ149" s="40"/>
      <c r="DA149" s="40"/>
      <c r="DB149" s="43"/>
      <c r="DC149" s="40"/>
      <c r="DD149" s="75"/>
      <c r="DE149" s="69">
        <v>0</v>
      </c>
      <c r="DF149" s="40"/>
      <c r="DG149" s="40"/>
      <c r="DH149" s="68">
        <v>0</v>
      </c>
    </row>
    <row r="150" spans="1:112">
      <c r="A150" s="40">
        <v>223</v>
      </c>
      <c r="B150" s="40" t="s">
        <v>210</v>
      </c>
      <c r="C150" s="40">
        <v>4</v>
      </c>
      <c r="D150" s="29" t="s">
        <v>138</v>
      </c>
      <c r="E150" s="30">
        <v>2</v>
      </c>
      <c r="F150" s="30">
        <v>6</v>
      </c>
      <c r="G150" s="52">
        <v>35.274985999999998</v>
      </c>
      <c r="H150" s="68">
        <f t="shared" si="2"/>
        <v>0</v>
      </c>
      <c r="I150" s="47">
        <v>35.274985999999998</v>
      </c>
      <c r="J150" s="43">
        <v>137</v>
      </c>
      <c r="K150" s="40"/>
      <c r="L150" s="40"/>
      <c r="M150" s="43"/>
      <c r="N150" s="40"/>
      <c r="O150" s="40"/>
      <c r="P150" s="40"/>
      <c r="Q150" s="42"/>
      <c r="R150" s="40"/>
      <c r="S150" s="40"/>
      <c r="T150" s="43"/>
      <c r="U150" s="40"/>
      <c r="V150" s="40"/>
      <c r="W150" s="42"/>
      <c r="X150" s="40"/>
      <c r="Y150" s="40"/>
      <c r="Z150" s="43"/>
      <c r="AA150" s="40"/>
      <c r="AB150" s="40"/>
      <c r="AC150" s="42"/>
      <c r="AD150" s="40" t="s">
        <v>406</v>
      </c>
      <c r="AE150" s="40" t="s">
        <v>324</v>
      </c>
      <c r="AF150" s="99">
        <v>137</v>
      </c>
      <c r="AG150" s="43">
        <v>137000</v>
      </c>
      <c r="AH150" s="40"/>
      <c r="AI150" s="40"/>
      <c r="AJ150" s="40"/>
      <c r="AK150" s="42"/>
      <c r="AL150" s="40"/>
      <c r="AM150" s="40"/>
      <c r="AN150" s="43"/>
      <c r="AO150" s="40"/>
      <c r="AP150" s="40"/>
      <c r="AQ150" s="42"/>
      <c r="AR150" s="40"/>
      <c r="AS150" s="40"/>
      <c r="AT150" s="43"/>
      <c r="AU150" s="40"/>
      <c r="AV150" s="40"/>
      <c r="AW150" s="42"/>
      <c r="AX150" s="40"/>
      <c r="AY150" s="40"/>
      <c r="AZ150" s="43"/>
      <c r="BA150" s="40"/>
      <c r="BB150" s="40"/>
      <c r="BC150" s="42"/>
      <c r="BD150" s="40"/>
      <c r="BE150" s="40"/>
      <c r="BF150" s="43"/>
      <c r="BG150" s="40"/>
      <c r="BH150" s="40"/>
      <c r="BI150" s="42"/>
      <c r="BJ150" s="40"/>
      <c r="BK150" s="40"/>
      <c r="BL150" s="43"/>
      <c r="BM150" s="40"/>
      <c r="BN150" s="40"/>
      <c r="BO150" s="42"/>
      <c r="BP150" s="40"/>
      <c r="BQ150" s="40"/>
      <c r="BR150" s="43"/>
      <c r="BS150" s="40"/>
      <c r="BT150" s="40"/>
      <c r="BU150" s="42"/>
      <c r="BV150" s="40"/>
      <c r="BW150" s="40"/>
      <c r="BX150" s="43"/>
      <c r="BY150" s="40"/>
      <c r="BZ150" s="40"/>
      <c r="CA150" s="42"/>
      <c r="CB150" s="40"/>
      <c r="CC150" s="75"/>
      <c r="CD150" s="43"/>
      <c r="CE150" s="40"/>
      <c r="CF150" s="40"/>
      <c r="CG150" s="42"/>
      <c r="CH150" s="40"/>
      <c r="CI150" s="40"/>
      <c r="CJ150" s="43"/>
      <c r="CK150" s="40"/>
      <c r="CL150" s="40"/>
      <c r="CM150" s="42"/>
      <c r="CN150" s="40"/>
      <c r="CO150" s="40"/>
      <c r="CP150" s="43"/>
      <c r="CQ150" s="40"/>
      <c r="CR150" s="40"/>
      <c r="CS150" s="42"/>
      <c r="CT150" s="40"/>
      <c r="CU150" s="40"/>
      <c r="CV150" s="43"/>
      <c r="CW150" s="40"/>
      <c r="CX150" s="40"/>
      <c r="CY150" s="42"/>
      <c r="CZ150" s="40"/>
      <c r="DA150" s="40"/>
      <c r="DB150" s="43"/>
      <c r="DC150" s="40"/>
      <c r="DD150" s="75"/>
      <c r="DE150" s="69">
        <v>0</v>
      </c>
      <c r="DF150" s="40"/>
      <c r="DG150" s="40"/>
      <c r="DH150" s="68">
        <v>0</v>
      </c>
    </row>
    <row r="151" spans="1:112">
      <c r="A151" s="40">
        <v>224</v>
      </c>
      <c r="B151" s="40" t="s">
        <v>210</v>
      </c>
      <c r="C151" s="40">
        <v>4</v>
      </c>
      <c r="D151" s="29" t="s">
        <v>138</v>
      </c>
      <c r="E151" s="30">
        <v>3</v>
      </c>
      <c r="F151" s="30">
        <v>7</v>
      </c>
      <c r="G151" s="52">
        <v>53.568011999999996</v>
      </c>
      <c r="H151" s="68">
        <f t="shared" si="2"/>
        <v>0</v>
      </c>
      <c r="I151" s="47">
        <v>53.568011999999996</v>
      </c>
      <c r="J151" s="43">
        <v>53.57</v>
      </c>
      <c r="K151" s="40"/>
      <c r="L151" s="40"/>
      <c r="M151" s="43"/>
      <c r="N151" s="40"/>
      <c r="O151" s="40"/>
      <c r="P151" s="40"/>
      <c r="Q151" s="42"/>
      <c r="R151" s="40"/>
      <c r="S151" s="40"/>
      <c r="T151" s="43"/>
      <c r="U151" s="40"/>
      <c r="V151" s="40"/>
      <c r="W151" s="42"/>
      <c r="X151" s="40"/>
      <c r="Y151" s="40"/>
      <c r="Z151" s="43"/>
      <c r="AA151" s="40"/>
      <c r="AB151" s="40"/>
      <c r="AC151" s="42"/>
      <c r="AD151" s="40"/>
      <c r="AE151" s="40"/>
      <c r="AF151" s="40"/>
      <c r="AG151" s="43"/>
      <c r="AH151" s="40"/>
      <c r="AI151" s="40"/>
      <c r="AJ151" s="40"/>
      <c r="AK151" s="42"/>
      <c r="AL151" s="40"/>
      <c r="AM151" s="40"/>
      <c r="AN151" s="43"/>
      <c r="AO151" s="40"/>
      <c r="AP151" s="40"/>
      <c r="AQ151" s="42"/>
      <c r="AR151" s="40"/>
      <c r="AS151" s="40"/>
      <c r="AT151" s="43"/>
      <c r="AU151" s="40"/>
      <c r="AV151" s="40"/>
      <c r="AW151" s="42"/>
      <c r="AX151" s="40"/>
      <c r="AY151" s="40"/>
      <c r="AZ151" s="43"/>
      <c r="BA151" s="40"/>
      <c r="BB151" s="40"/>
      <c r="BC151" s="42"/>
      <c r="BD151" s="40"/>
      <c r="BE151" s="40"/>
      <c r="BF151" s="43"/>
      <c r="BG151" s="40"/>
      <c r="BH151" s="40"/>
      <c r="BI151" s="42"/>
      <c r="BJ151" s="40"/>
      <c r="BK151" s="40"/>
      <c r="BL151" s="43"/>
      <c r="BM151" s="40"/>
      <c r="BN151" s="40"/>
      <c r="BO151" s="42"/>
      <c r="BP151" s="40"/>
      <c r="BQ151" s="40"/>
      <c r="BR151" s="43"/>
      <c r="BS151" s="40"/>
      <c r="BT151" s="40"/>
      <c r="BU151" s="42"/>
      <c r="BV151" s="40"/>
      <c r="BW151" s="40"/>
      <c r="BX151" s="43"/>
      <c r="BY151" s="40"/>
      <c r="BZ151" s="40"/>
      <c r="CA151" s="42"/>
      <c r="CB151" s="40"/>
      <c r="CC151" s="75"/>
      <c r="CD151" s="43"/>
      <c r="CE151" s="40"/>
      <c r="CF151" s="40"/>
      <c r="CG151" s="42"/>
      <c r="CH151" s="40"/>
      <c r="CI151" s="40"/>
      <c r="CJ151" s="43"/>
      <c r="CK151" s="40"/>
      <c r="CL151" s="40"/>
      <c r="CM151" s="42"/>
      <c r="CN151" s="40" t="s">
        <v>403</v>
      </c>
      <c r="CO151" s="40">
        <v>35</v>
      </c>
      <c r="CP151" s="43">
        <v>53570</v>
      </c>
      <c r="CQ151" s="40"/>
      <c r="CR151" s="40"/>
      <c r="CS151" s="42"/>
      <c r="CT151" s="40"/>
      <c r="CU151" s="40"/>
      <c r="CV151" s="43"/>
      <c r="CW151" s="40"/>
      <c r="CX151" s="40"/>
      <c r="CY151" s="42"/>
      <c r="CZ151" s="40"/>
      <c r="DA151" s="40"/>
      <c r="DB151" s="43"/>
      <c r="DC151" s="40"/>
      <c r="DD151" s="75"/>
      <c r="DE151" s="69">
        <v>0</v>
      </c>
      <c r="DF151" s="40"/>
      <c r="DG151" s="40"/>
      <c r="DH151" s="68">
        <v>0</v>
      </c>
    </row>
    <row r="152" spans="1:112">
      <c r="A152" s="40">
        <v>225</v>
      </c>
      <c r="B152" s="40" t="s">
        <v>210</v>
      </c>
      <c r="C152" s="40">
        <v>4</v>
      </c>
      <c r="D152" s="29" t="s">
        <v>138</v>
      </c>
      <c r="E152" s="30">
        <v>4</v>
      </c>
      <c r="F152" s="30">
        <v>7</v>
      </c>
      <c r="G152" s="52">
        <v>72.268126000000009</v>
      </c>
      <c r="H152" s="68">
        <f t="shared" si="2"/>
        <v>0</v>
      </c>
      <c r="I152" s="47">
        <v>72.268126000000009</v>
      </c>
      <c r="J152" s="43">
        <v>72</v>
      </c>
      <c r="K152" s="40"/>
      <c r="L152" s="40"/>
      <c r="M152" s="43"/>
      <c r="N152" s="40"/>
      <c r="O152" s="40"/>
      <c r="P152" s="40"/>
      <c r="Q152" s="42"/>
      <c r="R152" s="40"/>
      <c r="S152" s="40"/>
      <c r="T152" s="43"/>
      <c r="U152" s="40"/>
      <c r="V152" s="40"/>
      <c r="W152" s="42"/>
      <c r="X152" s="40"/>
      <c r="Y152" s="40"/>
      <c r="Z152" s="43"/>
      <c r="AA152" s="40"/>
      <c r="AB152" s="40"/>
      <c r="AC152" s="42"/>
      <c r="AD152" s="40"/>
      <c r="AE152" s="40"/>
      <c r="AF152" s="40"/>
      <c r="AG152" s="43"/>
      <c r="AH152" s="40"/>
      <c r="AI152" s="40"/>
      <c r="AJ152" s="40"/>
      <c r="AK152" s="42"/>
      <c r="AL152" s="40"/>
      <c r="AM152" s="40"/>
      <c r="AN152" s="43"/>
      <c r="AO152" s="40"/>
      <c r="AP152" s="40"/>
      <c r="AQ152" s="42"/>
      <c r="AR152" s="40"/>
      <c r="AS152" s="40"/>
      <c r="AT152" s="43"/>
      <c r="AU152" s="40"/>
      <c r="AV152" s="40"/>
      <c r="AW152" s="42"/>
      <c r="AX152" s="40"/>
      <c r="AY152" s="40"/>
      <c r="AZ152" s="43"/>
      <c r="BA152" s="40"/>
      <c r="BB152" s="40"/>
      <c r="BC152" s="42"/>
      <c r="BD152" s="40"/>
      <c r="BE152" s="40"/>
      <c r="BF152" s="43"/>
      <c r="BG152" s="40"/>
      <c r="BH152" s="40"/>
      <c r="BI152" s="42"/>
      <c r="BJ152" s="40"/>
      <c r="BK152" s="40"/>
      <c r="BL152" s="43"/>
      <c r="BM152" s="40"/>
      <c r="BN152" s="40"/>
      <c r="BO152" s="42"/>
      <c r="BP152" s="40"/>
      <c r="BQ152" s="40"/>
      <c r="BR152" s="43"/>
      <c r="BS152" s="40"/>
      <c r="BT152" s="40"/>
      <c r="BU152" s="42"/>
      <c r="BV152" s="40"/>
      <c r="BW152" s="40"/>
      <c r="BX152" s="43"/>
      <c r="BY152" s="40"/>
      <c r="BZ152" s="40"/>
      <c r="CA152" s="42"/>
      <c r="CB152" s="40"/>
      <c r="CC152" s="75"/>
      <c r="CD152" s="43"/>
      <c r="CE152" s="40"/>
      <c r="CF152" s="40"/>
      <c r="CG152" s="42"/>
      <c r="CH152" s="40"/>
      <c r="CI152" s="40"/>
      <c r="CJ152" s="43"/>
      <c r="CK152" s="40"/>
      <c r="CL152" s="40"/>
      <c r="CM152" s="42"/>
      <c r="CN152" s="40" t="s">
        <v>403</v>
      </c>
      <c r="CO152" s="40">
        <v>40</v>
      </c>
      <c r="CP152" s="43">
        <v>72000</v>
      </c>
      <c r="CQ152" s="40"/>
      <c r="CR152" s="40"/>
      <c r="CS152" s="42"/>
      <c r="CT152" s="40"/>
      <c r="CU152" s="40"/>
      <c r="CV152" s="43"/>
      <c r="CW152" s="40"/>
      <c r="CX152" s="40"/>
      <c r="CY152" s="42"/>
      <c r="CZ152" s="40"/>
      <c r="DA152" s="40"/>
      <c r="DB152" s="43"/>
      <c r="DC152" s="40"/>
      <c r="DD152" s="75"/>
      <c r="DE152" s="69">
        <v>0</v>
      </c>
      <c r="DF152" s="40"/>
      <c r="DG152" s="40"/>
      <c r="DH152" s="68">
        <v>0</v>
      </c>
    </row>
    <row r="153" spans="1:112">
      <c r="A153" s="44">
        <v>239</v>
      </c>
      <c r="B153" s="44" t="s">
        <v>210</v>
      </c>
      <c r="C153" s="44">
        <v>5</v>
      </c>
      <c r="D153" s="33" t="s">
        <v>143</v>
      </c>
      <c r="E153" s="34">
        <v>74</v>
      </c>
      <c r="F153" s="34">
        <v>7</v>
      </c>
      <c r="G153" s="60">
        <v>-34.557751999999994</v>
      </c>
      <c r="H153" s="68">
        <f t="shared" si="2"/>
        <v>0</v>
      </c>
      <c r="I153" s="60">
        <v>-34.557751999999994</v>
      </c>
      <c r="J153" s="44">
        <v>0</v>
      </c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87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44"/>
      <c r="DC153" s="44"/>
      <c r="DD153" s="87"/>
      <c r="DE153" s="60">
        <v>0</v>
      </c>
      <c r="DF153" s="44"/>
      <c r="DG153" s="44"/>
      <c r="DH153" s="68">
        <v>0</v>
      </c>
    </row>
    <row r="154" spans="1:112">
      <c r="A154" s="40">
        <v>240</v>
      </c>
      <c r="B154" s="40" t="s">
        <v>210</v>
      </c>
      <c r="C154" s="40">
        <v>5</v>
      </c>
      <c r="D154" s="29" t="s">
        <v>143</v>
      </c>
      <c r="E154" s="30">
        <v>76</v>
      </c>
      <c r="F154" s="30">
        <v>7</v>
      </c>
      <c r="G154" s="52">
        <v>22.912550000000003</v>
      </c>
      <c r="H154" s="68">
        <f t="shared" si="2"/>
        <v>20.599250000000001</v>
      </c>
      <c r="I154" s="47">
        <v>22.912550000000003</v>
      </c>
      <c r="J154" s="43">
        <v>7</v>
      </c>
      <c r="K154" s="40"/>
      <c r="L154" s="40"/>
      <c r="M154" s="43"/>
      <c r="N154" s="40"/>
      <c r="O154" s="40"/>
      <c r="P154" s="40"/>
      <c r="Q154" s="42"/>
      <c r="R154" s="40"/>
      <c r="S154" s="40"/>
      <c r="T154" s="43"/>
      <c r="U154" s="40"/>
      <c r="V154" s="40"/>
      <c r="W154" s="42"/>
      <c r="X154" s="40"/>
      <c r="Y154" s="40"/>
      <c r="Z154" s="43"/>
      <c r="AA154" s="40"/>
      <c r="AB154" s="40"/>
      <c r="AC154" s="42"/>
      <c r="AD154" s="40"/>
      <c r="AE154" s="40"/>
      <c r="AF154" s="40"/>
      <c r="AG154" s="43"/>
      <c r="AH154" s="40"/>
      <c r="AI154" s="40"/>
      <c r="AJ154" s="40"/>
      <c r="AK154" s="42"/>
      <c r="AL154" s="40"/>
      <c r="AM154" s="40"/>
      <c r="AN154" s="43"/>
      <c r="AO154" s="40"/>
      <c r="AP154" s="40"/>
      <c r="AQ154" s="42"/>
      <c r="AR154" s="40"/>
      <c r="AS154" s="40"/>
      <c r="AT154" s="43"/>
      <c r="AU154" s="40"/>
      <c r="AV154" s="40"/>
      <c r="AW154" s="42"/>
      <c r="AX154" s="40"/>
      <c r="AY154" s="40"/>
      <c r="AZ154" s="43"/>
      <c r="BA154" s="40"/>
      <c r="BB154" s="40"/>
      <c r="BC154" s="42"/>
      <c r="BD154" s="40"/>
      <c r="BE154" s="40"/>
      <c r="BF154" s="43"/>
      <c r="BG154" s="40"/>
      <c r="BH154" s="40"/>
      <c r="BI154" s="42"/>
      <c r="BJ154" s="40"/>
      <c r="BK154" s="40"/>
      <c r="BL154" s="43"/>
      <c r="BM154" s="40"/>
      <c r="BN154" s="40"/>
      <c r="BO154" s="42"/>
      <c r="BP154" s="40"/>
      <c r="BQ154" s="40"/>
      <c r="BR154" s="43"/>
      <c r="BS154" s="40"/>
      <c r="BT154" s="40"/>
      <c r="BU154" s="42"/>
      <c r="BV154" s="40"/>
      <c r="BW154" s="40"/>
      <c r="BX154" s="43"/>
      <c r="BY154" s="40"/>
      <c r="BZ154" s="40"/>
      <c r="CA154" s="42"/>
      <c r="CB154" s="40"/>
      <c r="CC154" s="75"/>
      <c r="CD154" s="43"/>
      <c r="CE154" s="40"/>
      <c r="CF154" s="40"/>
      <c r="CG154" s="42"/>
      <c r="CH154" s="40"/>
      <c r="CI154" s="40"/>
      <c r="CJ154" s="43"/>
      <c r="CK154" s="40"/>
      <c r="CL154" s="40"/>
      <c r="CM154" s="42"/>
      <c r="CN154" s="40"/>
      <c r="CO154" s="40"/>
      <c r="CP154" s="43"/>
      <c r="CQ154" s="40"/>
      <c r="CR154" s="40"/>
      <c r="CS154" s="42"/>
      <c r="CT154" s="40"/>
      <c r="CU154" s="40"/>
      <c r="CV154" s="43"/>
      <c r="CW154" s="40"/>
      <c r="CX154" s="40"/>
      <c r="CY154" s="42"/>
      <c r="CZ154" s="40"/>
      <c r="DA154" s="40"/>
      <c r="DB154" s="43"/>
      <c r="DC154" s="40" t="s">
        <v>362</v>
      </c>
      <c r="DD154" s="75" t="s">
        <v>359</v>
      </c>
      <c r="DE154" s="69">
        <v>7000</v>
      </c>
      <c r="DF154" s="40" t="s">
        <v>408</v>
      </c>
      <c r="DG154" s="40" t="s">
        <v>359</v>
      </c>
      <c r="DH154" s="68">
        <v>20599.25</v>
      </c>
    </row>
    <row r="155" spans="1:112">
      <c r="A155" s="40">
        <v>241</v>
      </c>
      <c r="B155" s="40" t="s">
        <v>210</v>
      </c>
      <c r="C155" s="40">
        <v>5</v>
      </c>
      <c r="D155" s="29" t="s">
        <v>143</v>
      </c>
      <c r="E155" s="30" t="s">
        <v>145</v>
      </c>
      <c r="F155" s="30">
        <v>7</v>
      </c>
      <c r="G155" s="52">
        <v>27.344848000000006</v>
      </c>
      <c r="H155" s="68">
        <f t="shared" si="2"/>
        <v>0</v>
      </c>
      <c r="I155" s="47">
        <v>27.344848000000006</v>
      </c>
      <c r="J155" s="43">
        <v>27.34</v>
      </c>
      <c r="K155" s="40"/>
      <c r="L155" s="40"/>
      <c r="M155" s="43"/>
      <c r="N155" s="40"/>
      <c r="O155" s="40"/>
      <c r="P155" s="40"/>
      <c r="Q155" s="42"/>
      <c r="R155" s="40"/>
      <c r="S155" s="40"/>
      <c r="T155" s="43"/>
      <c r="U155" s="40"/>
      <c r="V155" s="40"/>
      <c r="W155" s="42"/>
      <c r="X155" s="40"/>
      <c r="Y155" s="40"/>
      <c r="Z155" s="43"/>
      <c r="AA155" s="40"/>
      <c r="AB155" s="40"/>
      <c r="AC155" s="42"/>
      <c r="AD155" s="40"/>
      <c r="AE155" s="40"/>
      <c r="AF155" s="40"/>
      <c r="AG155" s="43"/>
      <c r="AH155" s="40"/>
      <c r="AI155" s="40"/>
      <c r="AJ155" s="40"/>
      <c r="AK155" s="42"/>
      <c r="AL155" s="40"/>
      <c r="AM155" s="40"/>
      <c r="AN155" s="43"/>
      <c r="AO155" s="40"/>
      <c r="AP155" s="40"/>
      <c r="AQ155" s="42"/>
      <c r="AR155" s="40"/>
      <c r="AS155" s="40"/>
      <c r="AT155" s="43"/>
      <c r="AU155" s="40"/>
      <c r="AV155" s="40"/>
      <c r="AW155" s="42"/>
      <c r="AX155" s="40" t="s">
        <v>404</v>
      </c>
      <c r="AY155" s="40">
        <v>18</v>
      </c>
      <c r="AZ155" s="43">
        <v>27340</v>
      </c>
      <c r="BA155" s="40"/>
      <c r="BB155" s="40"/>
      <c r="BC155" s="42"/>
      <c r="BD155" s="40"/>
      <c r="BE155" s="40"/>
      <c r="BF155" s="43"/>
      <c r="BG155" s="40"/>
      <c r="BH155" s="40"/>
      <c r="BI155" s="42"/>
      <c r="BJ155" s="40"/>
      <c r="BK155" s="40"/>
      <c r="BL155" s="43"/>
      <c r="BM155" s="40"/>
      <c r="BN155" s="40"/>
      <c r="BO155" s="42"/>
      <c r="BP155" s="40"/>
      <c r="BQ155" s="40"/>
      <c r="BR155" s="43"/>
      <c r="BS155" s="40"/>
      <c r="BT155" s="40"/>
      <c r="BU155" s="42"/>
      <c r="BV155" s="40"/>
      <c r="BW155" s="40"/>
      <c r="BX155" s="43"/>
      <c r="BY155" s="40"/>
      <c r="BZ155" s="40"/>
      <c r="CA155" s="42"/>
      <c r="CB155" s="40"/>
      <c r="CC155" s="75"/>
      <c r="CD155" s="43"/>
      <c r="CE155" s="40"/>
      <c r="CF155" s="40"/>
      <c r="CG155" s="42"/>
      <c r="CH155" s="40"/>
      <c r="CI155" s="40"/>
      <c r="CJ155" s="43"/>
      <c r="CK155" s="40"/>
      <c r="CL155" s="40"/>
      <c r="CM155" s="42"/>
      <c r="CN155" s="40"/>
      <c r="CO155" s="40"/>
      <c r="CP155" s="43"/>
      <c r="CQ155" s="40"/>
      <c r="CR155" s="40"/>
      <c r="CS155" s="42"/>
      <c r="CT155" s="40"/>
      <c r="CU155" s="40"/>
      <c r="CV155" s="43"/>
      <c r="CW155" s="40"/>
      <c r="CX155" s="40"/>
      <c r="CY155" s="42"/>
      <c r="CZ155" s="40"/>
      <c r="DA155" s="40"/>
      <c r="DB155" s="43"/>
      <c r="DC155" s="40"/>
      <c r="DD155" s="75"/>
      <c r="DE155" s="69">
        <v>0</v>
      </c>
      <c r="DF155" s="40"/>
      <c r="DG155" s="40"/>
      <c r="DH155" s="68">
        <v>0</v>
      </c>
    </row>
    <row r="156" spans="1:112">
      <c r="A156" s="40">
        <v>242</v>
      </c>
      <c r="B156" s="40" t="s">
        <v>210</v>
      </c>
      <c r="C156" s="40">
        <v>5</v>
      </c>
      <c r="D156" s="29" t="s">
        <v>143</v>
      </c>
      <c r="E156" s="30">
        <v>87</v>
      </c>
      <c r="F156" s="30">
        <v>7</v>
      </c>
      <c r="G156" s="52">
        <v>11.000480000000001</v>
      </c>
      <c r="H156" s="68">
        <f t="shared" si="2"/>
        <v>0</v>
      </c>
      <c r="I156" s="47">
        <v>11.000480000000001</v>
      </c>
      <c r="J156" s="43">
        <v>11</v>
      </c>
      <c r="K156" s="40"/>
      <c r="L156" s="40"/>
      <c r="M156" s="43"/>
      <c r="N156" s="40"/>
      <c r="O156" s="40"/>
      <c r="P156" s="40"/>
      <c r="Q156" s="42"/>
      <c r="R156" s="40"/>
      <c r="S156" s="40"/>
      <c r="T156" s="43"/>
      <c r="U156" s="40"/>
      <c r="V156" s="40"/>
      <c r="W156" s="42"/>
      <c r="X156" s="40"/>
      <c r="Y156" s="40"/>
      <c r="Z156" s="43"/>
      <c r="AA156" s="40"/>
      <c r="AB156" s="40"/>
      <c r="AC156" s="42"/>
      <c r="AD156" s="40" t="s">
        <v>406</v>
      </c>
      <c r="AE156" s="40" t="s">
        <v>308</v>
      </c>
      <c r="AF156" s="40">
        <v>15</v>
      </c>
      <c r="AG156" s="43">
        <v>11000</v>
      </c>
      <c r="AH156" s="40"/>
      <c r="AI156" s="40"/>
      <c r="AJ156" s="40"/>
      <c r="AK156" s="42"/>
      <c r="AL156" s="40"/>
      <c r="AM156" s="40"/>
      <c r="AN156" s="43"/>
      <c r="AO156" s="40"/>
      <c r="AP156" s="40"/>
      <c r="AQ156" s="42"/>
      <c r="AR156" s="40"/>
      <c r="AS156" s="40"/>
      <c r="AT156" s="43"/>
      <c r="AU156" s="40"/>
      <c r="AV156" s="40"/>
      <c r="AW156" s="42"/>
      <c r="AX156" s="40"/>
      <c r="AY156" s="40"/>
      <c r="AZ156" s="43"/>
      <c r="BA156" s="40"/>
      <c r="BB156" s="40"/>
      <c r="BC156" s="42"/>
      <c r="BD156" s="40"/>
      <c r="BE156" s="40"/>
      <c r="BF156" s="43"/>
      <c r="BG156" s="40"/>
      <c r="BH156" s="40"/>
      <c r="BI156" s="42"/>
      <c r="BJ156" s="40"/>
      <c r="BK156" s="40"/>
      <c r="BL156" s="43"/>
      <c r="BM156" s="40"/>
      <c r="BN156" s="40"/>
      <c r="BO156" s="42"/>
      <c r="BP156" s="40"/>
      <c r="BQ156" s="40"/>
      <c r="BR156" s="43"/>
      <c r="BS156" s="40"/>
      <c r="BT156" s="40"/>
      <c r="BU156" s="42"/>
      <c r="BV156" s="40"/>
      <c r="BW156" s="40"/>
      <c r="BX156" s="43"/>
      <c r="BY156" s="40"/>
      <c r="BZ156" s="40"/>
      <c r="CA156" s="42"/>
      <c r="CB156" s="40"/>
      <c r="CC156" s="75"/>
      <c r="CD156" s="43"/>
      <c r="CE156" s="40"/>
      <c r="CF156" s="40"/>
      <c r="CG156" s="42"/>
      <c r="CH156" s="40"/>
      <c r="CI156" s="40"/>
      <c r="CJ156" s="43"/>
      <c r="CK156" s="40"/>
      <c r="CL156" s="40"/>
      <c r="CM156" s="42"/>
      <c r="CN156" s="40"/>
      <c r="CO156" s="40"/>
      <c r="CP156" s="43"/>
      <c r="CQ156" s="40"/>
      <c r="CR156" s="40"/>
      <c r="CS156" s="42"/>
      <c r="CT156" s="40"/>
      <c r="CU156" s="40"/>
      <c r="CV156" s="43"/>
      <c r="CW156" s="40"/>
      <c r="CX156" s="40"/>
      <c r="CY156" s="42"/>
      <c r="CZ156" s="40"/>
      <c r="DA156" s="40"/>
      <c r="DB156" s="43"/>
      <c r="DC156" s="40"/>
      <c r="DD156" s="75"/>
      <c r="DE156" s="69">
        <v>0</v>
      </c>
      <c r="DF156" s="40"/>
      <c r="DG156" s="40"/>
      <c r="DH156" s="68">
        <v>0</v>
      </c>
    </row>
    <row r="157" spans="1:112">
      <c r="A157" s="40">
        <v>243</v>
      </c>
      <c r="B157" s="40" t="s">
        <v>210</v>
      </c>
      <c r="C157" s="40">
        <v>5</v>
      </c>
      <c r="D157" s="29" t="s">
        <v>143</v>
      </c>
      <c r="E157" s="30">
        <v>95</v>
      </c>
      <c r="F157" s="30">
        <v>7</v>
      </c>
      <c r="G157" s="52">
        <v>10.051200000000001</v>
      </c>
      <c r="H157" s="68">
        <f t="shared" si="2"/>
        <v>0</v>
      </c>
      <c r="I157" s="47">
        <v>10.051200000000001</v>
      </c>
      <c r="J157" s="43">
        <v>10.050000000000001</v>
      </c>
      <c r="K157" s="40"/>
      <c r="L157" s="40"/>
      <c r="M157" s="43"/>
      <c r="N157" s="40"/>
      <c r="O157" s="40"/>
      <c r="P157" s="40"/>
      <c r="Q157" s="42"/>
      <c r="R157" s="40"/>
      <c r="S157" s="40"/>
      <c r="T157" s="43"/>
      <c r="U157" s="40"/>
      <c r="V157" s="40"/>
      <c r="W157" s="42"/>
      <c r="X157" s="40"/>
      <c r="Y157" s="40"/>
      <c r="Z157" s="43"/>
      <c r="AA157" s="40"/>
      <c r="AB157" s="40"/>
      <c r="AC157" s="42"/>
      <c r="AD157" s="40"/>
      <c r="AE157" s="40"/>
      <c r="AF157" s="40"/>
      <c r="AG157" s="43"/>
      <c r="AH157" s="40"/>
      <c r="AI157" s="40"/>
      <c r="AJ157" s="40"/>
      <c r="AK157" s="42"/>
      <c r="AL157" s="40"/>
      <c r="AM157" s="40"/>
      <c r="AN157" s="43"/>
      <c r="AO157" s="40"/>
      <c r="AP157" s="40"/>
      <c r="AQ157" s="42"/>
      <c r="AR157" s="40"/>
      <c r="AS157" s="40"/>
      <c r="AT157" s="43"/>
      <c r="AU157" s="40"/>
      <c r="AV157" s="40"/>
      <c r="AW157" s="42"/>
      <c r="AX157" s="40"/>
      <c r="AY157" s="40"/>
      <c r="AZ157" s="43"/>
      <c r="BA157" s="40"/>
      <c r="BB157" s="40"/>
      <c r="BC157" s="42"/>
      <c r="BD157" s="40"/>
      <c r="BE157" s="40"/>
      <c r="BF157" s="43"/>
      <c r="BG157" s="40"/>
      <c r="BH157" s="40"/>
      <c r="BI157" s="42"/>
      <c r="BJ157" s="40"/>
      <c r="BK157" s="40"/>
      <c r="BL157" s="43"/>
      <c r="BM157" s="40"/>
      <c r="BN157" s="40"/>
      <c r="BO157" s="42"/>
      <c r="BP157" s="40"/>
      <c r="BQ157" s="40"/>
      <c r="BR157" s="43"/>
      <c r="BS157" s="40"/>
      <c r="BT157" s="40"/>
      <c r="BU157" s="42"/>
      <c r="BV157" s="40"/>
      <c r="BW157" s="40"/>
      <c r="BX157" s="43"/>
      <c r="BY157" s="40"/>
      <c r="BZ157" s="40"/>
      <c r="CA157" s="42"/>
      <c r="CB157" s="40"/>
      <c r="CC157" s="75"/>
      <c r="CD157" s="43"/>
      <c r="CE157" s="40"/>
      <c r="CF157" s="40"/>
      <c r="CG157" s="42"/>
      <c r="CH157" s="40"/>
      <c r="CI157" s="40"/>
      <c r="CJ157" s="43"/>
      <c r="CK157" s="40"/>
      <c r="CL157" s="40"/>
      <c r="CM157" s="42"/>
      <c r="CN157" s="40"/>
      <c r="CO157" s="40"/>
      <c r="CP157" s="43"/>
      <c r="CQ157" s="40"/>
      <c r="CR157" s="40"/>
      <c r="CS157" s="42"/>
      <c r="CT157" s="40"/>
      <c r="CU157" s="40"/>
      <c r="CV157" s="43"/>
      <c r="CW157" s="40"/>
      <c r="CX157" s="40"/>
      <c r="CY157" s="42"/>
      <c r="CZ157" s="40"/>
      <c r="DA157" s="40"/>
      <c r="DB157" s="43"/>
      <c r="DC157" s="40"/>
      <c r="DD157" s="75" t="s">
        <v>364</v>
      </c>
      <c r="DE157" s="69">
        <v>10050</v>
      </c>
      <c r="DF157" s="40"/>
      <c r="DG157" s="40"/>
      <c r="DH157" s="68">
        <v>0</v>
      </c>
    </row>
    <row r="158" spans="1:112">
      <c r="A158" s="40">
        <v>244</v>
      </c>
      <c r="B158" s="40" t="s">
        <v>210</v>
      </c>
      <c r="C158" s="40">
        <v>5</v>
      </c>
      <c r="D158" s="29" t="s">
        <v>143</v>
      </c>
      <c r="E158" s="30">
        <v>97</v>
      </c>
      <c r="F158" s="30">
        <v>7</v>
      </c>
      <c r="G158" s="52">
        <v>5.5902779999999996</v>
      </c>
      <c r="H158" s="68">
        <f t="shared" si="2"/>
        <v>0</v>
      </c>
      <c r="I158" s="47">
        <v>5.5902779999999996</v>
      </c>
      <c r="J158" s="43">
        <v>5.59</v>
      </c>
      <c r="K158" s="40"/>
      <c r="L158" s="40"/>
      <c r="M158" s="43"/>
      <c r="N158" s="40"/>
      <c r="O158" s="40"/>
      <c r="P158" s="40"/>
      <c r="Q158" s="42"/>
      <c r="R158" s="40"/>
      <c r="S158" s="40"/>
      <c r="T158" s="43"/>
      <c r="U158" s="40"/>
      <c r="V158" s="40"/>
      <c r="W158" s="42"/>
      <c r="X158" s="40"/>
      <c r="Y158" s="40"/>
      <c r="Z158" s="43"/>
      <c r="AA158" s="40"/>
      <c r="AB158" s="40"/>
      <c r="AC158" s="42"/>
      <c r="AD158" s="40"/>
      <c r="AE158" s="40"/>
      <c r="AF158" s="40"/>
      <c r="AG158" s="43"/>
      <c r="AH158" s="40"/>
      <c r="AI158" s="40"/>
      <c r="AJ158" s="40"/>
      <c r="AK158" s="42"/>
      <c r="AL158" s="40"/>
      <c r="AM158" s="40"/>
      <c r="AN158" s="43"/>
      <c r="AO158" s="40"/>
      <c r="AP158" s="40"/>
      <c r="AQ158" s="42"/>
      <c r="AR158" s="40"/>
      <c r="AS158" s="40"/>
      <c r="AT158" s="43"/>
      <c r="AU158" s="40"/>
      <c r="AV158" s="40"/>
      <c r="AW158" s="42"/>
      <c r="AX158" s="40"/>
      <c r="AY158" s="40"/>
      <c r="AZ158" s="43"/>
      <c r="BA158" s="40"/>
      <c r="BB158" s="40"/>
      <c r="BC158" s="42"/>
      <c r="BD158" s="40"/>
      <c r="BE158" s="40"/>
      <c r="BF158" s="43"/>
      <c r="BG158" s="40"/>
      <c r="BH158" s="40"/>
      <c r="BI158" s="42"/>
      <c r="BJ158" s="40"/>
      <c r="BK158" s="40"/>
      <c r="BL158" s="43"/>
      <c r="BM158" s="40"/>
      <c r="BN158" s="40"/>
      <c r="BO158" s="42"/>
      <c r="BP158" s="40"/>
      <c r="BQ158" s="40"/>
      <c r="BR158" s="43"/>
      <c r="BS158" s="40"/>
      <c r="BT158" s="40"/>
      <c r="BU158" s="42"/>
      <c r="BV158" s="40"/>
      <c r="BW158" s="40"/>
      <c r="BX158" s="43"/>
      <c r="BY158" s="40"/>
      <c r="BZ158" s="40"/>
      <c r="CA158" s="42"/>
      <c r="CB158" s="40"/>
      <c r="CC158" s="75"/>
      <c r="CD158" s="43"/>
      <c r="CE158" s="40"/>
      <c r="CF158" s="40"/>
      <c r="CG158" s="42"/>
      <c r="CH158" s="40"/>
      <c r="CI158" s="40"/>
      <c r="CJ158" s="43"/>
      <c r="CK158" s="40"/>
      <c r="CL158" s="40"/>
      <c r="CM158" s="42"/>
      <c r="CN158" s="40"/>
      <c r="CO158" s="40"/>
      <c r="CP158" s="43"/>
      <c r="CQ158" s="40"/>
      <c r="CR158" s="40"/>
      <c r="CS158" s="42"/>
      <c r="CT158" s="40"/>
      <c r="CU158" s="40"/>
      <c r="CV158" s="43"/>
      <c r="CW158" s="40"/>
      <c r="CX158" s="40"/>
      <c r="CY158" s="42"/>
      <c r="CZ158" s="40"/>
      <c r="DA158" s="40"/>
      <c r="DB158" s="43"/>
      <c r="DC158" s="40"/>
      <c r="DD158" s="75" t="s">
        <v>364</v>
      </c>
      <c r="DE158" s="69">
        <v>5590</v>
      </c>
      <c r="DF158" s="40"/>
      <c r="DG158" s="40"/>
      <c r="DH158" s="68">
        <v>0</v>
      </c>
    </row>
    <row r="159" spans="1:112">
      <c r="A159" s="40">
        <v>245</v>
      </c>
      <c r="B159" s="40" t="s">
        <v>210</v>
      </c>
      <c r="C159" s="40">
        <v>5</v>
      </c>
      <c r="D159" s="29" t="s">
        <v>146</v>
      </c>
      <c r="E159" s="30" t="s">
        <v>147</v>
      </c>
      <c r="F159" s="30">
        <v>7</v>
      </c>
      <c r="G159" s="52">
        <v>5.6175039999999994</v>
      </c>
      <c r="H159" s="68">
        <f t="shared" si="2"/>
        <v>0</v>
      </c>
      <c r="I159" s="47">
        <v>5.6175039999999994</v>
      </c>
      <c r="J159" s="43">
        <v>5.62</v>
      </c>
      <c r="K159" s="40"/>
      <c r="L159" s="40"/>
      <c r="M159" s="43"/>
      <c r="N159" s="40"/>
      <c r="O159" s="40"/>
      <c r="P159" s="40"/>
      <c r="Q159" s="42"/>
      <c r="R159" s="40"/>
      <c r="S159" s="40"/>
      <c r="T159" s="43"/>
      <c r="U159" s="40"/>
      <c r="V159" s="40"/>
      <c r="W159" s="42"/>
      <c r="X159" s="40"/>
      <c r="Y159" s="40"/>
      <c r="Z159" s="43"/>
      <c r="AA159" s="40"/>
      <c r="AB159" s="40"/>
      <c r="AC159" s="42"/>
      <c r="AD159" s="40"/>
      <c r="AE159" s="40"/>
      <c r="AF159" s="40"/>
      <c r="AG159" s="43"/>
      <c r="AH159" s="40"/>
      <c r="AI159" s="40"/>
      <c r="AJ159" s="40"/>
      <c r="AK159" s="42"/>
      <c r="AL159" s="40"/>
      <c r="AM159" s="40"/>
      <c r="AN159" s="43"/>
      <c r="AO159" s="40"/>
      <c r="AP159" s="40"/>
      <c r="AQ159" s="42"/>
      <c r="AR159" s="40"/>
      <c r="AS159" s="40"/>
      <c r="AT159" s="43"/>
      <c r="AU159" s="40"/>
      <c r="AV159" s="40"/>
      <c r="AW159" s="42"/>
      <c r="AX159" s="40"/>
      <c r="AY159" s="40"/>
      <c r="AZ159" s="43"/>
      <c r="BA159" s="40"/>
      <c r="BB159" s="40"/>
      <c r="BC159" s="42"/>
      <c r="BD159" s="40"/>
      <c r="BE159" s="40"/>
      <c r="BF159" s="43"/>
      <c r="BG159" s="40"/>
      <c r="BH159" s="40"/>
      <c r="BI159" s="42"/>
      <c r="BJ159" s="40"/>
      <c r="BK159" s="40"/>
      <c r="BL159" s="43"/>
      <c r="BM159" s="40"/>
      <c r="BN159" s="40"/>
      <c r="BO159" s="42"/>
      <c r="BP159" s="40"/>
      <c r="BQ159" s="40"/>
      <c r="BR159" s="43"/>
      <c r="BS159" s="40"/>
      <c r="BT159" s="40"/>
      <c r="BU159" s="42"/>
      <c r="BV159" s="40"/>
      <c r="BW159" s="40"/>
      <c r="BX159" s="43"/>
      <c r="BY159" s="40"/>
      <c r="BZ159" s="40"/>
      <c r="CA159" s="42"/>
      <c r="CB159" s="40"/>
      <c r="CC159" s="75"/>
      <c r="CD159" s="43"/>
      <c r="CE159" s="40"/>
      <c r="CF159" s="40"/>
      <c r="CG159" s="42"/>
      <c r="CH159" s="40"/>
      <c r="CI159" s="40"/>
      <c r="CJ159" s="43"/>
      <c r="CK159" s="40"/>
      <c r="CL159" s="40"/>
      <c r="CM159" s="42"/>
      <c r="CN159" s="40"/>
      <c r="CO159" s="40"/>
      <c r="CP159" s="43"/>
      <c r="CQ159" s="40"/>
      <c r="CR159" s="40"/>
      <c r="CS159" s="42"/>
      <c r="CT159" s="40"/>
      <c r="CU159" s="40"/>
      <c r="CV159" s="43"/>
      <c r="CW159" s="40"/>
      <c r="CX159" s="40"/>
      <c r="CY159" s="42"/>
      <c r="CZ159" s="40"/>
      <c r="DA159" s="40"/>
      <c r="DB159" s="43"/>
      <c r="DC159" s="40"/>
      <c r="DD159" s="75" t="s">
        <v>364</v>
      </c>
      <c r="DE159" s="69">
        <v>5620</v>
      </c>
      <c r="DF159" s="40"/>
      <c r="DG159" s="40"/>
      <c r="DH159" s="68">
        <v>0</v>
      </c>
    </row>
    <row r="160" spans="1:112">
      <c r="A160" s="40">
        <v>247</v>
      </c>
      <c r="B160" s="40" t="s">
        <v>210</v>
      </c>
      <c r="C160" s="40">
        <v>5</v>
      </c>
      <c r="D160" s="29" t="s">
        <v>149</v>
      </c>
      <c r="E160" s="30">
        <v>125</v>
      </c>
      <c r="F160" s="30">
        <v>7</v>
      </c>
      <c r="G160" s="52">
        <v>47.602898000000003</v>
      </c>
      <c r="H160" s="68">
        <f t="shared" si="2"/>
        <v>0</v>
      </c>
      <c r="I160" s="47">
        <v>47.602898000000003</v>
      </c>
      <c r="J160" s="43">
        <v>0</v>
      </c>
      <c r="K160" s="40"/>
      <c r="L160" s="40"/>
      <c r="M160" s="43"/>
      <c r="N160" s="40"/>
      <c r="O160" s="40"/>
      <c r="P160" s="40"/>
      <c r="Q160" s="42"/>
      <c r="R160" s="40"/>
      <c r="S160" s="40"/>
      <c r="T160" s="43"/>
      <c r="U160" s="40"/>
      <c r="V160" s="40"/>
      <c r="W160" s="42"/>
      <c r="X160" s="40"/>
      <c r="Y160" s="40"/>
      <c r="Z160" s="43"/>
      <c r="AA160" s="40"/>
      <c r="AB160" s="40"/>
      <c r="AC160" s="42"/>
      <c r="AD160" s="40"/>
      <c r="AE160" s="40"/>
      <c r="AF160" s="40"/>
      <c r="AG160" s="43"/>
      <c r="AH160" s="40"/>
      <c r="AI160" s="40"/>
      <c r="AJ160" s="40"/>
      <c r="AK160" s="42"/>
      <c r="AL160" s="40"/>
      <c r="AM160" s="40"/>
      <c r="AN160" s="43"/>
      <c r="AO160" s="40"/>
      <c r="AP160" s="40"/>
      <c r="AQ160" s="42"/>
      <c r="AR160" s="40"/>
      <c r="AS160" s="40"/>
      <c r="AT160" s="43"/>
      <c r="AU160" s="40"/>
      <c r="AV160" s="40"/>
      <c r="AW160" s="42"/>
      <c r="AX160" s="40"/>
      <c r="AY160" s="40"/>
      <c r="AZ160" s="43"/>
      <c r="BA160" s="40"/>
      <c r="BB160" s="40"/>
      <c r="BC160" s="42"/>
      <c r="BD160" s="40"/>
      <c r="BE160" s="40"/>
      <c r="BF160" s="43"/>
      <c r="BG160" s="40"/>
      <c r="BH160" s="40"/>
      <c r="BI160" s="42"/>
      <c r="BJ160" s="40"/>
      <c r="BK160" s="40"/>
      <c r="BL160" s="43"/>
      <c r="BM160" s="40"/>
      <c r="BN160" s="40"/>
      <c r="BO160" s="42"/>
      <c r="BP160" s="40"/>
      <c r="BQ160" s="40"/>
      <c r="BR160" s="43"/>
      <c r="BS160" s="40"/>
      <c r="BT160" s="40"/>
      <c r="BU160" s="42"/>
      <c r="BV160" s="40"/>
      <c r="BW160" s="40"/>
      <c r="BX160" s="43"/>
      <c r="BY160" s="40"/>
      <c r="BZ160" s="40"/>
      <c r="CA160" s="42"/>
      <c r="CB160" s="40"/>
      <c r="CC160" s="75"/>
      <c r="CD160" s="43"/>
      <c r="CE160" s="40"/>
      <c r="CF160" s="40"/>
      <c r="CG160" s="42"/>
      <c r="CH160" s="40"/>
      <c r="CI160" s="40"/>
      <c r="CJ160" s="43"/>
      <c r="CK160" s="40"/>
      <c r="CL160" s="40"/>
      <c r="CM160" s="42"/>
      <c r="CN160" s="40"/>
      <c r="CO160" s="40"/>
      <c r="CP160" s="43"/>
      <c r="CQ160" s="40"/>
      <c r="CR160" s="40"/>
      <c r="CS160" s="42"/>
      <c r="CT160" s="40"/>
      <c r="CU160" s="40"/>
      <c r="CV160" s="43"/>
      <c r="CW160" s="40"/>
      <c r="CX160" s="40"/>
      <c r="CY160" s="42"/>
      <c r="CZ160" s="40"/>
      <c r="DA160" s="40"/>
      <c r="DB160" s="43"/>
      <c r="DC160" s="40"/>
      <c r="DD160" s="75"/>
      <c r="DE160" s="69">
        <v>0</v>
      </c>
      <c r="DF160" s="40"/>
      <c r="DG160" s="40"/>
      <c r="DH160" s="68">
        <v>0</v>
      </c>
    </row>
    <row r="161" spans="1:112">
      <c r="A161" s="40">
        <v>248</v>
      </c>
      <c r="B161" s="40" t="s">
        <v>210</v>
      </c>
      <c r="C161" s="40">
        <v>5</v>
      </c>
      <c r="D161" s="29" t="s">
        <v>149</v>
      </c>
      <c r="E161" s="30" t="s">
        <v>150</v>
      </c>
      <c r="F161" s="30">
        <v>7</v>
      </c>
      <c r="G161" s="52">
        <v>47.814396000000002</v>
      </c>
      <c r="H161" s="68">
        <f t="shared" si="2"/>
        <v>0</v>
      </c>
      <c r="I161" s="47">
        <v>47.814396000000002</v>
      </c>
      <c r="J161" s="43">
        <v>0</v>
      </c>
      <c r="K161" s="40"/>
      <c r="L161" s="40"/>
      <c r="M161" s="43"/>
      <c r="N161" s="40"/>
      <c r="O161" s="40"/>
      <c r="P161" s="40"/>
      <c r="Q161" s="42"/>
      <c r="R161" s="40"/>
      <c r="S161" s="40"/>
      <c r="T161" s="43"/>
      <c r="U161" s="40"/>
      <c r="V161" s="40"/>
      <c r="W161" s="42"/>
      <c r="X161" s="40"/>
      <c r="Y161" s="40"/>
      <c r="Z161" s="43"/>
      <c r="AA161" s="40"/>
      <c r="AB161" s="40"/>
      <c r="AC161" s="42"/>
      <c r="AD161" s="40"/>
      <c r="AE161" s="40"/>
      <c r="AF161" s="40"/>
      <c r="AG161" s="43"/>
      <c r="AH161" s="40"/>
      <c r="AI161" s="40"/>
      <c r="AJ161" s="40"/>
      <c r="AK161" s="42"/>
      <c r="AL161" s="40"/>
      <c r="AM161" s="40"/>
      <c r="AN161" s="43"/>
      <c r="AO161" s="40"/>
      <c r="AP161" s="40"/>
      <c r="AQ161" s="42"/>
      <c r="AR161" s="40"/>
      <c r="AS161" s="40"/>
      <c r="AT161" s="43"/>
      <c r="AU161" s="40"/>
      <c r="AV161" s="40"/>
      <c r="AW161" s="42"/>
      <c r="AX161" s="40"/>
      <c r="AY161" s="40"/>
      <c r="AZ161" s="43"/>
      <c r="BA161" s="40"/>
      <c r="BB161" s="40"/>
      <c r="BC161" s="42"/>
      <c r="BD161" s="40"/>
      <c r="BE161" s="40"/>
      <c r="BF161" s="43"/>
      <c r="BG161" s="40"/>
      <c r="BH161" s="40"/>
      <c r="BI161" s="42"/>
      <c r="BJ161" s="40"/>
      <c r="BK161" s="40"/>
      <c r="BL161" s="43"/>
      <c r="BM161" s="40"/>
      <c r="BN161" s="40"/>
      <c r="BO161" s="42"/>
      <c r="BP161" s="40"/>
      <c r="BQ161" s="40"/>
      <c r="BR161" s="43"/>
      <c r="BS161" s="40"/>
      <c r="BT161" s="40"/>
      <c r="BU161" s="42"/>
      <c r="BV161" s="40"/>
      <c r="BW161" s="40"/>
      <c r="BX161" s="43"/>
      <c r="BY161" s="40"/>
      <c r="BZ161" s="40"/>
      <c r="CA161" s="42"/>
      <c r="CB161" s="40"/>
      <c r="CC161" s="75"/>
      <c r="CD161" s="43"/>
      <c r="CE161" s="40"/>
      <c r="CF161" s="40"/>
      <c r="CG161" s="42"/>
      <c r="CH161" s="40"/>
      <c r="CI161" s="40"/>
      <c r="CJ161" s="43"/>
      <c r="CK161" s="40"/>
      <c r="CL161" s="40"/>
      <c r="CM161" s="42"/>
      <c r="CN161" s="40"/>
      <c r="CO161" s="40"/>
      <c r="CP161" s="43"/>
      <c r="CQ161" s="40"/>
      <c r="CR161" s="40"/>
      <c r="CS161" s="42"/>
      <c r="CT161" s="40"/>
      <c r="CU161" s="40"/>
      <c r="CV161" s="43"/>
      <c r="CW161" s="40"/>
      <c r="CX161" s="40"/>
      <c r="CY161" s="42"/>
      <c r="CZ161" s="40"/>
      <c r="DA161" s="40"/>
      <c r="DB161" s="43"/>
      <c r="DC161" s="40"/>
      <c r="DD161" s="75"/>
      <c r="DE161" s="69">
        <v>0</v>
      </c>
      <c r="DF161" s="40"/>
      <c r="DG161" s="40"/>
      <c r="DH161" s="68">
        <v>0</v>
      </c>
    </row>
    <row r="162" spans="1:112">
      <c r="A162" s="40">
        <v>249</v>
      </c>
      <c r="B162" s="40" t="s">
        <v>210</v>
      </c>
      <c r="C162" s="40">
        <v>5</v>
      </c>
      <c r="D162" s="29" t="s">
        <v>149</v>
      </c>
      <c r="E162" s="30">
        <v>142</v>
      </c>
      <c r="F162" s="30">
        <v>6</v>
      </c>
      <c r="G162" s="52">
        <v>60.557124000000002</v>
      </c>
      <c r="H162" s="68">
        <f t="shared" si="2"/>
        <v>0</v>
      </c>
      <c r="I162" s="47">
        <v>60.557124000000002</v>
      </c>
      <c r="J162" s="43">
        <v>60.56</v>
      </c>
      <c r="K162" s="40"/>
      <c r="L162" s="40"/>
      <c r="M162" s="43"/>
      <c r="N162" s="40"/>
      <c r="O162" s="40"/>
      <c r="P162" s="40"/>
      <c r="Q162" s="42"/>
      <c r="R162" s="40"/>
      <c r="S162" s="40"/>
      <c r="T162" s="43"/>
      <c r="U162" s="40"/>
      <c r="V162" s="40"/>
      <c r="W162" s="42"/>
      <c r="X162" s="40"/>
      <c r="Y162" s="40"/>
      <c r="Z162" s="43"/>
      <c r="AA162" s="40"/>
      <c r="AB162" s="40"/>
      <c r="AC162" s="42"/>
      <c r="AD162" s="40" t="s">
        <v>406</v>
      </c>
      <c r="AE162" s="40" t="s">
        <v>308</v>
      </c>
      <c r="AF162" s="40">
        <v>75</v>
      </c>
      <c r="AG162" s="43">
        <v>60560</v>
      </c>
      <c r="AH162" s="40"/>
      <c r="AI162" s="40"/>
      <c r="AJ162" s="40"/>
      <c r="AK162" s="42"/>
      <c r="AL162" s="40"/>
      <c r="AM162" s="40"/>
      <c r="AN162" s="43"/>
      <c r="AO162" s="40"/>
      <c r="AP162" s="40"/>
      <c r="AQ162" s="42"/>
      <c r="AR162" s="40"/>
      <c r="AS162" s="40"/>
      <c r="AT162" s="43"/>
      <c r="AU162" s="40"/>
      <c r="AV162" s="40"/>
      <c r="AW162" s="42"/>
      <c r="AX162" s="40"/>
      <c r="AY162" s="40"/>
      <c r="AZ162" s="43"/>
      <c r="BA162" s="40"/>
      <c r="BB162" s="40"/>
      <c r="BC162" s="42"/>
      <c r="BD162" s="40"/>
      <c r="BE162" s="40"/>
      <c r="BF162" s="43"/>
      <c r="BG162" s="40"/>
      <c r="BH162" s="40"/>
      <c r="BI162" s="42"/>
      <c r="BJ162" s="40"/>
      <c r="BK162" s="40"/>
      <c r="BL162" s="43"/>
      <c r="BM162" s="40"/>
      <c r="BN162" s="40"/>
      <c r="BO162" s="42"/>
      <c r="BP162" s="40"/>
      <c r="BQ162" s="40"/>
      <c r="BR162" s="43"/>
      <c r="BS162" s="40"/>
      <c r="BT162" s="40"/>
      <c r="BU162" s="42"/>
      <c r="BV162" s="40"/>
      <c r="BW162" s="40"/>
      <c r="BX162" s="43"/>
      <c r="BY162" s="40"/>
      <c r="BZ162" s="40"/>
      <c r="CA162" s="42"/>
      <c r="CB162" s="40"/>
      <c r="CC162" s="75"/>
      <c r="CD162" s="43"/>
      <c r="CE162" s="40"/>
      <c r="CF162" s="40"/>
      <c r="CG162" s="42"/>
      <c r="CH162" s="40"/>
      <c r="CI162" s="40"/>
      <c r="CJ162" s="43"/>
      <c r="CK162" s="40"/>
      <c r="CL162" s="40"/>
      <c r="CM162" s="42"/>
      <c r="CN162" s="40"/>
      <c r="CO162" s="40"/>
      <c r="CP162" s="43"/>
      <c r="CQ162" s="40"/>
      <c r="CR162" s="40"/>
      <c r="CS162" s="42"/>
      <c r="CT162" s="40"/>
      <c r="CU162" s="40"/>
      <c r="CV162" s="43"/>
      <c r="CW162" s="40"/>
      <c r="CX162" s="40"/>
      <c r="CY162" s="42"/>
      <c r="CZ162" s="40"/>
      <c r="DA162" s="40"/>
      <c r="DB162" s="43"/>
      <c r="DC162" s="40"/>
      <c r="DD162" s="75"/>
      <c r="DE162" s="69">
        <v>0</v>
      </c>
      <c r="DF162" s="40"/>
      <c r="DG162" s="40"/>
      <c r="DH162" s="68">
        <v>0</v>
      </c>
    </row>
    <row r="163" spans="1:112">
      <c r="A163" s="40">
        <v>250</v>
      </c>
      <c r="B163" s="40" t="s">
        <v>210</v>
      </c>
      <c r="C163" s="40">
        <v>5</v>
      </c>
      <c r="D163" s="29" t="s">
        <v>151</v>
      </c>
      <c r="E163" s="30" t="s">
        <v>152</v>
      </c>
      <c r="F163" s="30">
        <v>7</v>
      </c>
      <c r="G163" s="52">
        <v>67.44773600000002</v>
      </c>
      <c r="H163" s="68">
        <f t="shared" si="2"/>
        <v>0</v>
      </c>
      <c r="I163" s="47">
        <v>67.44773600000002</v>
      </c>
      <c r="J163" s="43">
        <v>60</v>
      </c>
      <c r="K163" s="40"/>
      <c r="L163" s="40"/>
      <c r="M163" s="43"/>
      <c r="N163" s="40"/>
      <c r="O163" s="40"/>
      <c r="P163" s="40"/>
      <c r="Q163" s="42"/>
      <c r="R163" s="40"/>
      <c r="S163" s="40"/>
      <c r="T163" s="43"/>
      <c r="U163" s="40"/>
      <c r="V163" s="40"/>
      <c r="W163" s="42"/>
      <c r="X163" s="40"/>
      <c r="Y163" s="40"/>
      <c r="Z163" s="43"/>
      <c r="AA163" s="40"/>
      <c r="AB163" s="40"/>
      <c r="AC163" s="42"/>
      <c r="AD163" s="40" t="s">
        <v>406</v>
      </c>
      <c r="AE163" s="40" t="s">
        <v>308</v>
      </c>
      <c r="AF163" s="40">
        <v>75</v>
      </c>
      <c r="AG163" s="43">
        <v>60000</v>
      </c>
      <c r="AH163" s="40"/>
      <c r="AI163" s="40"/>
      <c r="AJ163" s="40"/>
      <c r="AK163" s="42"/>
      <c r="AL163" s="40"/>
      <c r="AM163" s="40"/>
      <c r="AN163" s="43"/>
      <c r="AO163" s="40"/>
      <c r="AP163" s="40"/>
      <c r="AQ163" s="42"/>
      <c r="AR163" s="40"/>
      <c r="AS163" s="40"/>
      <c r="AT163" s="43"/>
      <c r="AU163" s="40"/>
      <c r="AV163" s="40"/>
      <c r="AW163" s="42"/>
      <c r="AX163" s="40"/>
      <c r="AY163" s="40"/>
      <c r="AZ163" s="43"/>
      <c r="BA163" s="40"/>
      <c r="BB163" s="40"/>
      <c r="BC163" s="42"/>
      <c r="BD163" s="40"/>
      <c r="BE163" s="40"/>
      <c r="BF163" s="43"/>
      <c r="BG163" s="40"/>
      <c r="BH163" s="40"/>
      <c r="BI163" s="42"/>
      <c r="BJ163" s="40"/>
      <c r="BK163" s="40"/>
      <c r="BL163" s="43"/>
      <c r="BM163" s="40"/>
      <c r="BN163" s="40"/>
      <c r="BO163" s="42"/>
      <c r="BP163" s="40"/>
      <c r="BQ163" s="40"/>
      <c r="BR163" s="43"/>
      <c r="BS163" s="40"/>
      <c r="BT163" s="40"/>
      <c r="BU163" s="42"/>
      <c r="BV163" s="40"/>
      <c r="BW163" s="40"/>
      <c r="BX163" s="43"/>
      <c r="BY163" s="40"/>
      <c r="BZ163" s="40"/>
      <c r="CA163" s="42"/>
      <c r="CB163" s="40"/>
      <c r="CC163" s="75"/>
      <c r="CD163" s="43"/>
      <c r="CE163" s="40"/>
      <c r="CF163" s="40"/>
      <c r="CG163" s="42"/>
      <c r="CH163" s="40"/>
      <c r="CI163" s="40"/>
      <c r="CJ163" s="43"/>
      <c r="CK163" s="40"/>
      <c r="CL163" s="40"/>
      <c r="CM163" s="42"/>
      <c r="CN163" s="40"/>
      <c r="CO163" s="40"/>
      <c r="CP163" s="43"/>
      <c r="CQ163" s="40"/>
      <c r="CR163" s="40"/>
      <c r="CS163" s="42"/>
      <c r="CT163" s="40"/>
      <c r="CU163" s="40"/>
      <c r="CV163" s="43"/>
      <c r="CW163" s="40"/>
      <c r="CX163" s="40"/>
      <c r="CY163" s="42"/>
      <c r="CZ163" s="40"/>
      <c r="DA163" s="40"/>
      <c r="DB163" s="43"/>
      <c r="DC163" s="40"/>
      <c r="DD163" s="75"/>
      <c r="DE163" s="69">
        <v>0</v>
      </c>
      <c r="DF163" s="40"/>
      <c r="DG163" s="40"/>
      <c r="DH163" s="68">
        <v>0</v>
      </c>
    </row>
    <row r="164" spans="1:112">
      <c r="A164" s="40">
        <v>257</v>
      </c>
      <c r="B164" s="40" t="s">
        <v>210</v>
      </c>
      <c r="C164" s="40">
        <v>4</v>
      </c>
      <c r="D164" s="29" t="s">
        <v>149</v>
      </c>
      <c r="E164" s="30">
        <v>170</v>
      </c>
      <c r="F164" s="30">
        <v>7</v>
      </c>
      <c r="G164" s="52">
        <v>53.083597999999995</v>
      </c>
      <c r="H164" s="68">
        <f t="shared" si="2"/>
        <v>0</v>
      </c>
      <c r="I164" s="47">
        <v>53.083597999999995</v>
      </c>
      <c r="J164" s="43">
        <v>53.08</v>
      </c>
      <c r="K164" s="40" t="s">
        <v>403</v>
      </c>
      <c r="L164" s="40">
        <v>1</v>
      </c>
      <c r="M164" s="43">
        <v>53080</v>
      </c>
      <c r="N164" s="40"/>
      <c r="O164" s="40"/>
      <c r="P164" s="40"/>
      <c r="Q164" s="42"/>
      <c r="R164" s="40"/>
      <c r="S164" s="40"/>
      <c r="T164" s="43"/>
      <c r="U164" s="40"/>
      <c r="V164" s="40"/>
      <c r="W164" s="42"/>
      <c r="X164" s="40"/>
      <c r="Y164" s="40"/>
      <c r="Z164" s="43"/>
      <c r="AA164" s="40"/>
      <c r="AB164" s="40"/>
      <c r="AC164" s="42"/>
      <c r="AD164" s="40"/>
      <c r="AE164" s="40"/>
      <c r="AF164" s="40"/>
      <c r="AG164" s="43"/>
      <c r="AH164" s="40"/>
      <c r="AI164" s="40"/>
      <c r="AJ164" s="40"/>
      <c r="AK164" s="42"/>
      <c r="AL164" s="40"/>
      <c r="AM164" s="40"/>
      <c r="AN164" s="43"/>
      <c r="AO164" s="40"/>
      <c r="AP164" s="40"/>
      <c r="AQ164" s="42"/>
      <c r="AR164" s="40"/>
      <c r="AS164" s="40"/>
      <c r="AT164" s="43"/>
      <c r="AU164" s="40"/>
      <c r="AV164" s="40"/>
      <c r="AW164" s="42"/>
      <c r="AX164" s="40"/>
      <c r="AY164" s="40"/>
      <c r="AZ164" s="43"/>
      <c r="BA164" s="40"/>
      <c r="BB164" s="40"/>
      <c r="BC164" s="42"/>
      <c r="BD164" s="40"/>
      <c r="BE164" s="40"/>
      <c r="BF164" s="43"/>
      <c r="BG164" s="40"/>
      <c r="BH164" s="40"/>
      <c r="BI164" s="42"/>
      <c r="BJ164" s="40"/>
      <c r="BK164" s="40"/>
      <c r="BL164" s="43"/>
      <c r="BM164" s="40"/>
      <c r="BN164" s="40"/>
      <c r="BO164" s="42"/>
      <c r="BP164" s="40"/>
      <c r="BQ164" s="40"/>
      <c r="BR164" s="43"/>
      <c r="BS164" s="40"/>
      <c r="BT164" s="40"/>
      <c r="BU164" s="42"/>
      <c r="BV164" s="40"/>
      <c r="BW164" s="40"/>
      <c r="BX164" s="43"/>
      <c r="BY164" s="40"/>
      <c r="BZ164" s="40"/>
      <c r="CA164" s="42"/>
      <c r="CB164" s="40"/>
      <c r="CC164" s="75"/>
      <c r="CD164" s="43"/>
      <c r="CE164" s="40"/>
      <c r="CF164" s="40"/>
      <c r="CG164" s="42"/>
      <c r="CH164" s="40"/>
      <c r="CI164" s="40"/>
      <c r="CJ164" s="43"/>
      <c r="CK164" s="40"/>
      <c r="CL164" s="40"/>
      <c r="CM164" s="42"/>
      <c r="CN164" s="40"/>
      <c r="CO164" s="40"/>
      <c r="CP164" s="43"/>
      <c r="CQ164" s="40"/>
      <c r="CR164" s="40"/>
      <c r="CS164" s="42"/>
      <c r="CT164" s="40"/>
      <c r="CU164" s="40"/>
      <c r="CV164" s="43"/>
      <c r="CW164" s="40"/>
      <c r="CX164" s="40"/>
      <c r="CY164" s="42"/>
      <c r="CZ164" s="40"/>
      <c r="DA164" s="40"/>
      <c r="DB164" s="43"/>
      <c r="DC164" s="40"/>
      <c r="DD164" s="75"/>
      <c r="DE164" s="69">
        <v>0</v>
      </c>
      <c r="DF164" s="40"/>
      <c r="DG164" s="40"/>
      <c r="DH164" s="68">
        <v>0</v>
      </c>
    </row>
    <row r="165" spans="1:112">
      <c r="A165" s="40">
        <v>268</v>
      </c>
      <c r="B165" s="40" t="s">
        <v>210</v>
      </c>
      <c r="C165" s="40">
        <v>5</v>
      </c>
      <c r="D165" s="29" t="s">
        <v>159</v>
      </c>
      <c r="E165" s="30">
        <v>34</v>
      </c>
      <c r="F165" s="30">
        <v>6</v>
      </c>
      <c r="G165" s="52">
        <v>41.673256000000009</v>
      </c>
      <c r="H165" s="68">
        <f t="shared" si="2"/>
        <v>0</v>
      </c>
      <c r="I165" s="47">
        <v>41.673256000000009</v>
      </c>
      <c r="J165" s="43">
        <v>41.67</v>
      </c>
      <c r="K165" s="40"/>
      <c r="L165" s="40"/>
      <c r="M165" s="43"/>
      <c r="N165" s="40"/>
      <c r="O165" s="40"/>
      <c r="P165" s="40"/>
      <c r="Q165" s="42"/>
      <c r="R165" s="40"/>
      <c r="S165" s="40"/>
      <c r="T165" s="43"/>
      <c r="U165" s="40"/>
      <c r="V165" s="40"/>
      <c r="W165" s="42"/>
      <c r="X165" s="40"/>
      <c r="Y165" s="40"/>
      <c r="Z165" s="43"/>
      <c r="AA165" s="40"/>
      <c r="AB165" s="40"/>
      <c r="AC165" s="42"/>
      <c r="AD165" s="40" t="s">
        <v>406</v>
      </c>
      <c r="AE165" s="40" t="s">
        <v>308</v>
      </c>
      <c r="AF165" s="40">
        <v>52</v>
      </c>
      <c r="AG165" s="43">
        <v>41670</v>
      </c>
      <c r="AH165" s="40"/>
      <c r="AI165" s="40"/>
      <c r="AJ165" s="40"/>
      <c r="AK165" s="42"/>
      <c r="AL165" s="40"/>
      <c r="AM165" s="40"/>
      <c r="AN165" s="43"/>
      <c r="AO165" s="40"/>
      <c r="AP165" s="40"/>
      <c r="AQ165" s="42"/>
      <c r="AR165" s="40"/>
      <c r="AS165" s="40"/>
      <c r="AT165" s="43"/>
      <c r="AU165" s="40"/>
      <c r="AV165" s="40"/>
      <c r="AW165" s="42"/>
      <c r="AX165" s="40"/>
      <c r="AY165" s="40"/>
      <c r="AZ165" s="43"/>
      <c r="BA165" s="40"/>
      <c r="BB165" s="40"/>
      <c r="BC165" s="42"/>
      <c r="BD165" s="40"/>
      <c r="BE165" s="40"/>
      <c r="BF165" s="43"/>
      <c r="BG165" s="40"/>
      <c r="BH165" s="40"/>
      <c r="BI165" s="42"/>
      <c r="BJ165" s="40"/>
      <c r="BK165" s="40"/>
      <c r="BL165" s="43"/>
      <c r="BM165" s="40"/>
      <c r="BN165" s="40"/>
      <c r="BO165" s="42"/>
      <c r="BP165" s="40"/>
      <c r="BQ165" s="40"/>
      <c r="BR165" s="43"/>
      <c r="BS165" s="40"/>
      <c r="BT165" s="40"/>
      <c r="BU165" s="42"/>
      <c r="BV165" s="40"/>
      <c r="BW165" s="40"/>
      <c r="BX165" s="43"/>
      <c r="BY165" s="40"/>
      <c r="BZ165" s="40"/>
      <c r="CA165" s="42"/>
      <c r="CB165" s="40"/>
      <c r="CC165" s="75"/>
      <c r="CD165" s="43"/>
      <c r="CE165" s="40"/>
      <c r="CF165" s="40"/>
      <c r="CG165" s="42"/>
      <c r="CH165" s="40"/>
      <c r="CI165" s="40"/>
      <c r="CJ165" s="43"/>
      <c r="CK165" s="40"/>
      <c r="CL165" s="40"/>
      <c r="CM165" s="42"/>
      <c r="CN165" s="40"/>
      <c r="CO165" s="40"/>
      <c r="CP165" s="43"/>
      <c r="CQ165" s="40"/>
      <c r="CR165" s="40"/>
      <c r="CS165" s="42"/>
      <c r="CT165" s="40"/>
      <c r="CU165" s="40"/>
      <c r="CV165" s="43"/>
      <c r="CW165" s="40"/>
      <c r="CX165" s="40"/>
      <c r="CY165" s="42"/>
      <c r="CZ165" s="40"/>
      <c r="DA165" s="40"/>
      <c r="DB165" s="43"/>
      <c r="DC165" s="40"/>
      <c r="DD165" s="74"/>
      <c r="DE165" s="69">
        <v>0</v>
      </c>
      <c r="DF165" s="40"/>
      <c r="DG165" s="40"/>
      <c r="DH165" s="68">
        <v>0</v>
      </c>
    </row>
    <row r="166" spans="1:112">
      <c r="A166" s="40">
        <v>269</v>
      </c>
      <c r="B166" s="40" t="s">
        <v>210</v>
      </c>
      <c r="C166" s="40">
        <v>5</v>
      </c>
      <c r="D166" s="29" t="s">
        <v>159</v>
      </c>
      <c r="E166" s="30">
        <v>38</v>
      </c>
      <c r="F166" s="30">
        <v>6</v>
      </c>
      <c r="G166" s="52">
        <v>30.519188000000003</v>
      </c>
      <c r="H166" s="68">
        <f t="shared" si="2"/>
        <v>11.00778</v>
      </c>
      <c r="I166" s="47">
        <v>30.519188000000003</v>
      </c>
      <c r="J166" s="43">
        <v>30.52</v>
      </c>
      <c r="K166" s="40"/>
      <c r="L166" s="40"/>
      <c r="M166" s="43"/>
      <c r="N166" s="40"/>
      <c r="O166" s="40"/>
      <c r="P166" s="40"/>
      <c r="Q166" s="42"/>
      <c r="R166" s="40"/>
      <c r="S166" s="40"/>
      <c r="T166" s="43"/>
      <c r="U166" s="40"/>
      <c r="V166" s="40"/>
      <c r="W166" s="42"/>
      <c r="X166" s="40"/>
      <c r="Y166" s="40"/>
      <c r="Z166" s="43"/>
      <c r="AA166" s="40"/>
      <c r="AB166" s="40"/>
      <c r="AC166" s="42"/>
      <c r="AD166" s="40"/>
      <c r="AE166" s="40"/>
      <c r="AF166" s="40"/>
      <c r="AG166" s="43"/>
      <c r="AH166" s="40"/>
      <c r="AI166" s="40"/>
      <c r="AJ166" s="40"/>
      <c r="AK166" s="42"/>
      <c r="AL166" s="40"/>
      <c r="AM166" s="40"/>
      <c r="AN166" s="43"/>
      <c r="AO166" s="40"/>
      <c r="AP166" s="40"/>
      <c r="AQ166" s="42"/>
      <c r="AR166" s="40"/>
      <c r="AS166" s="40"/>
      <c r="AT166" s="43"/>
      <c r="AU166" s="40"/>
      <c r="AV166" s="40"/>
      <c r="AW166" s="42"/>
      <c r="AX166" s="40" t="s">
        <v>405</v>
      </c>
      <c r="AY166" s="40">
        <v>20</v>
      </c>
      <c r="AZ166" s="43">
        <v>30520</v>
      </c>
      <c r="BA166" s="40"/>
      <c r="BB166" s="40"/>
      <c r="BC166" s="42"/>
      <c r="BD166" s="40"/>
      <c r="BE166" s="40"/>
      <c r="BF166" s="43"/>
      <c r="BG166" s="40"/>
      <c r="BH166" s="40"/>
      <c r="BI166" s="42"/>
      <c r="BJ166" s="40"/>
      <c r="BK166" s="40"/>
      <c r="BL166" s="43"/>
      <c r="BM166" s="40"/>
      <c r="BN166" s="40"/>
      <c r="BO166" s="42"/>
      <c r="BP166" s="40"/>
      <c r="BQ166" s="40"/>
      <c r="BR166" s="43"/>
      <c r="BS166" s="40"/>
      <c r="BT166" s="40"/>
      <c r="BU166" s="42"/>
      <c r="BV166" s="40"/>
      <c r="BW166" s="40"/>
      <c r="BX166" s="43"/>
      <c r="BY166" s="40"/>
      <c r="BZ166" s="40"/>
      <c r="CA166" s="42"/>
      <c r="CB166" s="40"/>
      <c r="CC166" s="75"/>
      <c r="CD166" s="43"/>
      <c r="CE166" s="40"/>
      <c r="CF166" s="40"/>
      <c r="CG166" s="42"/>
      <c r="CH166" s="40"/>
      <c r="CI166" s="40"/>
      <c r="CJ166" s="43"/>
      <c r="CK166" s="40"/>
      <c r="CL166" s="40"/>
      <c r="CM166" s="42"/>
      <c r="CN166" s="40"/>
      <c r="CO166" s="40"/>
      <c r="CP166" s="43"/>
      <c r="CQ166" s="40"/>
      <c r="CR166" s="40"/>
      <c r="CS166" s="42"/>
      <c r="CT166" s="40"/>
      <c r="CU166" s="40"/>
      <c r="CV166" s="43"/>
      <c r="CW166" s="40"/>
      <c r="CX166" s="40"/>
      <c r="CY166" s="42"/>
      <c r="CZ166" s="40"/>
      <c r="DA166" s="40"/>
      <c r="DB166" s="43"/>
      <c r="DC166" s="40"/>
      <c r="DD166" s="74"/>
      <c r="DE166" s="69">
        <v>0</v>
      </c>
      <c r="DF166" s="40" t="s">
        <v>403</v>
      </c>
      <c r="DG166" s="40" t="s">
        <v>483</v>
      </c>
      <c r="DH166" s="68">
        <v>11007.78</v>
      </c>
    </row>
    <row r="167" spans="1:112">
      <c r="A167" s="40">
        <v>270</v>
      </c>
      <c r="B167" s="40" t="s">
        <v>210</v>
      </c>
      <c r="C167" s="40">
        <v>5</v>
      </c>
      <c r="D167" s="29" t="s">
        <v>159</v>
      </c>
      <c r="E167" s="30">
        <v>40</v>
      </c>
      <c r="F167" s="30">
        <v>6</v>
      </c>
      <c r="G167" s="52">
        <v>38.155606000000006</v>
      </c>
      <c r="H167" s="68">
        <f t="shared" si="2"/>
        <v>12.682360000000001</v>
      </c>
      <c r="I167" s="47">
        <v>25.473246000000003</v>
      </c>
      <c r="J167" s="43">
        <v>38.159999999999997</v>
      </c>
      <c r="K167" s="40"/>
      <c r="L167" s="40"/>
      <c r="M167" s="43"/>
      <c r="N167" s="40"/>
      <c r="O167" s="40"/>
      <c r="P167" s="40"/>
      <c r="Q167" s="42"/>
      <c r="R167" s="40"/>
      <c r="S167" s="40"/>
      <c r="T167" s="43"/>
      <c r="U167" s="40"/>
      <c r="V167" s="40"/>
      <c r="W167" s="42"/>
      <c r="X167" s="40"/>
      <c r="Y167" s="40"/>
      <c r="Z167" s="43"/>
      <c r="AA167" s="40"/>
      <c r="AB167" s="40"/>
      <c r="AC167" s="42"/>
      <c r="AD167" s="40"/>
      <c r="AE167" s="40"/>
      <c r="AF167" s="40"/>
      <c r="AG167" s="43"/>
      <c r="AH167" s="40"/>
      <c r="AI167" s="40"/>
      <c r="AJ167" s="40"/>
      <c r="AK167" s="42"/>
      <c r="AL167" s="40"/>
      <c r="AM167" s="40"/>
      <c r="AN167" s="43"/>
      <c r="AO167" s="40"/>
      <c r="AP167" s="40"/>
      <c r="AQ167" s="42"/>
      <c r="AR167" s="40"/>
      <c r="AS167" s="40"/>
      <c r="AT167" s="43"/>
      <c r="AU167" s="40"/>
      <c r="AV167" s="40"/>
      <c r="AW167" s="42"/>
      <c r="AX167" s="40"/>
      <c r="AY167" s="40"/>
      <c r="AZ167" s="43"/>
      <c r="BA167" s="40"/>
      <c r="BB167" s="40"/>
      <c r="BC167" s="42"/>
      <c r="BD167" s="40"/>
      <c r="BE167" s="40"/>
      <c r="BF167" s="43"/>
      <c r="BG167" s="40"/>
      <c r="BH167" s="40"/>
      <c r="BI167" s="42"/>
      <c r="BJ167" s="40"/>
      <c r="BK167" s="40"/>
      <c r="BL167" s="43"/>
      <c r="BM167" s="40"/>
      <c r="BN167" s="40"/>
      <c r="BO167" s="42"/>
      <c r="BP167" s="40"/>
      <c r="BQ167" s="40"/>
      <c r="BR167" s="43"/>
      <c r="BS167" s="40"/>
      <c r="BT167" s="40"/>
      <c r="BU167" s="42"/>
      <c r="BV167" s="40"/>
      <c r="BW167" s="40"/>
      <c r="BX167" s="43"/>
      <c r="BY167" s="40"/>
      <c r="BZ167" s="40"/>
      <c r="CA167" s="42"/>
      <c r="CB167" s="40" t="s">
        <v>410</v>
      </c>
      <c r="CC167" s="75" t="s">
        <v>326</v>
      </c>
      <c r="CD167" s="43">
        <v>31160</v>
      </c>
      <c r="CE167" s="40"/>
      <c r="CF167" s="40"/>
      <c r="CG167" s="42"/>
      <c r="CH167" s="40"/>
      <c r="CI167" s="40"/>
      <c r="CJ167" s="43"/>
      <c r="CK167" s="40"/>
      <c r="CL167" s="40"/>
      <c r="CM167" s="42"/>
      <c r="CN167" s="40"/>
      <c r="CO167" s="40"/>
      <c r="CP167" s="43"/>
      <c r="CQ167" s="40"/>
      <c r="CR167" s="40"/>
      <c r="CS167" s="42"/>
      <c r="CT167" s="40"/>
      <c r="CU167" s="40"/>
      <c r="CV167" s="43"/>
      <c r="CW167" s="40"/>
      <c r="CX167" s="40"/>
      <c r="CY167" s="42"/>
      <c r="CZ167" s="40"/>
      <c r="DA167" s="40"/>
      <c r="DB167" s="43"/>
      <c r="DC167" s="40" t="s">
        <v>323</v>
      </c>
      <c r="DD167" s="74" t="s">
        <v>325</v>
      </c>
      <c r="DE167" s="69">
        <v>7000</v>
      </c>
      <c r="DF167" s="40" t="s">
        <v>409</v>
      </c>
      <c r="DG167" s="40" t="s">
        <v>359</v>
      </c>
      <c r="DH167" s="68">
        <v>12682.36</v>
      </c>
    </row>
    <row r="168" spans="1:112">
      <c r="A168" s="40">
        <v>274</v>
      </c>
      <c r="B168" s="40" t="s">
        <v>210</v>
      </c>
      <c r="C168" s="40">
        <v>4</v>
      </c>
      <c r="D168" s="29" t="s">
        <v>164</v>
      </c>
      <c r="E168" s="30">
        <v>152</v>
      </c>
      <c r="F168" s="30">
        <v>6</v>
      </c>
      <c r="G168" s="52">
        <v>32.741946000000006</v>
      </c>
      <c r="H168" s="68">
        <f t="shared" si="2"/>
        <v>0</v>
      </c>
      <c r="I168" s="47">
        <v>32.741946000000006</v>
      </c>
      <c r="J168" s="43">
        <v>32.74</v>
      </c>
      <c r="K168" s="40"/>
      <c r="L168" s="40"/>
      <c r="M168" s="43"/>
      <c r="N168" s="40"/>
      <c r="O168" s="40"/>
      <c r="P168" s="40"/>
      <c r="Q168" s="42"/>
      <c r="R168" s="40"/>
      <c r="S168" s="40"/>
      <c r="T168" s="43"/>
      <c r="U168" s="40"/>
      <c r="V168" s="40"/>
      <c r="W168" s="42"/>
      <c r="X168" s="40"/>
      <c r="Y168" s="40"/>
      <c r="Z168" s="43"/>
      <c r="AA168" s="40"/>
      <c r="AB168" s="40"/>
      <c r="AC168" s="42"/>
      <c r="AD168" s="40"/>
      <c r="AE168" s="40"/>
      <c r="AF168" s="40"/>
      <c r="AG168" s="43"/>
      <c r="AH168" s="40"/>
      <c r="AI168" s="40"/>
      <c r="AJ168" s="40"/>
      <c r="AK168" s="42"/>
      <c r="AL168" s="40"/>
      <c r="AM168" s="40"/>
      <c r="AN168" s="43"/>
      <c r="AO168" s="40"/>
      <c r="AP168" s="40"/>
      <c r="AQ168" s="42"/>
      <c r="AR168" s="40"/>
      <c r="AS168" s="40"/>
      <c r="AT168" s="43"/>
      <c r="AU168" s="40"/>
      <c r="AV168" s="40"/>
      <c r="AW168" s="42"/>
      <c r="AX168" s="40"/>
      <c r="AY168" s="40"/>
      <c r="AZ168" s="43"/>
      <c r="BA168" s="40"/>
      <c r="BB168" s="40"/>
      <c r="BC168" s="42"/>
      <c r="BD168" s="40"/>
      <c r="BE168" s="40"/>
      <c r="BF168" s="43"/>
      <c r="BG168" s="40"/>
      <c r="BH168" s="40"/>
      <c r="BI168" s="42"/>
      <c r="BJ168" s="40"/>
      <c r="BK168" s="40"/>
      <c r="BL168" s="43"/>
      <c r="BM168" s="40"/>
      <c r="BN168" s="40"/>
      <c r="BO168" s="42"/>
      <c r="BP168" s="40"/>
      <c r="BQ168" s="40"/>
      <c r="BR168" s="43"/>
      <c r="BS168" s="40"/>
      <c r="BT168" s="40"/>
      <c r="BU168" s="42"/>
      <c r="BV168" s="40"/>
      <c r="BW168" s="40"/>
      <c r="BX168" s="43"/>
      <c r="BY168" s="40"/>
      <c r="BZ168" s="40"/>
      <c r="CA168" s="42"/>
      <c r="CB168" s="40"/>
      <c r="CC168" s="75"/>
      <c r="CD168" s="43"/>
      <c r="CE168" s="40"/>
      <c r="CF168" s="40"/>
      <c r="CG168" s="42"/>
      <c r="CH168" s="40"/>
      <c r="CI168" s="40"/>
      <c r="CJ168" s="43"/>
      <c r="CK168" s="40"/>
      <c r="CL168" s="40"/>
      <c r="CM168" s="42"/>
      <c r="CN168" s="40"/>
      <c r="CO168" s="40"/>
      <c r="CP168" s="43"/>
      <c r="CQ168" s="40"/>
      <c r="CR168" s="40"/>
      <c r="CS168" s="42"/>
      <c r="CT168" s="40"/>
      <c r="CU168" s="40"/>
      <c r="CV168" s="43"/>
      <c r="CW168" s="40"/>
      <c r="CX168" s="40"/>
      <c r="CY168" s="42"/>
      <c r="CZ168" s="40"/>
      <c r="DA168" s="40"/>
      <c r="DB168" s="43"/>
      <c r="DC168" s="40"/>
      <c r="DD168" s="74" t="s">
        <v>364</v>
      </c>
      <c r="DE168" s="69">
        <v>32740</v>
      </c>
      <c r="DF168" s="40"/>
      <c r="DG168" s="40"/>
      <c r="DH168" s="68">
        <v>0</v>
      </c>
    </row>
    <row r="169" spans="1:112">
      <c r="A169" s="40">
        <v>275</v>
      </c>
      <c r="B169" s="40" t="s">
        <v>210</v>
      </c>
      <c r="C169" s="40">
        <v>4</v>
      </c>
      <c r="D169" s="29" t="s">
        <v>164</v>
      </c>
      <c r="E169" s="30">
        <v>158</v>
      </c>
      <c r="F169" s="30">
        <v>6</v>
      </c>
      <c r="G169" s="52">
        <v>39.461116000000004</v>
      </c>
      <c r="H169" s="68">
        <f t="shared" si="2"/>
        <v>0</v>
      </c>
      <c r="I169" s="47">
        <v>39.461116000000004</v>
      </c>
      <c r="J169" s="43">
        <v>39.46</v>
      </c>
      <c r="K169" s="40"/>
      <c r="L169" s="40"/>
      <c r="M169" s="43"/>
      <c r="N169" s="40"/>
      <c r="O169" s="40"/>
      <c r="P169" s="40"/>
      <c r="Q169" s="42"/>
      <c r="R169" s="40"/>
      <c r="S169" s="40"/>
      <c r="T169" s="43"/>
      <c r="U169" s="40"/>
      <c r="V169" s="40"/>
      <c r="W169" s="42"/>
      <c r="X169" s="40"/>
      <c r="Y169" s="40"/>
      <c r="Z169" s="43"/>
      <c r="AA169" s="40"/>
      <c r="AB169" s="40"/>
      <c r="AC169" s="42"/>
      <c r="AD169" s="40"/>
      <c r="AE169" s="40"/>
      <c r="AF169" s="40"/>
      <c r="AG169" s="43"/>
      <c r="AH169" s="40"/>
      <c r="AI169" s="40"/>
      <c r="AJ169" s="40"/>
      <c r="AK169" s="42"/>
      <c r="AL169" s="40"/>
      <c r="AM169" s="40"/>
      <c r="AN169" s="43"/>
      <c r="AO169" s="40"/>
      <c r="AP169" s="40"/>
      <c r="AQ169" s="42"/>
      <c r="AR169" s="40"/>
      <c r="AS169" s="40"/>
      <c r="AT169" s="43"/>
      <c r="AU169" s="40"/>
      <c r="AV169" s="40"/>
      <c r="AW169" s="42"/>
      <c r="AX169" s="40"/>
      <c r="AY169" s="40"/>
      <c r="AZ169" s="43"/>
      <c r="BA169" s="40"/>
      <c r="BB169" s="40"/>
      <c r="BC169" s="42"/>
      <c r="BD169" s="40"/>
      <c r="BE169" s="40"/>
      <c r="BF169" s="43"/>
      <c r="BG169" s="40"/>
      <c r="BH169" s="40"/>
      <c r="BI169" s="42"/>
      <c r="BJ169" s="40"/>
      <c r="BK169" s="40"/>
      <c r="BL169" s="43"/>
      <c r="BM169" s="40"/>
      <c r="BN169" s="40"/>
      <c r="BO169" s="42"/>
      <c r="BP169" s="40"/>
      <c r="BQ169" s="40"/>
      <c r="BR169" s="43"/>
      <c r="BS169" s="40"/>
      <c r="BT169" s="40"/>
      <c r="BU169" s="42"/>
      <c r="BV169" s="40"/>
      <c r="BW169" s="40"/>
      <c r="BX169" s="43"/>
      <c r="BY169" s="40"/>
      <c r="BZ169" s="40"/>
      <c r="CA169" s="42"/>
      <c r="CB169" s="40"/>
      <c r="CC169" s="75"/>
      <c r="CD169" s="43"/>
      <c r="CE169" s="40"/>
      <c r="CF169" s="40"/>
      <c r="CG169" s="42"/>
      <c r="CH169" s="40"/>
      <c r="CI169" s="40"/>
      <c r="CJ169" s="43"/>
      <c r="CK169" s="40"/>
      <c r="CL169" s="40"/>
      <c r="CM169" s="42"/>
      <c r="CN169" s="40"/>
      <c r="CO169" s="40"/>
      <c r="CP169" s="43"/>
      <c r="CQ169" s="40"/>
      <c r="CR169" s="40"/>
      <c r="CS169" s="42"/>
      <c r="CT169" s="40"/>
      <c r="CU169" s="40"/>
      <c r="CV169" s="43"/>
      <c r="CW169" s="40"/>
      <c r="CX169" s="40"/>
      <c r="CY169" s="42"/>
      <c r="CZ169" s="40"/>
      <c r="DA169" s="40"/>
      <c r="DB169" s="43"/>
      <c r="DC169" s="40"/>
      <c r="DD169" s="74" t="s">
        <v>364</v>
      </c>
      <c r="DE169" s="69">
        <v>39460</v>
      </c>
      <c r="DF169" s="40"/>
      <c r="DG169" s="40"/>
      <c r="DH169" s="68">
        <v>0</v>
      </c>
    </row>
    <row r="170" spans="1:112">
      <c r="A170" s="40">
        <v>277</v>
      </c>
      <c r="B170" s="40" t="s">
        <v>210</v>
      </c>
      <c r="C170" s="40">
        <v>4</v>
      </c>
      <c r="D170" s="29" t="s">
        <v>165</v>
      </c>
      <c r="E170" s="30">
        <v>35</v>
      </c>
      <c r="F170" s="30">
        <v>7</v>
      </c>
      <c r="G170" s="52">
        <v>20.388576</v>
      </c>
      <c r="H170" s="68">
        <f t="shared" si="2"/>
        <v>0</v>
      </c>
      <c r="I170" s="47">
        <v>20.388576</v>
      </c>
      <c r="J170" s="43">
        <v>0</v>
      </c>
      <c r="K170" s="40"/>
      <c r="L170" s="40"/>
      <c r="M170" s="43"/>
      <c r="N170" s="40"/>
      <c r="O170" s="40"/>
      <c r="P170" s="40"/>
      <c r="Q170" s="42"/>
      <c r="R170" s="40"/>
      <c r="S170" s="40"/>
      <c r="T170" s="43"/>
      <c r="U170" s="40"/>
      <c r="V170" s="40"/>
      <c r="W170" s="42"/>
      <c r="X170" s="40"/>
      <c r="Y170" s="40"/>
      <c r="Z170" s="43"/>
      <c r="AA170" s="40"/>
      <c r="AB170" s="40"/>
      <c r="AC170" s="42"/>
      <c r="AD170" s="40"/>
      <c r="AE170" s="40"/>
      <c r="AF170" s="40"/>
      <c r="AG170" s="43"/>
      <c r="AH170" s="40"/>
      <c r="AI170" s="40"/>
      <c r="AJ170" s="40"/>
      <c r="AK170" s="42"/>
      <c r="AL170" s="40"/>
      <c r="AM170" s="40"/>
      <c r="AN170" s="43"/>
      <c r="AO170" s="40"/>
      <c r="AP170" s="40"/>
      <c r="AQ170" s="42"/>
      <c r="AR170" s="40"/>
      <c r="AS170" s="40"/>
      <c r="AT170" s="43"/>
      <c r="AU170" s="40"/>
      <c r="AV170" s="40"/>
      <c r="AW170" s="42"/>
      <c r="AX170" s="40"/>
      <c r="AY170" s="40"/>
      <c r="AZ170" s="43"/>
      <c r="BA170" s="40"/>
      <c r="BB170" s="40"/>
      <c r="BC170" s="42"/>
      <c r="BD170" s="40"/>
      <c r="BE170" s="40"/>
      <c r="BF170" s="43"/>
      <c r="BG170" s="40"/>
      <c r="BH170" s="40"/>
      <c r="BI170" s="42"/>
      <c r="BJ170" s="40"/>
      <c r="BK170" s="40"/>
      <c r="BL170" s="43"/>
      <c r="BM170" s="40"/>
      <c r="BN170" s="40"/>
      <c r="BO170" s="42"/>
      <c r="BP170" s="40"/>
      <c r="BQ170" s="40"/>
      <c r="BR170" s="43"/>
      <c r="BS170" s="40"/>
      <c r="BT170" s="40"/>
      <c r="BU170" s="42"/>
      <c r="BV170" s="40"/>
      <c r="BW170" s="40"/>
      <c r="BX170" s="43"/>
      <c r="BY170" s="40"/>
      <c r="BZ170" s="40"/>
      <c r="CA170" s="42"/>
      <c r="CB170" s="40"/>
      <c r="CC170" s="75"/>
      <c r="CD170" s="43"/>
      <c r="CE170" s="40"/>
      <c r="CF170" s="40"/>
      <c r="CG170" s="42"/>
      <c r="CH170" s="40"/>
      <c r="CI170" s="40"/>
      <c r="CJ170" s="43"/>
      <c r="CK170" s="40"/>
      <c r="CL170" s="40"/>
      <c r="CM170" s="42"/>
      <c r="CN170" s="40"/>
      <c r="CO170" s="40"/>
      <c r="CP170" s="43"/>
      <c r="CQ170" s="40"/>
      <c r="CR170" s="40"/>
      <c r="CS170" s="42"/>
      <c r="CT170" s="40"/>
      <c r="CU170" s="40"/>
      <c r="CV170" s="43"/>
      <c r="CW170" s="40"/>
      <c r="CX170" s="40"/>
      <c r="CY170" s="42"/>
      <c r="CZ170" s="40"/>
      <c r="DA170" s="40"/>
      <c r="DB170" s="43"/>
      <c r="DC170" s="40"/>
      <c r="DD170" s="75"/>
      <c r="DE170" s="69">
        <v>0</v>
      </c>
      <c r="DF170" s="40"/>
      <c r="DG170" s="40"/>
      <c r="DH170" s="68">
        <v>0</v>
      </c>
    </row>
    <row r="171" spans="1:112">
      <c r="A171" s="40">
        <v>279</v>
      </c>
      <c r="B171" s="40" t="s">
        <v>210</v>
      </c>
      <c r="C171" s="40">
        <v>4</v>
      </c>
      <c r="D171" s="29" t="s">
        <v>165</v>
      </c>
      <c r="E171" s="30" t="s">
        <v>166</v>
      </c>
      <c r="F171" s="30">
        <v>6</v>
      </c>
      <c r="G171" s="52">
        <v>34.785050800000008</v>
      </c>
      <c r="H171" s="68">
        <f t="shared" si="2"/>
        <v>0</v>
      </c>
      <c r="I171" s="47">
        <v>34.785050800000008</v>
      </c>
      <c r="J171" s="43">
        <v>33.799999999999997</v>
      </c>
      <c r="K171" s="40"/>
      <c r="L171" s="40"/>
      <c r="M171" s="43"/>
      <c r="N171" s="40"/>
      <c r="O171" s="40"/>
      <c r="P171" s="40"/>
      <c r="Q171" s="42"/>
      <c r="R171" s="40"/>
      <c r="S171" s="40"/>
      <c r="T171" s="43"/>
      <c r="U171" s="40"/>
      <c r="V171" s="40"/>
      <c r="W171" s="42"/>
      <c r="X171" s="40"/>
      <c r="Y171" s="40"/>
      <c r="Z171" s="43"/>
      <c r="AA171" s="40"/>
      <c r="AB171" s="40"/>
      <c r="AC171" s="42"/>
      <c r="AD171" s="40"/>
      <c r="AE171" s="40"/>
      <c r="AF171" s="40"/>
      <c r="AG171" s="43"/>
      <c r="AH171" s="40"/>
      <c r="AI171" s="40"/>
      <c r="AJ171" s="40"/>
      <c r="AK171" s="42"/>
      <c r="AL171" s="40" t="s">
        <v>402</v>
      </c>
      <c r="AM171" s="40">
        <v>26</v>
      </c>
      <c r="AN171" s="43">
        <v>33800</v>
      </c>
      <c r="AO171" s="40"/>
      <c r="AP171" s="40"/>
      <c r="AQ171" s="42"/>
      <c r="AR171" s="40"/>
      <c r="AS171" s="40"/>
      <c r="AT171" s="43"/>
      <c r="AU171" s="40"/>
      <c r="AV171" s="40"/>
      <c r="AW171" s="42"/>
      <c r="AX171" s="40"/>
      <c r="AY171" s="40"/>
      <c r="AZ171" s="43"/>
      <c r="BA171" s="40"/>
      <c r="BB171" s="40"/>
      <c r="BC171" s="42"/>
      <c r="BD171" s="40"/>
      <c r="BE171" s="40"/>
      <c r="BF171" s="43"/>
      <c r="BG171" s="40"/>
      <c r="BH171" s="40"/>
      <c r="BI171" s="42"/>
      <c r="BJ171" s="40"/>
      <c r="BK171" s="40"/>
      <c r="BL171" s="43"/>
      <c r="BM171" s="40"/>
      <c r="BN171" s="40"/>
      <c r="BO171" s="42"/>
      <c r="BP171" s="40"/>
      <c r="BQ171" s="40"/>
      <c r="BR171" s="43"/>
      <c r="BS171" s="40"/>
      <c r="BT171" s="40"/>
      <c r="BU171" s="42"/>
      <c r="BV171" s="40"/>
      <c r="BW171" s="40"/>
      <c r="BX171" s="43"/>
      <c r="BY171" s="40"/>
      <c r="BZ171" s="40"/>
      <c r="CA171" s="42"/>
      <c r="CB171" s="40"/>
      <c r="CC171" s="75"/>
      <c r="CD171" s="43"/>
      <c r="CE171" s="40"/>
      <c r="CF171" s="40"/>
      <c r="CG171" s="42"/>
      <c r="CH171" s="40"/>
      <c r="CI171" s="40"/>
      <c r="CJ171" s="43"/>
      <c r="CK171" s="40"/>
      <c r="CL171" s="40"/>
      <c r="CM171" s="42"/>
      <c r="CN171" s="40"/>
      <c r="CO171" s="40"/>
      <c r="CP171" s="43"/>
      <c r="CQ171" s="40"/>
      <c r="CR171" s="40"/>
      <c r="CS171" s="42"/>
      <c r="CT171" s="40"/>
      <c r="CU171" s="40"/>
      <c r="CV171" s="43"/>
      <c r="CW171" s="40"/>
      <c r="CX171" s="40"/>
      <c r="CY171" s="42"/>
      <c r="CZ171" s="40"/>
      <c r="DA171" s="40"/>
      <c r="DB171" s="43"/>
      <c r="DC171" s="40"/>
      <c r="DD171" s="75"/>
      <c r="DE171" s="69">
        <v>0</v>
      </c>
      <c r="DF171" s="40"/>
      <c r="DG171" s="40"/>
      <c r="DH171" s="68">
        <v>0</v>
      </c>
    </row>
    <row r="172" spans="1:112">
      <c r="A172" s="40">
        <v>282</v>
      </c>
      <c r="B172" s="40" t="s">
        <v>210</v>
      </c>
      <c r="C172" s="40">
        <v>4</v>
      </c>
      <c r="D172" s="29" t="s">
        <v>167</v>
      </c>
      <c r="E172" s="30" t="s">
        <v>168</v>
      </c>
      <c r="F172" s="30">
        <v>7</v>
      </c>
      <c r="G172" s="52">
        <v>36.435602000000003</v>
      </c>
      <c r="H172" s="68">
        <f t="shared" si="2"/>
        <v>0</v>
      </c>
      <c r="I172" s="47">
        <v>36.435602000000003</v>
      </c>
      <c r="J172" s="43">
        <v>36.44</v>
      </c>
      <c r="K172" s="40"/>
      <c r="L172" s="40"/>
      <c r="M172" s="43"/>
      <c r="N172" s="40"/>
      <c r="O172" s="40"/>
      <c r="P172" s="40"/>
      <c r="Q172" s="42"/>
      <c r="R172" s="40"/>
      <c r="S172" s="40"/>
      <c r="T172" s="43"/>
      <c r="U172" s="40"/>
      <c r="V172" s="40"/>
      <c r="W172" s="42"/>
      <c r="X172" s="40"/>
      <c r="Y172" s="40"/>
      <c r="Z172" s="43"/>
      <c r="AA172" s="40"/>
      <c r="AB172" s="40"/>
      <c r="AC172" s="42"/>
      <c r="AD172" s="40"/>
      <c r="AE172" s="40"/>
      <c r="AF172" s="40"/>
      <c r="AG172" s="43"/>
      <c r="AH172" s="40"/>
      <c r="AI172" s="40"/>
      <c r="AJ172" s="40"/>
      <c r="AK172" s="42"/>
      <c r="AL172" s="40"/>
      <c r="AM172" s="40"/>
      <c r="AN172" s="43"/>
      <c r="AO172" s="40"/>
      <c r="AP172" s="40"/>
      <c r="AQ172" s="42"/>
      <c r="AR172" s="40"/>
      <c r="AS172" s="40"/>
      <c r="AT172" s="43"/>
      <c r="AU172" s="40"/>
      <c r="AV172" s="40"/>
      <c r="AW172" s="42"/>
      <c r="AX172" s="40"/>
      <c r="AY172" s="40"/>
      <c r="AZ172" s="43"/>
      <c r="BA172" s="40"/>
      <c r="BB172" s="40"/>
      <c r="BC172" s="42"/>
      <c r="BD172" s="40"/>
      <c r="BE172" s="40"/>
      <c r="BF172" s="43"/>
      <c r="BG172" s="40"/>
      <c r="BH172" s="40"/>
      <c r="BI172" s="42"/>
      <c r="BJ172" s="40"/>
      <c r="BK172" s="40"/>
      <c r="BL172" s="43"/>
      <c r="BM172" s="40"/>
      <c r="BN172" s="40"/>
      <c r="BO172" s="42"/>
      <c r="BP172" s="40"/>
      <c r="BQ172" s="40"/>
      <c r="BR172" s="43"/>
      <c r="BS172" s="40"/>
      <c r="BT172" s="40"/>
      <c r="BU172" s="42"/>
      <c r="BV172" s="40"/>
      <c r="BW172" s="40"/>
      <c r="BX172" s="43"/>
      <c r="BY172" s="40"/>
      <c r="BZ172" s="40"/>
      <c r="CA172" s="42"/>
      <c r="CB172" s="40"/>
      <c r="CC172" s="75"/>
      <c r="CD172" s="43"/>
      <c r="CE172" s="40"/>
      <c r="CF172" s="40"/>
      <c r="CG172" s="42"/>
      <c r="CH172" s="40"/>
      <c r="CI172" s="40"/>
      <c r="CJ172" s="43"/>
      <c r="CK172" s="40"/>
      <c r="CL172" s="40"/>
      <c r="CM172" s="42"/>
      <c r="CN172" s="40"/>
      <c r="CO172" s="40"/>
      <c r="CP172" s="43"/>
      <c r="CQ172" s="40"/>
      <c r="CR172" s="40"/>
      <c r="CS172" s="42"/>
      <c r="CT172" s="40"/>
      <c r="CU172" s="40"/>
      <c r="CV172" s="43"/>
      <c r="CW172" s="40"/>
      <c r="CX172" s="40"/>
      <c r="CY172" s="42"/>
      <c r="CZ172" s="40"/>
      <c r="DA172" s="40"/>
      <c r="DB172" s="43"/>
      <c r="DC172" s="40"/>
      <c r="DD172" s="75" t="s">
        <v>311</v>
      </c>
      <c r="DE172" s="69">
        <v>36440</v>
      </c>
      <c r="DF172" s="40"/>
      <c r="DG172" s="40"/>
      <c r="DH172" s="68">
        <v>0</v>
      </c>
    </row>
    <row r="173" spans="1:112">
      <c r="A173" s="40">
        <v>283</v>
      </c>
      <c r="B173" s="40" t="s">
        <v>210</v>
      </c>
      <c r="C173" s="40">
        <v>4</v>
      </c>
      <c r="D173" s="29" t="s">
        <v>165</v>
      </c>
      <c r="E173" s="30">
        <v>50</v>
      </c>
      <c r="F173" s="30">
        <v>7</v>
      </c>
      <c r="G173" s="52">
        <v>36.76296</v>
      </c>
      <c r="H173" s="68">
        <f t="shared" si="2"/>
        <v>0</v>
      </c>
      <c r="I173" s="47">
        <v>36.76296</v>
      </c>
      <c r="J173" s="43">
        <v>0</v>
      </c>
      <c r="K173" s="40"/>
      <c r="L173" s="40"/>
      <c r="M173" s="43"/>
      <c r="N173" s="40"/>
      <c r="O173" s="40"/>
      <c r="P173" s="40"/>
      <c r="Q173" s="42"/>
      <c r="R173" s="40"/>
      <c r="S173" s="40"/>
      <c r="T173" s="43"/>
      <c r="U173" s="40"/>
      <c r="V173" s="40"/>
      <c r="W173" s="42"/>
      <c r="X173" s="40"/>
      <c r="Y173" s="40"/>
      <c r="Z173" s="43"/>
      <c r="AA173" s="40"/>
      <c r="AB173" s="40"/>
      <c r="AC173" s="42"/>
      <c r="AD173" s="40"/>
      <c r="AE173" s="40"/>
      <c r="AF173" s="40"/>
      <c r="AG173" s="43"/>
      <c r="AH173" s="40"/>
      <c r="AI173" s="40"/>
      <c r="AJ173" s="40"/>
      <c r="AK173" s="42"/>
      <c r="AL173" s="40"/>
      <c r="AM173" s="40"/>
      <c r="AN173" s="43"/>
      <c r="AO173" s="40"/>
      <c r="AP173" s="40"/>
      <c r="AQ173" s="42"/>
      <c r="AR173" s="40"/>
      <c r="AS173" s="40"/>
      <c r="AT173" s="43"/>
      <c r="AU173" s="40"/>
      <c r="AV173" s="40"/>
      <c r="AW173" s="42"/>
      <c r="AX173" s="40"/>
      <c r="AY173" s="40"/>
      <c r="AZ173" s="43"/>
      <c r="BA173" s="40"/>
      <c r="BB173" s="40"/>
      <c r="BC173" s="42"/>
      <c r="BD173" s="40"/>
      <c r="BE173" s="40"/>
      <c r="BF173" s="43"/>
      <c r="BG173" s="40"/>
      <c r="BH173" s="40"/>
      <c r="BI173" s="42"/>
      <c r="BJ173" s="40"/>
      <c r="BK173" s="40"/>
      <c r="BL173" s="43"/>
      <c r="BM173" s="40"/>
      <c r="BN173" s="40"/>
      <c r="BO173" s="42"/>
      <c r="BP173" s="40"/>
      <c r="BQ173" s="40"/>
      <c r="BR173" s="43"/>
      <c r="BS173" s="40"/>
      <c r="BT173" s="40"/>
      <c r="BU173" s="42"/>
      <c r="BV173" s="40"/>
      <c r="BW173" s="40"/>
      <c r="BX173" s="43"/>
      <c r="BY173" s="40"/>
      <c r="BZ173" s="40"/>
      <c r="CA173" s="42"/>
      <c r="CB173" s="40"/>
      <c r="CC173" s="75"/>
      <c r="CD173" s="43"/>
      <c r="CE173" s="40"/>
      <c r="CF173" s="40"/>
      <c r="CG173" s="42"/>
      <c r="CH173" s="40"/>
      <c r="CI173" s="40"/>
      <c r="CJ173" s="43"/>
      <c r="CK173" s="40"/>
      <c r="CL173" s="40"/>
      <c r="CM173" s="42"/>
      <c r="CN173" s="40"/>
      <c r="CO173" s="40"/>
      <c r="CP173" s="43"/>
      <c r="CQ173" s="40"/>
      <c r="CR173" s="40"/>
      <c r="CS173" s="42"/>
      <c r="CT173" s="40"/>
      <c r="CU173" s="40"/>
      <c r="CV173" s="43"/>
      <c r="CW173" s="40"/>
      <c r="CX173" s="40"/>
      <c r="CY173" s="42"/>
      <c r="CZ173" s="40"/>
      <c r="DA173" s="40"/>
      <c r="DB173" s="43"/>
      <c r="DC173" s="40"/>
      <c r="DD173" s="75"/>
      <c r="DE173" s="69">
        <v>0</v>
      </c>
      <c r="DF173" s="40"/>
      <c r="DG173" s="40"/>
      <c r="DH173" s="68">
        <v>0</v>
      </c>
    </row>
    <row r="174" spans="1:112">
      <c r="A174" s="40">
        <v>284</v>
      </c>
      <c r="B174" s="40" t="s">
        <v>210</v>
      </c>
      <c r="C174" s="40">
        <v>4</v>
      </c>
      <c r="D174" s="29" t="s">
        <v>165</v>
      </c>
      <c r="E174" s="30">
        <v>52</v>
      </c>
      <c r="F174" s="30">
        <v>7</v>
      </c>
      <c r="G174" s="52">
        <v>23.031902000000002</v>
      </c>
      <c r="H174" s="68">
        <f t="shared" si="2"/>
        <v>0</v>
      </c>
      <c r="I174" s="47">
        <v>23.031902000000002</v>
      </c>
      <c r="J174" s="43">
        <v>23.03</v>
      </c>
      <c r="K174" s="40"/>
      <c r="L174" s="40"/>
      <c r="M174" s="43"/>
      <c r="N174" s="40"/>
      <c r="O174" s="40"/>
      <c r="P174" s="40"/>
      <c r="Q174" s="42"/>
      <c r="R174" s="40"/>
      <c r="S174" s="40"/>
      <c r="T174" s="43"/>
      <c r="U174" s="40"/>
      <c r="V174" s="40"/>
      <c r="W174" s="42"/>
      <c r="X174" s="40"/>
      <c r="Y174" s="40"/>
      <c r="Z174" s="43"/>
      <c r="AA174" s="40"/>
      <c r="AB174" s="40"/>
      <c r="AC174" s="42"/>
      <c r="AD174" s="40" t="s">
        <v>406</v>
      </c>
      <c r="AE174" s="40" t="s">
        <v>308</v>
      </c>
      <c r="AF174" s="40">
        <v>28</v>
      </c>
      <c r="AG174" s="43">
        <v>23030</v>
      </c>
      <c r="AH174" s="40"/>
      <c r="AI174" s="40"/>
      <c r="AJ174" s="40"/>
      <c r="AK174" s="42"/>
      <c r="AL174" s="40"/>
      <c r="AM174" s="40"/>
      <c r="AN174" s="43"/>
      <c r="AO174" s="40"/>
      <c r="AP174" s="40"/>
      <c r="AQ174" s="42"/>
      <c r="AR174" s="40"/>
      <c r="AS174" s="40"/>
      <c r="AT174" s="43"/>
      <c r="AU174" s="40"/>
      <c r="AV174" s="40"/>
      <c r="AW174" s="42"/>
      <c r="AX174" s="40"/>
      <c r="AY174" s="40"/>
      <c r="AZ174" s="43"/>
      <c r="BA174" s="40"/>
      <c r="BB174" s="40"/>
      <c r="BC174" s="42"/>
      <c r="BD174" s="40"/>
      <c r="BE174" s="40"/>
      <c r="BF174" s="43"/>
      <c r="BG174" s="40"/>
      <c r="BH174" s="40"/>
      <c r="BI174" s="42"/>
      <c r="BJ174" s="40"/>
      <c r="BK174" s="40"/>
      <c r="BL174" s="43"/>
      <c r="BM174" s="40"/>
      <c r="BN174" s="40"/>
      <c r="BO174" s="42"/>
      <c r="BP174" s="40"/>
      <c r="BQ174" s="40"/>
      <c r="BR174" s="43"/>
      <c r="BS174" s="40"/>
      <c r="BT174" s="40"/>
      <c r="BU174" s="42"/>
      <c r="BV174" s="40"/>
      <c r="BW174" s="40"/>
      <c r="BX174" s="43"/>
      <c r="BY174" s="40"/>
      <c r="BZ174" s="40"/>
      <c r="CA174" s="42"/>
      <c r="CB174" s="40"/>
      <c r="CC174" s="75"/>
      <c r="CD174" s="43"/>
      <c r="CE174" s="40"/>
      <c r="CF174" s="40"/>
      <c r="CG174" s="42"/>
      <c r="CH174" s="40"/>
      <c r="CI174" s="40"/>
      <c r="CJ174" s="43"/>
      <c r="CK174" s="40"/>
      <c r="CL174" s="40"/>
      <c r="CM174" s="42"/>
      <c r="CN174" s="40"/>
      <c r="CO174" s="40"/>
      <c r="CP174" s="43"/>
      <c r="CQ174" s="40"/>
      <c r="CR174" s="40"/>
      <c r="CS174" s="42"/>
      <c r="CT174" s="40"/>
      <c r="CU174" s="40"/>
      <c r="CV174" s="43"/>
      <c r="CW174" s="40"/>
      <c r="CX174" s="40"/>
      <c r="CY174" s="42"/>
      <c r="CZ174" s="40"/>
      <c r="DA174" s="40"/>
      <c r="DB174" s="43"/>
      <c r="DC174" s="40"/>
      <c r="DD174" s="75"/>
      <c r="DE174" s="69">
        <v>0</v>
      </c>
      <c r="DF174" s="40"/>
      <c r="DG174" s="40"/>
      <c r="DH174" s="68">
        <v>0</v>
      </c>
    </row>
    <row r="175" spans="1:112">
      <c r="A175" s="40">
        <v>285</v>
      </c>
      <c r="B175" s="40" t="s">
        <v>210</v>
      </c>
      <c r="C175" s="40">
        <v>4</v>
      </c>
      <c r="D175" s="29" t="s">
        <v>165</v>
      </c>
      <c r="E175" s="30">
        <v>54</v>
      </c>
      <c r="F175" s="30">
        <v>7</v>
      </c>
      <c r="G175" s="52">
        <v>37.131501999999998</v>
      </c>
      <c r="H175" s="68">
        <f t="shared" si="2"/>
        <v>0</v>
      </c>
      <c r="I175" s="47">
        <v>37.131501999999998</v>
      </c>
      <c r="J175" s="43">
        <v>37.130000000000003</v>
      </c>
      <c r="K175" s="40"/>
      <c r="L175" s="40"/>
      <c r="M175" s="43"/>
      <c r="N175" s="40"/>
      <c r="O175" s="40"/>
      <c r="P175" s="40"/>
      <c r="Q175" s="42"/>
      <c r="R175" s="40"/>
      <c r="S175" s="40"/>
      <c r="T175" s="43"/>
      <c r="U175" s="40"/>
      <c r="V175" s="40"/>
      <c r="W175" s="42"/>
      <c r="X175" s="40"/>
      <c r="Y175" s="40"/>
      <c r="Z175" s="43"/>
      <c r="AA175" s="40"/>
      <c r="AB175" s="40"/>
      <c r="AC175" s="42"/>
      <c r="AD175" s="40"/>
      <c r="AE175" s="40"/>
      <c r="AF175" s="40"/>
      <c r="AG175" s="43"/>
      <c r="AH175" s="40"/>
      <c r="AI175" s="40"/>
      <c r="AJ175" s="40"/>
      <c r="AK175" s="42"/>
      <c r="AL175" s="40"/>
      <c r="AM175" s="40"/>
      <c r="AN175" s="43"/>
      <c r="AO175" s="40"/>
      <c r="AP175" s="40"/>
      <c r="AQ175" s="42"/>
      <c r="AR175" s="40"/>
      <c r="AS175" s="40"/>
      <c r="AT175" s="43"/>
      <c r="AU175" s="40"/>
      <c r="AV175" s="40"/>
      <c r="AW175" s="42"/>
      <c r="AX175" s="40"/>
      <c r="AY175" s="40"/>
      <c r="AZ175" s="43"/>
      <c r="BA175" s="40"/>
      <c r="BB175" s="40"/>
      <c r="BC175" s="42"/>
      <c r="BD175" s="40"/>
      <c r="BE175" s="40"/>
      <c r="BF175" s="43"/>
      <c r="BG175" s="40"/>
      <c r="BH175" s="40"/>
      <c r="BI175" s="42"/>
      <c r="BJ175" s="40"/>
      <c r="BK175" s="40"/>
      <c r="BL175" s="43"/>
      <c r="BM175" s="40"/>
      <c r="BN175" s="40"/>
      <c r="BO175" s="42"/>
      <c r="BP175" s="40"/>
      <c r="BQ175" s="40"/>
      <c r="BR175" s="43"/>
      <c r="BS175" s="40"/>
      <c r="BT175" s="40"/>
      <c r="BU175" s="42"/>
      <c r="BV175" s="40"/>
      <c r="BW175" s="40"/>
      <c r="BX175" s="43"/>
      <c r="BY175" s="40"/>
      <c r="BZ175" s="40"/>
      <c r="CA175" s="42"/>
      <c r="CB175" s="40"/>
      <c r="CC175" s="75"/>
      <c r="CD175" s="43"/>
      <c r="CE175" s="40"/>
      <c r="CF175" s="40"/>
      <c r="CG175" s="42"/>
      <c r="CH175" s="40"/>
      <c r="CI175" s="40"/>
      <c r="CJ175" s="43"/>
      <c r="CK175" s="40"/>
      <c r="CL175" s="40"/>
      <c r="CM175" s="42"/>
      <c r="CN175" s="40"/>
      <c r="CO175" s="40"/>
      <c r="CP175" s="43"/>
      <c r="CQ175" s="40"/>
      <c r="CR175" s="40"/>
      <c r="CS175" s="42"/>
      <c r="CT175" s="40"/>
      <c r="CU175" s="40"/>
      <c r="CV175" s="43"/>
      <c r="CW175" s="40"/>
      <c r="CX175" s="40"/>
      <c r="CY175" s="42"/>
      <c r="CZ175" s="40"/>
      <c r="DA175" s="40"/>
      <c r="DB175" s="43"/>
      <c r="DC175" s="40"/>
      <c r="DD175" s="75" t="s">
        <v>311</v>
      </c>
      <c r="DE175" s="69">
        <v>37130</v>
      </c>
      <c r="DF175" s="40"/>
      <c r="DG175" s="40"/>
      <c r="DH175" s="68">
        <v>0</v>
      </c>
    </row>
    <row r="176" spans="1:112">
      <c r="A176" s="40">
        <v>286</v>
      </c>
      <c r="B176" s="40" t="s">
        <v>210</v>
      </c>
      <c r="C176" s="40">
        <v>4</v>
      </c>
      <c r="D176" s="29" t="s">
        <v>165</v>
      </c>
      <c r="E176" s="30">
        <v>56</v>
      </c>
      <c r="F176" s="30">
        <v>7</v>
      </c>
      <c r="G176" s="52">
        <v>22.557961999999996</v>
      </c>
      <c r="H176" s="68">
        <f t="shared" si="2"/>
        <v>0</v>
      </c>
      <c r="I176" s="47">
        <v>22.557961999999996</v>
      </c>
      <c r="J176" s="43">
        <v>22.56</v>
      </c>
      <c r="K176" s="40"/>
      <c r="L176" s="40"/>
      <c r="M176" s="43"/>
      <c r="N176" s="40"/>
      <c r="O176" s="40"/>
      <c r="P176" s="40"/>
      <c r="Q176" s="42"/>
      <c r="R176" s="40"/>
      <c r="S176" s="40"/>
      <c r="T176" s="43"/>
      <c r="U176" s="40"/>
      <c r="V176" s="40"/>
      <c r="W176" s="42"/>
      <c r="X176" s="40"/>
      <c r="Y176" s="40"/>
      <c r="Z176" s="43"/>
      <c r="AA176" s="40"/>
      <c r="AB176" s="40"/>
      <c r="AC176" s="42"/>
      <c r="AD176" s="40"/>
      <c r="AE176" s="40"/>
      <c r="AF176" s="40"/>
      <c r="AG176" s="43"/>
      <c r="AH176" s="40"/>
      <c r="AI176" s="40"/>
      <c r="AJ176" s="40"/>
      <c r="AK176" s="42"/>
      <c r="AL176" s="40"/>
      <c r="AM176" s="40"/>
      <c r="AN176" s="43"/>
      <c r="AO176" s="40"/>
      <c r="AP176" s="40"/>
      <c r="AQ176" s="42"/>
      <c r="AR176" s="40"/>
      <c r="AS176" s="40"/>
      <c r="AT176" s="43"/>
      <c r="AU176" s="40"/>
      <c r="AV176" s="40"/>
      <c r="AW176" s="42"/>
      <c r="AX176" s="40"/>
      <c r="AY176" s="40"/>
      <c r="AZ176" s="43"/>
      <c r="BA176" s="40"/>
      <c r="BB176" s="40"/>
      <c r="BC176" s="42"/>
      <c r="BD176" s="40"/>
      <c r="BE176" s="40"/>
      <c r="BF176" s="43"/>
      <c r="BG176" s="40"/>
      <c r="BH176" s="40"/>
      <c r="BI176" s="42"/>
      <c r="BJ176" s="40"/>
      <c r="BK176" s="40"/>
      <c r="BL176" s="43"/>
      <c r="BM176" s="40"/>
      <c r="BN176" s="40"/>
      <c r="BO176" s="42"/>
      <c r="BP176" s="40"/>
      <c r="BQ176" s="40"/>
      <c r="BR176" s="43"/>
      <c r="BS176" s="40"/>
      <c r="BT176" s="40"/>
      <c r="BU176" s="42"/>
      <c r="BV176" s="40"/>
      <c r="BW176" s="40"/>
      <c r="BX176" s="43"/>
      <c r="BY176" s="40"/>
      <c r="BZ176" s="40"/>
      <c r="CA176" s="42"/>
      <c r="CB176" s="40"/>
      <c r="CC176" s="75"/>
      <c r="CD176" s="43"/>
      <c r="CE176" s="40"/>
      <c r="CF176" s="40"/>
      <c r="CG176" s="42"/>
      <c r="CH176" s="40"/>
      <c r="CI176" s="40"/>
      <c r="CJ176" s="43"/>
      <c r="CK176" s="40"/>
      <c r="CL176" s="40"/>
      <c r="CM176" s="42"/>
      <c r="CN176" s="40"/>
      <c r="CO176" s="40"/>
      <c r="CP176" s="43"/>
      <c r="CQ176" s="40"/>
      <c r="CR176" s="40"/>
      <c r="CS176" s="42"/>
      <c r="CT176" s="40"/>
      <c r="CU176" s="40"/>
      <c r="CV176" s="43"/>
      <c r="CW176" s="40"/>
      <c r="CX176" s="40"/>
      <c r="CY176" s="42"/>
      <c r="CZ176" s="40"/>
      <c r="DA176" s="40"/>
      <c r="DB176" s="43"/>
      <c r="DC176" s="40"/>
      <c r="DD176" s="75" t="s">
        <v>311</v>
      </c>
      <c r="DE176" s="69">
        <v>22560</v>
      </c>
      <c r="DF176" s="40"/>
      <c r="DG176" s="40"/>
      <c r="DH176" s="68">
        <v>0</v>
      </c>
    </row>
    <row r="177" spans="1:112">
      <c r="A177" s="40">
        <v>287</v>
      </c>
      <c r="B177" s="40" t="s">
        <v>210</v>
      </c>
      <c r="C177" s="40">
        <v>4</v>
      </c>
      <c r="D177" s="29" t="s">
        <v>165</v>
      </c>
      <c r="E177" s="30">
        <v>58</v>
      </c>
      <c r="F177" s="30">
        <v>7</v>
      </c>
      <c r="G177" s="52">
        <v>47.486332000000004</v>
      </c>
      <c r="H177" s="68">
        <f t="shared" si="2"/>
        <v>9.1602300000000003</v>
      </c>
      <c r="I177" s="47">
        <v>47.486332000000004</v>
      </c>
      <c r="J177" s="43">
        <v>47.49</v>
      </c>
      <c r="K177" s="40"/>
      <c r="L177" s="40"/>
      <c r="M177" s="43"/>
      <c r="N177" s="40"/>
      <c r="O177" s="40"/>
      <c r="P177" s="40"/>
      <c r="Q177" s="42"/>
      <c r="R177" s="40"/>
      <c r="S177" s="40"/>
      <c r="T177" s="43"/>
      <c r="U177" s="40"/>
      <c r="V177" s="40"/>
      <c r="W177" s="42"/>
      <c r="X177" s="40"/>
      <c r="Y177" s="40"/>
      <c r="Z177" s="43"/>
      <c r="AA177" s="40"/>
      <c r="AB177" s="40"/>
      <c r="AC177" s="42"/>
      <c r="AD177" s="40" t="s">
        <v>406</v>
      </c>
      <c r="AE177" s="40" t="s">
        <v>308</v>
      </c>
      <c r="AF177" s="40">
        <v>60</v>
      </c>
      <c r="AG177" s="43">
        <v>47490</v>
      </c>
      <c r="AH177" s="40"/>
      <c r="AI177" s="40"/>
      <c r="AJ177" s="40"/>
      <c r="AK177" s="42"/>
      <c r="AL177" s="40"/>
      <c r="AM177" s="40"/>
      <c r="AN177" s="43"/>
      <c r="AO177" s="40"/>
      <c r="AP177" s="40"/>
      <c r="AQ177" s="42"/>
      <c r="AR177" s="40"/>
      <c r="AS177" s="40"/>
      <c r="AT177" s="43"/>
      <c r="AU177" s="40"/>
      <c r="AV177" s="40"/>
      <c r="AW177" s="42"/>
      <c r="AX177" s="40"/>
      <c r="AY177" s="40"/>
      <c r="AZ177" s="43"/>
      <c r="BA177" s="40"/>
      <c r="BB177" s="40"/>
      <c r="BC177" s="42"/>
      <c r="BD177" s="40"/>
      <c r="BE177" s="40"/>
      <c r="BF177" s="43"/>
      <c r="BG177" s="40"/>
      <c r="BH177" s="40"/>
      <c r="BI177" s="42"/>
      <c r="BJ177" s="40"/>
      <c r="BK177" s="40"/>
      <c r="BL177" s="43"/>
      <c r="BM177" s="40"/>
      <c r="BN177" s="40"/>
      <c r="BO177" s="42"/>
      <c r="BP177" s="40"/>
      <c r="BQ177" s="40"/>
      <c r="BR177" s="43"/>
      <c r="BS177" s="40"/>
      <c r="BT177" s="40"/>
      <c r="BU177" s="42"/>
      <c r="BV177" s="40"/>
      <c r="BW177" s="40"/>
      <c r="BX177" s="43"/>
      <c r="BY177" s="40"/>
      <c r="BZ177" s="40"/>
      <c r="CA177" s="42"/>
      <c r="CB177" s="40"/>
      <c r="CC177" s="75"/>
      <c r="CD177" s="43"/>
      <c r="CE177" s="40"/>
      <c r="CF177" s="40"/>
      <c r="CG177" s="42"/>
      <c r="CH177" s="40"/>
      <c r="CI177" s="40"/>
      <c r="CJ177" s="43"/>
      <c r="CK177" s="40"/>
      <c r="CL177" s="40"/>
      <c r="CM177" s="42"/>
      <c r="CN177" s="40"/>
      <c r="CO177" s="40"/>
      <c r="CP177" s="43"/>
      <c r="CQ177" s="40"/>
      <c r="CR177" s="40"/>
      <c r="CS177" s="42"/>
      <c r="CT177" s="40"/>
      <c r="CU177" s="40"/>
      <c r="CV177" s="43"/>
      <c r="CW177" s="40"/>
      <c r="CX177" s="40"/>
      <c r="CY177" s="42"/>
      <c r="CZ177" s="40"/>
      <c r="DA177" s="40"/>
      <c r="DB177" s="43"/>
      <c r="DC177" s="40"/>
      <c r="DD177" s="75"/>
      <c r="DE177" s="69">
        <v>0</v>
      </c>
      <c r="DF177" s="40" t="s">
        <v>402</v>
      </c>
      <c r="DG177" s="40" t="s">
        <v>467</v>
      </c>
      <c r="DH177" s="68">
        <v>9160.23</v>
      </c>
    </row>
    <row r="178" spans="1:112">
      <c r="A178" s="40">
        <v>288</v>
      </c>
      <c r="B178" s="40" t="s">
        <v>210</v>
      </c>
      <c r="C178" s="40">
        <v>4</v>
      </c>
      <c r="D178" s="29" t="s">
        <v>169</v>
      </c>
      <c r="E178" s="30" t="s">
        <v>170</v>
      </c>
      <c r="F178" s="30">
        <v>7</v>
      </c>
      <c r="G178" s="52">
        <v>37.112656000000001</v>
      </c>
      <c r="H178" s="68">
        <f t="shared" si="2"/>
        <v>0</v>
      </c>
      <c r="I178" s="47">
        <v>37.112656000000001</v>
      </c>
      <c r="J178" s="43">
        <v>37.11</v>
      </c>
      <c r="K178" s="40"/>
      <c r="L178" s="40"/>
      <c r="M178" s="43"/>
      <c r="N178" s="40"/>
      <c r="O178" s="40"/>
      <c r="P178" s="40"/>
      <c r="Q178" s="42"/>
      <c r="R178" s="40"/>
      <c r="S178" s="40"/>
      <c r="T178" s="43"/>
      <c r="U178" s="40"/>
      <c r="V178" s="40"/>
      <c r="W178" s="42"/>
      <c r="X178" s="40"/>
      <c r="Y178" s="40"/>
      <c r="Z178" s="43"/>
      <c r="AA178" s="40"/>
      <c r="AB178" s="40"/>
      <c r="AC178" s="42"/>
      <c r="AD178" s="40"/>
      <c r="AE178" s="40"/>
      <c r="AF178" s="40"/>
      <c r="AG178" s="43"/>
      <c r="AH178" s="40"/>
      <c r="AI178" s="40"/>
      <c r="AJ178" s="40"/>
      <c r="AK178" s="42"/>
      <c r="AL178" s="40"/>
      <c r="AM178" s="40"/>
      <c r="AN178" s="43"/>
      <c r="AO178" s="40"/>
      <c r="AP178" s="40"/>
      <c r="AQ178" s="42"/>
      <c r="AR178" s="40"/>
      <c r="AS178" s="40"/>
      <c r="AT178" s="43"/>
      <c r="AU178" s="40"/>
      <c r="AV178" s="40"/>
      <c r="AW178" s="42"/>
      <c r="AX178" s="40"/>
      <c r="AY178" s="40"/>
      <c r="AZ178" s="43"/>
      <c r="BA178" s="40"/>
      <c r="BB178" s="40"/>
      <c r="BC178" s="42"/>
      <c r="BD178" s="40"/>
      <c r="BE178" s="40"/>
      <c r="BF178" s="43"/>
      <c r="BG178" s="40"/>
      <c r="BH178" s="40"/>
      <c r="BI178" s="42"/>
      <c r="BJ178" s="40"/>
      <c r="BK178" s="40"/>
      <c r="BL178" s="43"/>
      <c r="BM178" s="40"/>
      <c r="BN178" s="40"/>
      <c r="BO178" s="42"/>
      <c r="BP178" s="40"/>
      <c r="BQ178" s="40"/>
      <c r="BR178" s="43"/>
      <c r="BS178" s="40"/>
      <c r="BT178" s="40"/>
      <c r="BU178" s="42"/>
      <c r="BV178" s="40" t="s">
        <v>406</v>
      </c>
      <c r="BW178" s="40">
        <v>7</v>
      </c>
      <c r="BX178" s="43">
        <v>37110</v>
      </c>
      <c r="BY178" s="40"/>
      <c r="BZ178" s="40"/>
      <c r="CA178" s="42"/>
      <c r="CB178" s="40"/>
      <c r="CC178" s="75"/>
      <c r="CD178" s="43"/>
      <c r="CE178" s="40"/>
      <c r="CF178" s="40"/>
      <c r="CG178" s="42"/>
      <c r="CH178" s="40"/>
      <c r="CI178" s="40"/>
      <c r="CJ178" s="43"/>
      <c r="CK178" s="40"/>
      <c r="CL178" s="40"/>
      <c r="CM178" s="42"/>
      <c r="CN178" s="40"/>
      <c r="CO178" s="40"/>
      <c r="CP178" s="43"/>
      <c r="CQ178" s="40"/>
      <c r="CR178" s="40"/>
      <c r="CS178" s="42"/>
      <c r="CT178" s="40"/>
      <c r="CU178" s="40"/>
      <c r="CV178" s="43"/>
      <c r="CW178" s="40"/>
      <c r="CX178" s="40"/>
      <c r="CY178" s="42"/>
      <c r="CZ178" s="40"/>
      <c r="DA178" s="40"/>
      <c r="DB178" s="43"/>
      <c r="DC178" s="40"/>
      <c r="DD178" s="75"/>
      <c r="DE178" s="69">
        <v>0</v>
      </c>
      <c r="DF178" s="40"/>
      <c r="DG178" s="40"/>
      <c r="DH178" s="68">
        <v>0</v>
      </c>
    </row>
    <row r="179" spans="1:112">
      <c r="A179" s="40">
        <v>290</v>
      </c>
      <c r="B179" s="40" t="s">
        <v>210</v>
      </c>
      <c r="C179" s="40">
        <v>4</v>
      </c>
      <c r="D179" s="29" t="s">
        <v>165</v>
      </c>
      <c r="E179" s="30">
        <v>64</v>
      </c>
      <c r="F179" s="30">
        <v>6</v>
      </c>
      <c r="G179" s="52">
        <v>67.562939999999998</v>
      </c>
      <c r="H179" s="68">
        <f t="shared" si="2"/>
        <v>0</v>
      </c>
      <c r="I179" s="47">
        <v>67.562939999999998</v>
      </c>
      <c r="J179" s="43">
        <v>50</v>
      </c>
      <c r="K179" s="40" t="s">
        <v>403</v>
      </c>
      <c r="L179" s="40">
        <v>1</v>
      </c>
      <c r="M179" s="43">
        <v>50000</v>
      </c>
      <c r="N179" s="40"/>
      <c r="O179" s="40"/>
      <c r="P179" s="40"/>
      <c r="Q179" s="42"/>
      <c r="R179" s="40"/>
      <c r="S179" s="40"/>
      <c r="T179" s="43"/>
      <c r="U179" s="40"/>
      <c r="V179" s="40"/>
      <c r="W179" s="42"/>
      <c r="X179" s="40"/>
      <c r="Y179" s="40"/>
      <c r="Z179" s="43"/>
      <c r="AA179" s="40"/>
      <c r="AB179" s="40"/>
      <c r="AC179" s="42"/>
      <c r="AD179" s="40"/>
      <c r="AE179" s="40"/>
      <c r="AF179" s="40"/>
      <c r="AG179" s="43"/>
      <c r="AH179" s="40"/>
      <c r="AI179" s="40"/>
      <c r="AJ179" s="40"/>
      <c r="AK179" s="42"/>
      <c r="AL179" s="40"/>
      <c r="AM179" s="40"/>
      <c r="AN179" s="43"/>
      <c r="AO179" s="40"/>
      <c r="AP179" s="40"/>
      <c r="AQ179" s="42"/>
      <c r="AR179" s="40"/>
      <c r="AS179" s="40"/>
      <c r="AT179" s="43"/>
      <c r="AU179" s="40"/>
      <c r="AV179" s="40"/>
      <c r="AW179" s="42"/>
      <c r="AX179" s="40"/>
      <c r="AY179" s="40"/>
      <c r="AZ179" s="43"/>
      <c r="BA179" s="40"/>
      <c r="BB179" s="40"/>
      <c r="BC179" s="42"/>
      <c r="BD179" s="40"/>
      <c r="BE179" s="40"/>
      <c r="BF179" s="43"/>
      <c r="BG179" s="40"/>
      <c r="BH179" s="40"/>
      <c r="BI179" s="42"/>
      <c r="BJ179" s="40"/>
      <c r="BK179" s="40"/>
      <c r="BL179" s="43"/>
      <c r="BM179" s="40"/>
      <c r="BN179" s="40"/>
      <c r="BO179" s="42"/>
      <c r="BP179" s="40"/>
      <c r="BQ179" s="40"/>
      <c r="BR179" s="43"/>
      <c r="BS179" s="40"/>
      <c r="BT179" s="40"/>
      <c r="BU179" s="42"/>
      <c r="BV179" s="40"/>
      <c r="BW179" s="40"/>
      <c r="BX179" s="43"/>
      <c r="BY179" s="40"/>
      <c r="BZ179" s="40"/>
      <c r="CA179" s="42"/>
      <c r="CB179" s="40"/>
      <c r="CC179" s="75"/>
      <c r="CD179" s="43"/>
      <c r="CE179" s="40"/>
      <c r="CF179" s="40"/>
      <c r="CG179" s="42"/>
      <c r="CH179" s="40"/>
      <c r="CI179" s="40"/>
      <c r="CJ179" s="43"/>
      <c r="CK179" s="40"/>
      <c r="CL179" s="40"/>
      <c r="CM179" s="42"/>
      <c r="CN179" s="40"/>
      <c r="CO179" s="40"/>
      <c r="CP179" s="43"/>
      <c r="CQ179" s="40"/>
      <c r="CR179" s="40"/>
      <c r="CS179" s="42"/>
      <c r="CT179" s="40"/>
      <c r="CU179" s="40"/>
      <c r="CV179" s="43"/>
      <c r="CW179" s="40"/>
      <c r="CX179" s="40"/>
      <c r="CY179" s="42"/>
      <c r="CZ179" s="40"/>
      <c r="DA179" s="40"/>
      <c r="DB179" s="43"/>
      <c r="DC179" s="40"/>
      <c r="DD179" s="75"/>
      <c r="DE179" s="69">
        <v>0</v>
      </c>
      <c r="DF179" s="40"/>
      <c r="DG179" s="40"/>
      <c r="DH179" s="68">
        <v>0</v>
      </c>
    </row>
    <row r="180" spans="1:112">
      <c r="A180" s="40">
        <v>291</v>
      </c>
      <c r="B180" s="40" t="s">
        <v>210</v>
      </c>
      <c r="C180" s="40">
        <v>4</v>
      </c>
      <c r="D180" s="29" t="s">
        <v>165</v>
      </c>
      <c r="E180" s="30">
        <v>66</v>
      </c>
      <c r="F180" s="30">
        <v>7</v>
      </c>
      <c r="G180" s="52">
        <v>36.022382</v>
      </c>
      <c r="H180" s="68">
        <f t="shared" si="2"/>
        <v>0</v>
      </c>
      <c r="I180" s="47">
        <v>36.022382</v>
      </c>
      <c r="J180" s="43">
        <v>36</v>
      </c>
      <c r="K180" s="40"/>
      <c r="L180" s="40"/>
      <c r="M180" s="43"/>
      <c r="N180" s="40"/>
      <c r="O180" s="40"/>
      <c r="P180" s="40"/>
      <c r="Q180" s="42"/>
      <c r="R180" s="40"/>
      <c r="S180" s="40"/>
      <c r="T180" s="43"/>
      <c r="U180" s="40"/>
      <c r="V180" s="40"/>
      <c r="W180" s="42"/>
      <c r="X180" s="40"/>
      <c r="Y180" s="40"/>
      <c r="Z180" s="43"/>
      <c r="AA180" s="40"/>
      <c r="AB180" s="40"/>
      <c r="AC180" s="42"/>
      <c r="AD180" s="40"/>
      <c r="AE180" s="40"/>
      <c r="AF180" s="40"/>
      <c r="AG180" s="43"/>
      <c r="AH180" s="40"/>
      <c r="AI180" s="40"/>
      <c r="AJ180" s="40"/>
      <c r="AK180" s="42"/>
      <c r="AL180" s="40"/>
      <c r="AM180" s="40"/>
      <c r="AN180" s="43"/>
      <c r="AO180" s="40"/>
      <c r="AP180" s="40"/>
      <c r="AQ180" s="42"/>
      <c r="AR180" s="40"/>
      <c r="AS180" s="40"/>
      <c r="AT180" s="43"/>
      <c r="AU180" s="40"/>
      <c r="AV180" s="40"/>
      <c r="AW180" s="42"/>
      <c r="AX180" s="40"/>
      <c r="AY180" s="40"/>
      <c r="AZ180" s="43"/>
      <c r="BA180" s="40"/>
      <c r="BB180" s="40"/>
      <c r="BC180" s="42"/>
      <c r="BD180" s="40"/>
      <c r="BE180" s="40"/>
      <c r="BF180" s="43"/>
      <c r="BG180" s="40"/>
      <c r="BH180" s="40"/>
      <c r="BI180" s="42"/>
      <c r="BJ180" s="40"/>
      <c r="BK180" s="40"/>
      <c r="BL180" s="43"/>
      <c r="BM180" s="40"/>
      <c r="BN180" s="40"/>
      <c r="BO180" s="42"/>
      <c r="BP180" s="40"/>
      <c r="BQ180" s="40"/>
      <c r="BR180" s="43"/>
      <c r="BS180" s="40"/>
      <c r="BT180" s="40"/>
      <c r="BU180" s="42"/>
      <c r="BV180" s="40"/>
      <c r="BW180" s="40"/>
      <c r="BX180" s="43"/>
      <c r="BY180" s="40"/>
      <c r="BZ180" s="40"/>
      <c r="CA180" s="42"/>
      <c r="CB180" s="40"/>
      <c r="CC180" s="75"/>
      <c r="CD180" s="43"/>
      <c r="CE180" s="40"/>
      <c r="CF180" s="40"/>
      <c r="CG180" s="42"/>
      <c r="CH180" s="40"/>
      <c r="CI180" s="40"/>
      <c r="CJ180" s="43"/>
      <c r="CK180" s="40"/>
      <c r="CL180" s="40"/>
      <c r="CM180" s="42"/>
      <c r="CN180" s="40"/>
      <c r="CO180" s="40"/>
      <c r="CP180" s="43"/>
      <c r="CQ180" s="40"/>
      <c r="CR180" s="40"/>
      <c r="CS180" s="42"/>
      <c r="CT180" s="40"/>
      <c r="CU180" s="40"/>
      <c r="CV180" s="43"/>
      <c r="CW180" s="40"/>
      <c r="CX180" s="40"/>
      <c r="CY180" s="42"/>
      <c r="CZ180" s="40"/>
      <c r="DA180" s="40"/>
      <c r="DB180" s="43"/>
      <c r="DC180" s="40" t="s">
        <v>406</v>
      </c>
      <c r="DD180" s="75" t="s">
        <v>305</v>
      </c>
      <c r="DE180" s="69">
        <v>36000</v>
      </c>
      <c r="DF180" s="40"/>
      <c r="DG180" s="40"/>
      <c r="DH180" s="68">
        <v>0</v>
      </c>
    </row>
    <row r="181" spans="1:112">
      <c r="A181" s="40">
        <v>292</v>
      </c>
      <c r="B181" s="40" t="s">
        <v>210</v>
      </c>
      <c r="C181" s="40">
        <v>4</v>
      </c>
      <c r="D181" s="29" t="s">
        <v>171</v>
      </c>
      <c r="E181" s="30" t="s">
        <v>172</v>
      </c>
      <c r="F181" s="30">
        <v>7</v>
      </c>
      <c r="G181" s="52">
        <v>30.614276</v>
      </c>
      <c r="H181" s="68">
        <f t="shared" si="2"/>
        <v>0</v>
      </c>
      <c r="I181" s="47">
        <v>30.614276</v>
      </c>
      <c r="J181" s="43">
        <v>30.61</v>
      </c>
      <c r="K181" s="40"/>
      <c r="L181" s="40"/>
      <c r="M181" s="43"/>
      <c r="N181" s="40"/>
      <c r="O181" s="40"/>
      <c r="P181" s="40"/>
      <c r="Q181" s="42"/>
      <c r="R181" s="40"/>
      <c r="S181" s="40"/>
      <c r="T181" s="43"/>
      <c r="U181" s="40"/>
      <c r="V181" s="40"/>
      <c r="W181" s="42"/>
      <c r="X181" s="40"/>
      <c r="Y181" s="40"/>
      <c r="Z181" s="43"/>
      <c r="AA181" s="40"/>
      <c r="AB181" s="40"/>
      <c r="AC181" s="42"/>
      <c r="AD181" s="40"/>
      <c r="AE181" s="40"/>
      <c r="AF181" s="40"/>
      <c r="AG181" s="43"/>
      <c r="AH181" s="40"/>
      <c r="AI181" s="40"/>
      <c r="AJ181" s="40"/>
      <c r="AK181" s="42"/>
      <c r="AL181" s="40"/>
      <c r="AM181" s="40"/>
      <c r="AN181" s="43"/>
      <c r="AO181" s="40"/>
      <c r="AP181" s="40"/>
      <c r="AQ181" s="42"/>
      <c r="AR181" s="40"/>
      <c r="AS181" s="40"/>
      <c r="AT181" s="43"/>
      <c r="AU181" s="40"/>
      <c r="AV181" s="40"/>
      <c r="AW181" s="42"/>
      <c r="AX181" s="40"/>
      <c r="AY181" s="40"/>
      <c r="AZ181" s="43"/>
      <c r="BA181" s="40"/>
      <c r="BB181" s="40"/>
      <c r="BC181" s="42"/>
      <c r="BD181" s="40"/>
      <c r="BE181" s="40"/>
      <c r="BF181" s="43"/>
      <c r="BG181" s="40"/>
      <c r="BH181" s="40"/>
      <c r="BI181" s="42"/>
      <c r="BJ181" s="40"/>
      <c r="BK181" s="40"/>
      <c r="BL181" s="43"/>
      <c r="BM181" s="40"/>
      <c r="BN181" s="40"/>
      <c r="BO181" s="42"/>
      <c r="BP181" s="40"/>
      <c r="BQ181" s="40"/>
      <c r="BR181" s="43"/>
      <c r="BS181" s="40"/>
      <c r="BT181" s="40"/>
      <c r="BU181" s="42"/>
      <c r="BV181" s="40"/>
      <c r="BW181" s="40"/>
      <c r="BX181" s="43"/>
      <c r="BY181" s="40"/>
      <c r="BZ181" s="40"/>
      <c r="CA181" s="42"/>
      <c r="CB181" s="40"/>
      <c r="CC181" s="75"/>
      <c r="CD181" s="43"/>
      <c r="CE181" s="40"/>
      <c r="CF181" s="40"/>
      <c r="CG181" s="42"/>
      <c r="CH181" s="40"/>
      <c r="CI181" s="40"/>
      <c r="CJ181" s="43"/>
      <c r="CK181" s="40"/>
      <c r="CL181" s="40"/>
      <c r="CM181" s="42"/>
      <c r="CN181" s="40"/>
      <c r="CO181" s="40"/>
      <c r="CP181" s="43"/>
      <c r="CQ181" s="40"/>
      <c r="CR181" s="40"/>
      <c r="CS181" s="42"/>
      <c r="CT181" s="40"/>
      <c r="CU181" s="40"/>
      <c r="CV181" s="43"/>
      <c r="CW181" s="40"/>
      <c r="CX181" s="40"/>
      <c r="CY181" s="42"/>
      <c r="CZ181" s="40"/>
      <c r="DA181" s="40"/>
      <c r="DB181" s="43"/>
      <c r="DC181" s="40"/>
      <c r="DD181" s="75" t="s">
        <v>311</v>
      </c>
      <c r="DE181" s="69">
        <v>30610</v>
      </c>
      <c r="DF181" s="40"/>
      <c r="DG181" s="40"/>
      <c r="DH181" s="68">
        <v>0</v>
      </c>
    </row>
    <row r="182" spans="1:112">
      <c r="A182" s="40">
        <v>293</v>
      </c>
      <c r="B182" s="40" t="s">
        <v>210</v>
      </c>
      <c r="C182" s="40">
        <v>4</v>
      </c>
      <c r="D182" s="29" t="s">
        <v>165</v>
      </c>
      <c r="E182" s="30">
        <v>72</v>
      </c>
      <c r="F182" s="30">
        <v>7</v>
      </c>
      <c r="G182" s="52">
        <v>35.360681999999997</v>
      </c>
      <c r="H182" s="68">
        <f t="shared" si="2"/>
        <v>0</v>
      </c>
      <c r="I182" s="47">
        <v>35.360681999999997</v>
      </c>
      <c r="J182" s="43">
        <v>35.36</v>
      </c>
      <c r="K182" s="40"/>
      <c r="L182" s="40"/>
      <c r="M182" s="43"/>
      <c r="N182" s="40"/>
      <c r="O182" s="40"/>
      <c r="P182" s="40"/>
      <c r="Q182" s="42"/>
      <c r="R182" s="40"/>
      <c r="S182" s="40"/>
      <c r="T182" s="43"/>
      <c r="U182" s="40"/>
      <c r="V182" s="40"/>
      <c r="W182" s="42"/>
      <c r="X182" s="40"/>
      <c r="Y182" s="40"/>
      <c r="Z182" s="43"/>
      <c r="AA182" s="40"/>
      <c r="AB182" s="40"/>
      <c r="AC182" s="42"/>
      <c r="AD182" s="40"/>
      <c r="AE182" s="40"/>
      <c r="AF182" s="40"/>
      <c r="AG182" s="43"/>
      <c r="AH182" s="40"/>
      <c r="AI182" s="40"/>
      <c r="AJ182" s="40"/>
      <c r="AK182" s="42"/>
      <c r="AL182" s="40"/>
      <c r="AM182" s="40"/>
      <c r="AN182" s="43"/>
      <c r="AO182" s="40"/>
      <c r="AP182" s="40"/>
      <c r="AQ182" s="42"/>
      <c r="AR182" s="40"/>
      <c r="AS182" s="40"/>
      <c r="AT182" s="43"/>
      <c r="AU182" s="40"/>
      <c r="AV182" s="40"/>
      <c r="AW182" s="42"/>
      <c r="AX182" s="40"/>
      <c r="AY182" s="40"/>
      <c r="AZ182" s="43"/>
      <c r="BA182" s="40"/>
      <c r="BB182" s="40"/>
      <c r="BC182" s="42"/>
      <c r="BD182" s="40"/>
      <c r="BE182" s="40"/>
      <c r="BF182" s="43"/>
      <c r="BG182" s="40"/>
      <c r="BH182" s="40"/>
      <c r="BI182" s="42"/>
      <c r="BJ182" s="40"/>
      <c r="BK182" s="40"/>
      <c r="BL182" s="43"/>
      <c r="BM182" s="40"/>
      <c r="BN182" s="40"/>
      <c r="BO182" s="42"/>
      <c r="BP182" s="40"/>
      <c r="BQ182" s="40"/>
      <c r="BR182" s="43"/>
      <c r="BS182" s="40"/>
      <c r="BT182" s="40"/>
      <c r="BU182" s="42"/>
      <c r="BV182" s="40"/>
      <c r="BW182" s="40"/>
      <c r="BX182" s="43"/>
      <c r="BY182" s="40"/>
      <c r="BZ182" s="40"/>
      <c r="CA182" s="42"/>
      <c r="CB182" s="40"/>
      <c r="CC182" s="75"/>
      <c r="CD182" s="43"/>
      <c r="CE182" s="40"/>
      <c r="CF182" s="40"/>
      <c r="CG182" s="42"/>
      <c r="CH182" s="40"/>
      <c r="CI182" s="40"/>
      <c r="CJ182" s="43"/>
      <c r="CK182" s="40"/>
      <c r="CL182" s="40"/>
      <c r="CM182" s="42"/>
      <c r="CN182" s="40"/>
      <c r="CO182" s="40"/>
      <c r="CP182" s="43"/>
      <c r="CQ182" s="40"/>
      <c r="CR182" s="40"/>
      <c r="CS182" s="42"/>
      <c r="CT182" s="40"/>
      <c r="CU182" s="40"/>
      <c r="CV182" s="43"/>
      <c r="CW182" s="40"/>
      <c r="CX182" s="40"/>
      <c r="CY182" s="42"/>
      <c r="CZ182" s="40"/>
      <c r="DA182" s="40"/>
      <c r="DB182" s="43"/>
      <c r="DC182" s="40"/>
      <c r="DD182" s="75" t="s">
        <v>311</v>
      </c>
      <c r="DE182" s="69">
        <v>35360</v>
      </c>
      <c r="DF182" s="40"/>
      <c r="DG182" s="40"/>
      <c r="DH182" s="68">
        <v>0</v>
      </c>
    </row>
    <row r="183" spans="1:112">
      <c r="A183" s="44">
        <v>295</v>
      </c>
      <c r="B183" s="44" t="s">
        <v>210</v>
      </c>
      <c r="C183" s="44">
        <v>4</v>
      </c>
      <c r="D183" s="35" t="s">
        <v>165</v>
      </c>
      <c r="E183" s="34">
        <v>95</v>
      </c>
      <c r="F183" s="34">
        <v>7</v>
      </c>
      <c r="G183" s="60">
        <v>0</v>
      </c>
      <c r="H183" s="68">
        <f t="shared" si="2"/>
        <v>0</v>
      </c>
      <c r="I183" s="60">
        <v>0</v>
      </c>
      <c r="J183" s="44">
        <v>0</v>
      </c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87"/>
      <c r="CD183" s="44"/>
      <c r="CE183" s="44"/>
      <c r="CF183" s="44"/>
      <c r="CG183" s="44"/>
      <c r="CH183" s="44"/>
      <c r="CI183" s="44"/>
      <c r="CJ183" s="44"/>
      <c r="CK183" s="44"/>
      <c r="CL183" s="44"/>
      <c r="CM183" s="44"/>
      <c r="CN183" s="44"/>
      <c r="CO183" s="44"/>
      <c r="CP183" s="44"/>
      <c r="CQ183" s="44"/>
      <c r="CR183" s="44"/>
      <c r="CS183" s="44"/>
      <c r="CT183" s="44"/>
      <c r="CU183" s="44"/>
      <c r="CV183" s="44"/>
      <c r="CW183" s="44"/>
      <c r="CX183" s="44"/>
      <c r="CY183" s="44"/>
      <c r="CZ183" s="44"/>
      <c r="DA183" s="44"/>
      <c r="DB183" s="44"/>
      <c r="DC183" s="44"/>
      <c r="DD183" s="87"/>
      <c r="DE183" s="60">
        <v>0</v>
      </c>
      <c r="DF183" s="44"/>
      <c r="DG183" s="44"/>
      <c r="DH183" s="68">
        <v>0</v>
      </c>
    </row>
    <row r="184" spans="1:112">
      <c r="A184" s="40">
        <v>296</v>
      </c>
      <c r="B184" s="40" t="s">
        <v>210</v>
      </c>
      <c r="C184" s="40">
        <v>4</v>
      </c>
      <c r="D184" s="29" t="s">
        <v>165</v>
      </c>
      <c r="E184" s="30">
        <v>116</v>
      </c>
      <c r="F184" s="30">
        <v>7</v>
      </c>
      <c r="G184" s="52">
        <v>37.534253999999997</v>
      </c>
      <c r="H184" s="68">
        <f t="shared" si="2"/>
        <v>0</v>
      </c>
      <c r="I184" s="47">
        <v>37.534253999999997</v>
      </c>
      <c r="J184" s="43">
        <v>37.53</v>
      </c>
      <c r="K184" s="40"/>
      <c r="L184" s="40"/>
      <c r="M184" s="43"/>
      <c r="N184" s="40"/>
      <c r="O184" s="40"/>
      <c r="P184" s="40"/>
      <c r="Q184" s="42"/>
      <c r="R184" s="40"/>
      <c r="S184" s="40"/>
      <c r="T184" s="43"/>
      <c r="U184" s="40"/>
      <c r="V184" s="40"/>
      <c r="W184" s="42"/>
      <c r="X184" s="40"/>
      <c r="Y184" s="40"/>
      <c r="Z184" s="43"/>
      <c r="AA184" s="40"/>
      <c r="AB184" s="40"/>
      <c r="AC184" s="42"/>
      <c r="AD184" s="40"/>
      <c r="AE184" s="40"/>
      <c r="AF184" s="40"/>
      <c r="AG184" s="43"/>
      <c r="AH184" s="40"/>
      <c r="AI184" s="40"/>
      <c r="AJ184" s="40"/>
      <c r="AK184" s="42"/>
      <c r="AL184" s="40"/>
      <c r="AM184" s="40"/>
      <c r="AN184" s="43"/>
      <c r="AO184" s="40"/>
      <c r="AP184" s="40"/>
      <c r="AQ184" s="42"/>
      <c r="AR184" s="40"/>
      <c r="AS184" s="40"/>
      <c r="AT184" s="43"/>
      <c r="AU184" s="40"/>
      <c r="AV184" s="40"/>
      <c r="AW184" s="42"/>
      <c r="AX184" s="40"/>
      <c r="AY184" s="40"/>
      <c r="AZ184" s="43"/>
      <c r="BA184" s="40"/>
      <c r="BB184" s="40"/>
      <c r="BC184" s="42"/>
      <c r="BD184" s="40"/>
      <c r="BE184" s="40"/>
      <c r="BF184" s="43"/>
      <c r="BG184" s="40"/>
      <c r="BH184" s="40"/>
      <c r="BI184" s="42"/>
      <c r="BJ184" s="40"/>
      <c r="BK184" s="40"/>
      <c r="BL184" s="43"/>
      <c r="BM184" s="40"/>
      <c r="BN184" s="40"/>
      <c r="BO184" s="42"/>
      <c r="BP184" s="40"/>
      <c r="BQ184" s="40"/>
      <c r="BR184" s="43"/>
      <c r="BS184" s="40"/>
      <c r="BT184" s="40"/>
      <c r="BU184" s="42"/>
      <c r="BV184" s="40"/>
      <c r="BW184" s="40"/>
      <c r="BX184" s="43"/>
      <c r="BY184" s="40"/>
      <c r="BZ184" s="40"/>
      <c r="CA184" s="42"/>
      <c r="CB184" s="40"/>
      <c r="CC184" s="75"/>
      <c r="CD184" s="43"/>
      <c r="CE184" s="40"/>
      <c r="CF184" s="40"/>
      <c r="CG184" s="42"/>
      <c r="CH184" s="40"/>
      <c r="CI184" s="40"/>
      <c r="CJ184" s="43"/>
      <c r="CK184" s="40"/>
      <c r="CL184" s="40"/>
      <c r="CM184" s="42"/>
      <c r="CN184" s="40"/>
      <c r="CO184" s="40"/>
      <c r="CP184" s="43"/>
      <c r="CQ184" s="40"/>
      <c r="CR184" s="40"/>
      <c r="CS184" s="42"/>
      <c r="CT184" s="40"/>
      <c r="CU184" s="40"/>
      <c r="CV184" s="43"/>
      <c r="CW184" s="40"/>
      <c r="CX184" s="40"/>
      <c r="CY184" s="42"/>
      <c r="CZ184" s="40"/>
      <c r="DA184" s="40"/>
      <c r="DB184" s="43"/>
      <c r="DC184" s="40"/>
      <c r="DD184" s="75" t="s">
        <v>311</v>
      </c>
      <c r="DE184" s="69">
        <v>37530</v>
      </c>
      <c r="DF184" s="40"/>
      <c r="DG184" s="40"/>
      <c r="DH184" s="68">
        <v>0</v>
      </c>
    </row>
    <row r="185" spans="1:112">
      <c r="A185" s="40">
        <v>297</v>
      </c>
      <c r="B185" s="40" t="s">
        <v>210</v>
      </c>
      <c r="C185" s="40">
        <v>5</v>
      </c>
      <c r="D185" s="36" t="s">
        <v>165</v>
      </c>
      <c r="E185" s="30">
        <v>117</v>
      </c>
      <c r="F185" s="30">
        <v>7</v>
      </c>
      <c r="G185" s="52">
        <v>17.993746000000002</v>
      </c>
      <c r="H185" s="68">
        <f t="shared" si="2"/>
        <v>0</v>
      </c>
      <c r="I185" s="47">
        <v>17.993746000000002</v>
      </c>
      <c r="J185" s="43">
        <v>17.989999999999998</v>
      </c>
      <c r="K185" s="40"/>
      <c r="L185" s="40"/>
      <c r="M185" s="43"/>
      <c r="N185" s="40"/>
      <c r="O185" s="40"/>
      <c r="P185" s="40"/>
      <c r="Q185" s="42"/>
      <c r="R185" s="40"/>
      <c r="S185" s="40"/>
      <c r="T185" s="43"/>
      <c r="U185" s="40"/>
      <c r="V185" s="40"/>
      <c r="W185" s="42"/>
      <c r="X185" s="40"/>
      <c r="Y185" s="40"/>
      <c r="Z185" s="43"/>
      <c r="AA185" s="40"/>
      <c r="AB185" s="40"/>
      <c r="AC185" s="42"/>
      <c r="AD185" s="40" t="s">
        <v>407</v>
      </c>
      <c r="AE185" s="40" t="s">
        <v>308</v>
      </c>
      <c r="AF185" s="40">
        <v>22.5</v>
      </c>
      <c r="AG185" s="43">
        <v>17990</v>
      </c>
      <c r="AH185" s="40"/>
      <c r="AI185" s="40"/>
      <c r="AJ185" s="40"/>
      <c r="AK185" s="42"/>
      <c r="AL185" s="40"/>
      <c r="AM185" s="40"/>
      <c r="AN185" s="43"/>
      <c r="AO185" s="40"/>
      <c r="AP185" s="40"/>
      <c r="AQ185" s="42"/>
      <c r="AR185" s="40"/>
      <c r="AS185" s="40"/>
      <c r="AT185" s="43"/>
      <c r="AU185" s="40"/>
      <c r="AV185" s="40"/>
      <c r="AW185" s="42"/>
      <c r="AX185" s="40"/>
      <c r="AY185" s="40"/>
      <c r="AZ185" s="43"/>
      <c r="BA185" s="40"/>
      <c r="BB185" s="40"/>
      <c r="BC185" s="42"/>
      <c r="BD185" s="40"/>
      <c r="BE185" s="40"/>
      <c r="BF185" s="43"/>
      <c r="BG185" s="40"/>
      <c r="BH185" s="40"/>
      <c r="BI185" s="42"/>
      <c r="BJ185" s="40"/>
      <c r="BK185" s="40"/>
      <c r="BL185" s="43"/>
      <c r="BM185" s="40"/>
      <c r="BN185" s="40"/>
      <c r="BO185" s="42"/>
      <c r="BP185" s="40"/>
      <c r="BQ185" s="40"/>
      <c r="BR185" s="43"/>
      <c r="BS185" s="40"/>
      <c r="BT185" s="40"/>
      <c r="BU185" s="42"/>
      <c r="BV185" s="40"/>
      <c r="BW185" s="40"/>
      <c r="BX185" s="43"/>
      <c r="BY185" s="40"/>
      <c r="BZ185" s="40"/>
      <c r="CA185" s="42"/>
      <c r="CB185" s="40"/>
      <c r="CC185" s="75"/>
      <c r="CD185" s="43"/>
      <c r="CE185" s="40"/>
      <c r="CF185" s="40"/>
      <c r="CG185" s="42"/>
      <c r="CH185" s="40"/>
      <c r="CI185" s="40"/>
      <c r="CJ185" s="43"/>
      <c r="CK185" s="40"/>
      <c r="CL185" s="40"/>
      <c r="CM185" s="42"/>
      <c r="CN185" s="40"/>
      <c r="CO185" s="40"/>
      <c r="CP185" s="43"/>
      <c r="CQ185" s="40"/>
      <c r="CR185" s="40"/>
      <c r="CS185" s="42"/>
      <c r="CT185" s="40"/>
      <c r="CU185" s="40"/>
      <c r="CV185" s="43"/>
      <c r="CW185" s="40"/>
      <c r="CX185" s="40"/>
      <c r="CY185" s="42"/>
      <c r="CZ185" s="40"/>
      <c r="DA185" s="40"/>
      <c r="DB185" s="43"/>
      <c r="DC185" s="40"/>
      <c r="DD185" s="75"/>
      <c r="DE185" s="69">
        <v>0</v>
      </c>
      <c r="DF185" s="40"/>
      <c r="DG185" s="40"/>
      <c r="DH185" s="68">
        <v>0</v>
      </c>
    </row>
    <row r="186" spans="1:112">
      <c r="A186" s="40">
        <v>298</v>
      </c>
      <c r="B186" s="40" t="s">
        <v>210</v>
      </c>
      <c r="C186" s="40">
        <v>5</v>
      </c>
      <c r="D186" s="29" t="s">
        <v>165</v>
      </c>
      <c r="E186" s="30">
        <v>118</v>
      </c>
      <c r="F186" s="30">
        <v>7</v>
      </c>
      <c r="G186" s="52">
        <v>32.969329999999999</v>
      </c>
      <c r="H186" s="68">
        <f t="shared" si="2"/>
        <v>0</v>
      </c>
      <c r="I186" s="47">
        <v>32.969329999999999</v>
      </c>
      <c r="J186" s="43">
        <v>32.97</v>
      </c>
      <c r="K186" s="40"/>
      <c r="L186" s="40"/>
      <c r="M186" s="43"/>
      <c r="N186" s="40"/>
      <c r="O186" s="40"/>
      <c r="P186" s="40"/>
      <c r="Q186" s="42"/>
      <c r="R186" s="40"/>
      <c r="S186" s="40"/>
      <c r="T186" s="43"/>
      <c r="U186" s="40"/>
      <c r="V186" s="40"/>
      <c r="W186" s="42"/>
      <c r="X186" s="40"/>
      <c r="Y186" s="40"/>
      <c r="Z186" s="43"/>
      <c r="AA186" s="40"/>
      <c r="AB186" s="40"/>
      <c r="AC186" s="42"/>
      <c r="AD186" s="40" t="s">
        <v>407</v>
      </c>
      <c r="AE186" s="40" t="s">
        <v>324</v>
      </c>
      <c r="AF186" s="40">
        <v>33</v>
      </c>
      <c r="AG186" s="43">
        <v>32970</v>
      </c>
      <c r="AH186" s="40"/>
      <c r="AI186" s="40"/>
      <c r="AJ186" s="40"/>
      <c r="AK186" s="42"/>
      <c r="AL186" s="40"/>
      <c r="AM186" s="40"/>
      <c r="AN186" s="43"/>
      <c r="AO186" s="40"/>
      <c r="AP186" s="40"/>
      <c r="AQ186" s="42"/>
      <c r="AR186" s="40"/>
      <c r="AS186" s="40"/>
      <c r="AT186" s="43"/>
      <c r="AU186" s="40"/>
      <c r="AV186" s="40"/>
      <c r="AW186" s="42"/>
      <c r="AX186" s="40"/>
      <c r="AY186" s="40"/>
      <c r="AZ186" s="43"/>
      <c r="BA186" s="40"/>
      <c r="BB186" s="40"/>
      <c r="BC186" s="42"/>
      <c r="BD186" s="40"/>
      <c r="BE186" s="40"/>
      <c r="BF186" s="43"/>
      <c r="BG186" s="40"/>
      <c r="BH186" s="40"/>
      <c r="BI186" s="42"/>
      <c r="BJ186" s="40"/>
      <c r="BK186" s="40"/>
      <c r="BL186" s="43"/>
      <c r="BM186" s="40"/>
      <c r="BN186" s="40"/>
      <c r="BO186" s="42"/>
      <c r="BP186" s="40"/>
      <c r="BQ186" s="40"/>
      <c r="BR186" s="43"/>
      <c r="BS186" s="40"/>
      <c r="BT186" s="40"/>
      <c r="BU186" s="42"/>
      <c r="BV186" s="40"/>
      <c r="BW186" s="40"/>
      <c r="BX186" s="43"/>
      <c r="BY186" s="40"/>
      <c r="BZ186" s="40"/>
      <c r="CA186" s="42"/>
      <c r="CB186" s="40"/>
      <c r="CC186" s="75"/>
      <c r="CD186" s="43"/>
      <c r="CE186" s="40"/>
      <c r="CF186" s="40"/>
      <c r="CG186" s="42"/>
      <c r="CH186" s="40"/>
      <c r="CI186" s="40"/>
      <c r="CJ186" s="43"/>
      <c r="CK186" s="40"/>
      <c r="CL186" s="40"/>
      <c r="CM186" s="42"/>
      <c r="CN186" s="40"/>
      <c r="CO186" s="40"/>
      <c r="CP186" s="43"/>
      <c r="CQ186" s="40"/>
      <c r="CR186" s="40"/>
      <c r="CS186" s="42"/>
      <c r="CT186" s="40"/>
      <c r="CU186" s="40"/>
      <c r="CV186" s="43"/>
      <c r="CW186" s="40"/>
      <c r="CX186" s="40"/>
      <c r="CY186" s="42"/>
      <c r="CZ186" s="40"/>
      <c r="DA186" s="40"/>
      <c r="DB186" s="43"/>
      <c r="DC186" s="40"/>
      <c r="DD186" s="75"/>
      <c r="DE186" s="69">
        <v>0</v>
      </c>
      <c r="DF186" s="40"/>
      <c r="DG186" s="40"/>
      <c r="DH186" s="68">
        <v>0</v>
      </c>
    </row>
    <row r="187" spans="1:112">
      <c r="A187" s="40">
        <v>300</v>
      </c>
      <c r="B187" s="40" t="s">
        <v>210</v>
      </c>
      <c r="C187" s="40">
        <v>4</v>
      </c>
      <c r="D187" s="29" t="s">
        <v>173</v>
      </c>
      <c r="E187" s="30">
        <v>183</v>
      </c>
      <c r="F187" s="30">
        <v>7</v>
      </c>
      <c r="G187" s="52">
        <v>31.686404000000003</v>
      </c>
      <c r="H187" s="68">
        <f t="shared" si="2"/>
        <v>37.357660000000003</v>
      </c>
      <c r="I187" s="47">
        <v>31.686404000000003</v>
      </c>
      <c r="J187" s="43">
        <v>31.69</v>
      </c>
      <c r="K187" s="40"/>
      <c r="L187" s="40"/>
      <c r="M187" s="43"/>
      <c r="N187" s="40"/>
      <c r="O187" s="40"/>
      <c r="P187" s="40"/>
      <c r="Q187" s="42"/>
      <c r="R187" s="40"/>
      <c r="S187" s="40"/>
      <c r="T187" s="43"/>
      <c r="U187" s="40"/>
      <c r="V187" s="40"/>
      <c r="W187" s="42"/>
      <c r="X187" s="40"/>
      <c r="Y187" s="40"/>
      <c r="Z187" s="43"/>
      <c r="AA187" s="40"/>
      <c r="AB187" s="40"/>
      <c r="AC187" s="42"/>
      <c r="AD187" s="40"/>
      <c r="AE187" s="40"/>
      <c r="AF187" s="40"/>
      <c r="AG187" s="43"/>
      <c r="AH187" s="40"/>
      <c r="AI187" s="40"/>
      <c r="AJ187" s="40"/>
      <c r="AK187" s="42"/>
      <c r="AL187" s="40"/>
      <c r="AM187" s="40"/>
      <c r="AN187" s="43"/>
      <c r="AO187" s="40"/>
      <c r="AP187" s="40"/>
      <c r="AQ187" s="42"/>
      <c r="AR187" s="40"/>
      <c r="AS187" s="40"/>
      <c r="AT187" s="43"/>
      <c r="AU187" s="40"/>
      <c r="AV187" s="40"/>
      <c r="AW187" s="42"/>
      <c r="AX187" s="40" t="s">
        <v>404</v>
      </c>
      <c r="AY187" s="40">
        <v>20</v>
      </c>
      <c r="AZ187" s="43">
        <v>31690</v>
      </c>
      <c r="BA187" s="44" t="s">
        <v>403</v>
      </c>
      <c r="BB187" s="40">
        <v>24</v>
      </c>
      <c r="BC187" s="42">
        <v>37357.660000000003</v>
      </c>
      <c r="BD187" s="40"/>
      <c r="BE187" s="40"/>
      <c r="BF187" s="43"/>
      <c r="BG187" s="40"/>
      <c r="BH187" s="40"/>
      <c r="BI187" s="42"/>
      <c r="BJ187" s="40"/>
      <c r="BK187" s="40"/>
      <c r="BL187" s="43"/>
      <c r="BM187" s="40"/>
      <c r="BN187" s="40"/>
      <c r="BO187" s="42"/>
      <c r="BP187" s="40"/>
      <c r="BQ187" s="40"/>
      <c r="BR187" s="43"/>
      <c r="BS187" s="40"/>
      <c r="BT187" s="40"/>
      <c r="BU187" s="42"/>
      <c r="BV187" s="40"/>
      <c r="BW187" s="40"/>
      <c r="BX187" s="43"/>
      <c r="BY187" s="40"/>
      <c r="BZ187" s="40"/>
      <c r="CA187" s="42"/>
      <c r="CB187" s="40"/>
      <c r="CC187" s="75"/>
      <c r="CD187" s="43"/>
      <c r="CE187" s="40"/>
      <c r="CF187" s="40"/>
      <c r="CG187" s="42"/>
      <c r="CH187" s="40"/>
      <c r="CI187" s="40"/>
      <c r="CJ187" s="43"/>
      <c r="CK187" s="40"/>
      <c r="CL187" s="40"/>
      <c r="CM187" s="42"/>
      <c r="CN187" s="40"/>
      <c r="CO187" s="40"/>
      <c r="CP187" s="43"/>
      <c r="CQ187" s="40"/>
      <c r="CR187" s="40"/>
      <c r="CS187" s="42"/>
      <c r="CT187" s="40"/>
      <c r="CU187" s="40"/>
      <c r="CV187" s="43"/>
      <c r="CW187" s="40"/>
      <c r="CX187" s="40"/>
      <c r="CY187" s="42"/>
      <c r="CZ187" s="40"/>
      <c r="DA187" s="40"/>
      <c r="DB187" s="43"/>
      <c r="DC187" s="40"/>
      <c r="DD187" s="75"/>
      <c r="DE187" s="69">
        <v>0</v>
      </c>
      <c r="DF187" s="40"/>
      <c r="DG187" s="40"/>
      <c r="DH187" s="68">
        <v>0</v>
      </c>
    </row>
    <row r="188" spans="1:112">
      <c r="A188" s="40">
        <v>301</v>
      </c>
      <c r="B188" s="40" t="s">
        <v>210</v>
      </c>
      <c r="C188" s="40">
        <v>4</v>
      </c>
      <c r="D188" s="29" t="s">
        <v>173</v>
      </c>
      <c r="E188" s="30">
        <v>185</v>
      </c>
      <c r="F188" s="30">
        <v>7</v>
      </c>
      <c r="G188" s="52">
        <v>31.407281999999995</v>
      </c>
      <c r="H188" s="68">
        <f t="shared" si="2"/>
        <v>10.96134</v>
      </c>
      <c r="I188" s="47">
        <v>31.407281999999995</v>
      </c>
      <c r="J188" s="43">
        <v>7</v>
      </c>
      <c r="K188" s="40"/>
      <c r="L188" s="40"/>
      <c r="M188" s="43"/>
      <c r="N188" s="40"/>
      <c r="O188" s="40"/>
      <c r="P188" s="40"/>
      <c r="Q188" s="42"/>
      <c r="R188" s="40"/>
      <c r="S188" s="40"/>
      <c r="T188" s="43"/>
      <c r="U188" s="40"/>
      <c r="V188" s="40"/>
      <c r="W188" s="42"/>
      <c r="X188" s="40"/>
      <c r="Y188" s="40"/>
      <c r="Z188" s="43"/>
      <c r="AA188" s="40"/>
      <c r="AB188" s="40"/>
      <c r="AC188" s="42"/>
      <c r="AD188" s="40"/>
      <c r="AE188" s="40"/>
      <c r="AF188" s="40"/>
      <c r="AG188" s="43"/>
      <c r="AH188" s="40"/>
      <c r="AI188" s="40"/>
      <c r="AJ188" s="40"/>
      <c r="AK188" s="42"/>
      <c r="AL188" s="40"/>
      <c r="AM188" s="40"/>
      <c r="AN188" s="43"/>
      <c r="AO188" s="40"/>
      <c r="AP188" s="40"/>
      <c r="AQ188" s="42"/>
      <c r="AR188" s="40"/>
      <c r="AS188" s="40"/>
      <c r="AT188" s="43"/>
      <c r="AU188" s="40"/>
      <c r="AV188" s="40"/>
      <c r="AW188" s="42"/>
      <c r="AX188" s="40"/>
      <c r="AY188" s="40"/>
      <c r="AZ188" s="43"/>
      <c r="BA188" s="40"/>
      <c r="BB188" s="40"/>
      <c r="BC188" s="42"/>
      <c r="BD188" s="40"/>
      <c r="BE188" s="40"/>
      <c r="BF188" s="43"/>
      <c r="BG188" s="40"/>
      <c r="BH188" s="40"/>
      <c r="BI188" s="42"/>
      <c r="BJ188" s="40"/>
      <c r="BK188" s="40"/>
      <c r="BL188" s="43"/>
      <c r="BM188" s="40"/>
      <c r="BN188" s="40"/>
      <c r="BO188" s="42"/>
      <c r="BP188" s="40"/>
      <c r="BQ188" s="40"/>
      <c r="BR188" s="43"/>
      <c r="BS188" s="40"/>
      <c r="BT188" s="40"/>
      <c r="BU188" s="42"/>
      <c r="BV188" s="40"/>
      <c r="BW188" s="40"/>
      <c r="BX188" s="43"/>
      <c r="BY188" s="40"/>
      <c r="BZ188" s="40"/>
      <c r="CA188" s="42"/>
      <c r="CB188" s="40"/>
      <c r="CC188" s="75"/>
      <c r="CD188" s="43"/>
      <c r="CE188" s="40"/>
      <c r="CF188" s="40"/>
      <c r="CG188" s="42"/>
      <c r="CH188" s="40"/>
      <c r="CI188" s="40"/>
      <c r="CJ188" s="43"/>
      <c r="CK188" s="40"/>
      <c r="CL188" s="40"/>
      <c r="CM188" s="42"/>
      <c r="CN188" s="40"/>
      <c r="CO188" s="40"/>
      <c r="CP188" s="43"/>
      <c r="CQ188" s="40"/>
      <c r="CR188" s="40"/>
      <c r="CS188" s="42"/>
      <c r="CT188" s="40"/>
      <c r="CU188" s="40"/>
      <c r="CV188" s="43"/>
      <c r="CW188" s="40"/>
      <c r="CX188" s="40"/>
      <c r="CY188" s="42"/>
      <c r="CZ188" s="40"/>
      <c r="DA188" s="40"/>
      <c r="DB188" s="43"/>
      <c r="DC188" s="40" t="s">
        <v>410</v>
      </c>
      <c r="DD188" s="75" t="s">
        <v>327</v>
      </c>
      <c r="DE188" s="69">
        <v>7000</v>
      </c>
      <c r="DF188" s="40" t="s">
        <v>403</v>
      </c>
      <c r="DG188" s="40" t="s">
        <v>359</v>
      </c>
      <c r="DH188" s="68">
        <v>10961.34</v>
      </c>
    </row>
    <row r="189" spans="1:112">
      <c r="A189" s="40">
        <v>302</v>
      </c>
      <c r="B189" s="100" t="s">
        <v>210</v>
      </c>
      <c r="C189" s="40">
        <v>4</v>
      </c>
      <c r="D189" s="29" t="s">
        <v>173</v>
      </c>
      <c r="E189" s="30">
        <v>187</v>
      </c>
      <c r="F189" s="30">
        <v>7</v>
      </c>
      <c r="G189" s="52">
        <v>45.807789200000002</v>
      </c>
      <c r="H189" s="68">
        <f t="shared" si="2"/>
        <v>51.784790000000001</v>
      </c>
      <c r="I189" s="47">
        <v>18.369509200000003</v>
      </c>
      <c r="J189" s="43">
        <v>45.81</v>
      </c>
      <c r="K189" s="40"/>
      <c r="L189" s="40"/>
      <c r="M189" s="43"/>
      <c r="N189" s="40"/>
      <c r="O189" s="40"/>
      <c r="P189" s="40"/>
      <c r="Q189" s="42"/>
      <c r="R189" s="40"/>
      <c r="S189" s="40"/>
      <c r="T189" s="43"/>
      <c r="U189" s="40"/>
      <c r="V189" s="40"/>
      <c r="W189" s="42"/>
      <c r="X189" s="40"/>
      <c r="Y189" s="40"/>
      <c r="Z189" s="43"/>
      <c r="AA189" s="40"/>
      <c r="AB189" s="40"/>
      <c r="AC189" s="42"/>
      <c r="AD189" s="40"/>
      <c r="AE189" s="99" t="s">
        <v>432</v>
      </c>
      <c r="AF189" s="40"/>
      <c r="AG189" s="43"/>
      <c r="AH189" s="40"/>
      <c r="AI189" s="40"/>
      <c r="AJ189" s="40"/>
      <c r="AK189" s="42"/>
      <c r="AL189" s="40"/>
      <c r="AM189" s="40"/>
      <c r="AN189" s="43"/>
      <c r="AO189" s="40"/>
      <c r="AP189" s="40"/>
      <c r="AQ189" s="42"/>
      <c r="AR189" s="40"/>
      <c r="AS189" s="40"/>
      <c r="AT189" s="43"/>
      <c r="AU189" s="40"/>
      <c r="AV189" s="40"/>
      <c r="AW189" s="42"/>
      <c r="AX189" s="40" t="s">
        <v>362</v>
      </c>
      <c r="AY189" s="40">
        <v>20</v>
      </c>
      <c r="AZ189" s="43">
        <v>45810</v>
      </c>
      <c r="BA189" s="44" t="s">
        <v>425</v>
      </c>
      <c r="BB189" s="40">
        <v>16</v>
      </c>
      <c r="BC189" s="42">
        <v>36666.22</v>
      </c>
      <c r="BD189" s="40"/>
      <c r="BE189" s="40"/>
      <c r="BF189" s="43"/>
      <c r="BG189" s="40"/>
      <c r="BH189" s="40"/>
      <c r="BI189" s="42"/>
      <c r="BJ189" s="40"/>
      <c r="BK189" s="40"/>
      <c r="BL189" s="43"/>
      <c r="BM189" s="40"/>
      <c r="BN189" s="40"/>
      <c r="BO189" s="42"/>
      <c r="BP189" s="40"/>
      <c r="BQ189" s="40"/>
      <c r="BR189" s="43"/>
      <c r="BS189" s="40"/>
      <c r="BT189" s="40"/>
      <c r="BU189" s="42"/>
      <c r="BV189" s="40"/>
      <c r="BW189" s="40"/>
      <c r="BX189" s="43"/>
      <c r="BY189" s="40"/>
      <c r="BZ189" s="40"/>
      <c r="CA189" s="42"/>
      <c r="CB189" s="40"/>
      <c r="CC189" s="75"/>
      <c r="CD189" s="43"/>
      <c r="CE189" s="40"/>
      <c r="CF189" s="40"/>
      <c r="CG189" s="42"/>
      <c r="CH189" s="40"/>
      <c r="CI189" s="40"/>
      <c r="CJ189" s="43"/>
      <c r="CK189" s="40"/>
      <c r="CL189" s="40"/>
      <c r="CM189" s="42"/>
      <c r="CN189" s="40"/>
      <c r="CO189" s="40"/>
      <c r="CP189" s="43"/>
      <c r="CQ189" s="40"/>
      <c r="CR189" s="40"/>
      <c r="CS189" s="42"/>
      <c r="CT189" s="40"/>
      <c r="CU189" s="40"/>
      <c r="CV189" s="43"/>
      <c r="CW189" s="40"/>
      <c r="CX189" s="40"/>
      <c r="CY189" s="42"/>
      <c r="CZ189" s="40"/>
      <c r="DA189" s="40"/>
      <c r="DB189" s="43"/>
      <c r="DC189" s="40"/>
      <c r="DD189" s="75"/>
      <c r="DE189" s="69">
        <v>0</v>
      </c>
      <c r="DF189" s="40" t="s">
        <v>402</v>
      </c>
      <c r="DG189" s="40" t="s">
        <v>468</v>
      </c>
      <c r="DH189" s="68">
        <v>15118.57</v>
      </c>
    </row>
    <row r="190" spans="1:112">
      <c r="A190" s="40">
        <v>303</v>
      </c>
      <c r="B190" s="40" t="s">
        <v>210</v>
      </c>
      <c r="C190" s="40">
        <v>4</v>
      </c>
      <c r="D190" s="29" t="s">
        <v>173</v>
      </c>
      <c r="E190" s="30">
        <v>224</v>
      </c>
      <c r="F190" s="30">
        <v>7</v>
      </c>
      <c r="G190" s="52">
        <v>22.273882</v>
      </c>
      <c r="H190" s="68">
        <f t="shared" si="2"/>
        <v>0</v>
      </c>
      <c r="I190" s="47">
        <v>22.273882</v>
      </c>
      <c r="J190" s="43">
        <v>5</v>
      </c>
      <c r="K190" s="40"/>
      <c r="L190" s="40"/>
      <c r="M190" s="43"/>
      <c r="N190" s="40"/>
      <c r="O190" s="40"/>
      <c r="P190" s="40"/>
      <c r="Q190" s="42"/>
      <c r="R190" s="40"/>
      <c r="S190" s="40"/>
      <c r="T190" s="43"/>
      <c r="U190" s="40"/>
      <c r="V190" s="40"/>
      <c r="W190" s="42"/>
      <c r="X190" s="40"/>
      <c r="Y190" s="40"/>
      <c r="Z190" s="43"/>
      <c r="AA190" s="40"/>
      <c r="AB190" s="40"/>
      <c r="AC190" s="42"/>
      <c r="AD190" s="40"/>
      <c r="AE190" s="40"/>
      <c r="AF190" s="40"/>
      <c r="AG190" s="43"/>
      <c r="AH190" s="40"/>
      <c r="AI190" s="40"/>
      <c r="AJ190" s="40"/>
      <c r="AK190" s="42"/>
      <c r="AL190" s="40"/>
      <c r="AM190" s="40"/>
      <c r="AN190" s="43"/>
      <c r="AO190" s="40"/>
      <c r="AP190" s="40"/>
      <c r="AQ190" s="42"/>
      <c r="AR190" s="40"/>
      <c r="AS190" s="40"/>
      <c r="AT190" s="43"/>
      <c r="AU190" s="40"/>
      <c r="AV190" s="40"/>
      <c r="AW190" s="42"/>
      <c r="AX190" s="40"/>
      <c r="AY190" s="40"/>
      <c r="AZ190" s="43"/>
      <c r="BA190" s="40"/>
      <c r="BB190" s="40"/>
      <c r="BC190" s="42"/>
      <c r="BD190" s="40"/>
      <c r="BE190" s="40"/>
      <c r="BF190" s="43"/>
      <c r="BG190" s="40"/>
      <c r="BH190" s="40"/>
      <c r="BI190" s="42"/>
      <c r="BJ190" s="40"/>
      <c r="BK190" s="40"/>
      <c r="BL190" s="43"/>
      <c r="BM190" s="40"/>
      <c r="BN190" s="40"/>
      <c r="BO190" s="42"/>
      <c r="BP190" s="40"/>
      <c r="BQ190" s="40"/>
      <c r="BR190" s="43"/>
      <c r="BS190" s="40"/>
      <c r="BT190" s="40"/>
      <c r="BU190" s="42"/>
      <c r="BV190" s="40"/>
      <c r="BW190" s="40"/>
      <c r="BX190" s="43"/>
      <c r="BY190" s="40"/>
      <c r="BZ190" s="40"/>
      <c r="CA190" s="42"/>
      <c r="CB190" s="40"/>
      <c r="CC190" s="75"/>
      <c r="CD190" s="43"/>
      <c r="CE190" s="40"/>
      <c r="CF190" s="40"/>
      <c r="CG190" s="42"/>
      <c r="CH190" s="40"/>
      <c r="CI190" s="40"/>
      <c r="CJ190" s="43"/>
      <c r="CK190" s="40"/>
      <c r="CL190" s="40"/>
      <c r="CM190" s="42"/>
      <c r="CN190" s="40"/>
      <c r="CO190" s="40"/>
      <c r="CP190" s="43"/>
      <c r="CQ190" s="40"/>
      <c r="CR190" s="40"/>
      <c r="CS190" s="42"/>
      <c r="CT190" s="40"/>
      <c r="CU190" s="40"/>
      <c r="CV190" s="43"/>
      <c r="CW190" s="40"/>
      <c r="CX190" s="40"/>
      <c r="CY190" s="42"/>
      <c r="CZ190" s="40"/>
      <c r="DA190" s="40"/>
      <c r="DB190" s="43"/>
      <c r="DC190" s="40" t="s">
        <v>402</v>
      </c>
      <c r="DD190" s="75" t="s">
        <v>390</v>
      </c>
      <c r="DE190" s="69">
        <v>5000</v>
      </c>
      <c r="DF190" s="40"/>
      <c r="DG190" s="40"/>
      <c r="DH190" s="68">
        <v>0</v>
      </c>
    </row>
    <row r="191" spans="1:112">
      <c r="A191" s="40">
        <v>306</v>
      </c>
      <c r="B191" s="40" t="s">
        <v>210</v>
      </c>
      <c r="C191" s="40">
        <v>4</v>
      </c>
      <c r="D191" s="29" t="s">
        <v>175</v>
      </c>
      <c r="E191" s="30" t="s">
        <v>176</v>
      </c>
      <c r="F191" s="30">
        <v>7</v>
      </c>
      <c r="G191" s="52">
        <v>43.312296000000003</v>
      </c>
      <c r="H191" s="68">
        <f t="shared" si="2"/>
        <v>0</v>
      </c>
      <c r="I191" s="47">
        <v>43.312296000000003</v>
      </c>
      <c r="J191" s="43">
        <v>43.31</v>
      </c>
      <c r="K191" s="40"/>
      <c r="L191" s="40"/>
      <c r="M191" s="43"/>
      <c r="N191" s="40"/>
      <c r="O191" s="40"/>
      <c r="P191" s="40"/>
      <c r="Q191" s="42"/>
      <c r="R191" s="40"/>
      <c r="S191" s="40"/>
      <c r="T191" s="43"/>
      <c r="U191" s="40"/>
      <c r="V191" s="40"/>
      <c r="W191" s="42"/>
      <c r="X191" s="40"/>
      <c r="Y191" s="40"/>
      <c r="Z191" s="43"/>
      <c r="AA191" s="40"/>
      <c r="AB191" s="40"/>
      <c r="AC191" s="42"/>
      <c r="AD191" s="40" t="s">
        <v>407</v>
      </c>
      <c r="AE191" s="40" t="s">
        <v>308</v>
      </c>
      <c r="AF191" s="40">
        <v>54</v>
      </c>
      <c r="AG191" s="43">
        <v>43310</v>
      </c>
      <c r="AH191" s="40"/>
      <c r="AI191" s="40"/>
      <c r="AJ191" s="40"/>
      <c r="AK191" s="42"/>
      <c r="AL191" s="40"/>
      <c r="AM191" s="40"/>
      <c r="AN191" s="43"/>
      <c r="AO191" s="40"/>
      <c r="AP191" s="40"/>
      <c r="AQ191" s="42"/>
      <c r="AR191" s="40"/>
      <c r="AS191" s="40"/>
      <c r="AT191" s="43"/>
      <c r="AU191" s="40"/>
      <c r="AV191" s="40"/>
      <c r="AW191" s="42"/>
      <c r="AX191" s="40"/>
      <c r="AY191" s="40"/>
      <c r="AZ191" s="43"/>
      <c r="BA191" s="40"/>
      <c r="BB191" s="40"/>
      <c r="BC191" s="42"/>
      <c r="BD191" s="40"/>
      <c r="BE191" s="40"/>
      <c r="BF191" s="43"/>
      <c r="BG191" s="40"/>
      <c r="BH191" s="40"/>
      <c r="BI191" s="42"/>
      <c r="BJ191" s="40"/>
      <c r="BK191" s="40"/>
      <c r="BL191" s="43"/>
      <c r="BM191" s="40"/>
      <c r="BN191" s="40"/>
      <c r="BO191" s="42"/>
      <c r="BP191" s="40"/>
      <c r="BQ191" s="40"/>
      <c r="BR191" s="43"/>
      <c r="BS191" s="40"/>
      <c r="BT191" s="40"/>
      <c r="BU191" s="42"/>
      <c r="BV191" s="40"/>
      <c r="BW191" s="40"/>
      <c r="BX191" s="43"/>
      <c r="BY191" s="40"/>
      <c r="BZ191" s="40"/>
      <c r="CA191" s="42"/>
      <c r="CB191" s="40"/>
      <c r="CC191" s="75"/>
      <c r="CD191" s="43"/>
      <c r="CE191" s="40"/>
      <c r="CF191" s="40"/>
      <c r="CG191" s="42"/>
      <c r="CH191" s="40"/>
      <c r="CI191" s="40"/>
      <c r="CJ191" s="43"/>
      <c r="CK191" s="40"/>
      <c r="CL191" s="40"/>
      <c r="CM191" s="42"/>
      <c r="CN191" s="40"/>
      <c r="CO191" s="40"/>
      <c r="CP191" s="43"/>
      <c r="CQ191" s="40"/>
      <c r="CR191" s="40"/>
      <c r="CS191" s="42"/>
      <c r="CT191" s="40"/>
      <c r="CU191" s="40"/>
      <c r="CV191" s="43"/>
      <c r="CW191" s="40"/>
      <c r="CX191" s="40"/>
      <c r="CY191" s="42"/>
      <c r="CZ191" s="40"/>
      <c r="DA191" s="40"/>
      <c r="DB191" s="43"/>
      <c r="DC191" s="40"/>
      <c r="DD191" s="75"/>
      <c r="DE191" s="69">
        <v>0</v>
      </c>
      <c r="DF191" s="40"/>
      <c r="DG191" s="40"/>
      <c r="DH191" s="68">
        <v>0</v>
      </c>
    </row>
    <row r="192" spans="1:112">
      <c r="A192" s="40">
        <v>310</v>
      </c>
      <c r="B192" s="40" t="s">
        <v>210</v>
      </c>
      <c r="C192" s="40">
        <v>4</v>
      </c>
      <c r="D192" s="29" t="s">
        <v>178</v>
      </c>
      <c r="E192" s="30" t="s">
        <v>179</v>
      </c>
      <c r="F192" s="30">
        <v>7</v>
      </c>
      <c r="G192" s="52">
        <v>26.315996000000002</v>
      </c>
      <c r="H192" s="68">
        <f t="shared" si="2"/>
        <v>0</v>
      </c>
      <c r="I192" s="47">
        <v>26.315996000000002</v>
      </c>
      <c r="J192" s="43">
        <v>26.32</v>
      </c>
      <c r="K192" s="40"/>
      <c r="L192" s="40"/>
      <c r="M192" s="43"/>
      <c r="N192" s="40"/>
      <c r="O192" s="40"/>
      <c r="P192" s="40"/>
      <c r="Q192" s="42"/>
      <c r="R192" s="40"/>
      <c r="S192" s="40"/>
      <c r="T192" s="43"/>
      <c r="U192" s="40"/>
      <c r="V192" s="40"/>
      <c r="W192" s="42"/>
      <c r="X192" s="40"/>
      <c r="Y192" s="40"/>
      <c r="Z192" s="43"/>
      <c r="AA192" s="40"/>
      <c r="AB192" s="40"/>
      <c r="AC192" s="42"/>
      <c r="AD192" s="40"/>
      <c r="AE192" s="40"/>
      <c r="AF192" s="40"/>
      <c r="AG192" s="43"/>
      <c r="AH192" s="40"/>
      <c r="AI192" s="40"/>
      <c r="AJ192" s="40"/>
      <c r="AK192" s="42"/>
      <c r="AL192" s="40"/>
      <c r="AM192" s="40"/>
      <c r="AN192" s="43"/>
      <c r="AO192" s="40"/>
      <c r="AP192" s="40"/>
      <c r="AQ192" s="42"/>
      <c r="AR192" s="40"/>
      <c r="AS192" s="40"/>
      <c r="AT192" s="43"/>
      <c r="AU192" s="40"/>
      <c r="AV192" s="40"/>
      <c r="AW192" s="42"/>
      <c r="AX192" s="40"/>
      <c r="AY192" s="40"/>
      <c r="AZ192" s="43"/>
      <c r="BA192" s="40"/>
      <c r="BB192" s="40"/>
      <c r="BC192" s="42"/>
      <c r="BD192" s="40"/>
      <c r="BE192" s="40"/>
      <c r="BF192" s="43"/>
      <c r="BG192" s="40"/>
      <c r="BH192" s="40"/>
      <c r="BI192" s="42"/>
      <c r="BJ192" s="40"/>
      <c r="BK192" s="40"/>
      <c r="BL192" s="43"/>
      <c r="BM192" s="40"/>
      <c r="BN192" s="40"/>
      <c r="BO192" s="42"/>
      <c r="BP192" s="40"/>
      <c r="BQ192" s="40"/>
      <c r="BR192" s="43"/>
      <c r="BS192" s="40"/>
      <c r="BT192" s="40"/>
      <c r="BU192" s="42"/>
      <c r="BV192" s="40"/>
      <c r="BW192" s="40"/>
      <c r="BX192" s="43"/>
      <c r="BY192" s="40"/>
      <c r="BZ192" s="40"/>
      <c r="CA192" s="42"/>
      <c r="CB192" s="40"/>
      <c r="CC192" s="75"/>
      <c r="CD192" s="43"/>
      <c r="CE192" s="40"/>
      <c r="CF192" s="40"/>
      <c r="CG192" s="42"/>
      <c r="CH192" s="40"/>
      <c r="CI192" s="40"/>
      <c r="CJ192" s="43"/>
      <c r="CK192" s="40"/>
      <c r="CL192" s="40"/>
      <c r="CM192" s="42"/>
      <c r="CN192" s="40"/>
      <c r="CO192" s="40"/>
      <c r="CP192" s="43"/>
      <c r="CQ192" s="40"/>
      <c r="CR192" s="40"/>
      <c r="CS192" s="42"/>
      <c r="CT192" s="40"/>
      <c r="CU192" s="40"/>
      <c r="CV192" s="43"/>
      <c r="CW192" s="40"/>
      <c r="CX192" s="40"/>
      <c r="CY192" s="42"/>
      <c r="CZ192" s="40"/>
      <c r="DA192" s="40"/>
      <c r="DB192" s="43"/>
      <c r="DC192" s="40"/>
      <c r="DD192" s="75" t="s">
        <v>311</v>
      </c>
      <c r="DE192" s="69">
        <v>26320</v>
      </c>
      <c r="DF192" s="40"/>
      <c r="DG192" s="40"/>
      <c r="DH192" s="68">
        <v>0</v>
      </c>
    </row>
    <row r="193" spans="1:112">
      <c r="A193" s="40">
        <v>311</v>
      </c>
      <c r="B193" s="40" t="s">
        <v>210</v>
      </c>
      <c r="C193" s="40">
        <v>4</v>
      </c>
      <c r="D193" s="29" t="s">
        <v>178</v>
      </c>
      <c r="E193" s="30">
        <v>67</v>
      </c>
      <c r="F193" s="30">
        <v>7</v>
      </c>
      <c r="G193" s="52">
        <v>32.260857999999999</v>
      </c>
      <c r="H193" s="68">
        <f t="shared" si="2"/>
        <v>0</v>
      </c>
      <c r="I193" s="47">
        <v>32.260857999999999</v>
      </c>
      <c r="J193" s="43">
        <v>32.26</v>
      </c>
      <c r="K193" s="40"/>
      <c r="L193" s="40"/>
      <c r="M193" s="43"/>
      <c r="N193" s="40"/>
      <c r="O193" s="40"/>
      <c r="P193" s="40"/>
      <c r="Q193" s="42"/>
      <c r="R193" s="40"/>
      <c r="S193" s="40"/>
      <c r="T193" s="43"/>
      <c r="U193" s="40"/>
      <c r="V193" s="40"/>
      <c r="W193" s="42"/>
      <c r="X193" s="40"/>
      <c r="Y193" s="40"/>
      <c r="Z193" s="43"/>
      <c r="AA193" s="40"/>
      <c r="AB193" s="40"/>
      <c r="AC193" s="42"/>
      <c r="AD193" s="40"/>
      <c r="AE193" s="40"/>
      <c r="AF193" s="40"/>
      <c r="AG193" s="43"/>
      <c r="AH193" s="40"/>
      <c r="AI193" s="40"/>
      <c r="AJ193" s="40"/>
      <c r="AK193" s="42"/>
      <c r="AL193" s="40"/>
      <c r="AM193" s="40"/>
      <c r="AN193" s="43"/>
      <c r="AO193" s="40"/>
      <c r="AP193" s="40"/>
      <c r="AQ193" s="42"/>
      <c r="AR193" s="40"/>
      <c r="AS193" s="40"/>
      <c r="AT193" s="43"/>
      <c r="AU193" s="40"/>
      <c r="AV193" s="40"/>
      <c r="AW193" s="42"/>
      <c r="AX193" s="40"/>
      <c r="AY193" s="40"/>
      <c r="AZ193" s="43"/>
      <c r="BA193" s="40"/>
      <c r="BB193" s="40"/>
      <c r="BC193" s="42"/>
      <c r="BD193" s="40"/>
      <c r="BE193" s="40"/>
      <c r="BF193" s="43"/>
      <c r="BG193" s="40"/>
      <c r="BH193" s="40"/>
      <c r="BI193" s="42"/>
      <c r="BJ193" s="40"/>
      <c r="BK193" s="40"/>
      <c r="BL193" s="43"/>
      <c r="BM193" s="40"/>
      <c r="BN193" s="40"/>
      <c r="BO193" s="42"/>
      <c r="BP193" s="40"/>
      <c r="BQ193" s="40"/>
      <c r="BR193" s="43"/>
      <c r="BS193" s="40"/>
      <c r="BT193" s="40"/>
      <c r="BU193" s="42"/>
      <c r="BV193" s="40"/>
      <c r="BW193" s="40"/>
      <c r="BX193" s="43"/>
      <c r="BY193" s="40"/>
      <c r="BZ193" s="40"/>
      <c r="CA193" s="42"/>
      <c r="CB193" s="40"/>
      <c r="CC193" s="75"/>
      <c r="CD193" s="43"/>
      <c r="CE193" s="40"/>
      <c r="CF193" s="40"/>
      <c r="CG193" s="42"/>
      <c r="CH193" s="40"/>
      <c r="CI193" s="40"/>
      <c r="CJ193" s="43"/>
      <c r="CK193" s="40"/>
      <c r="CL193" s="40"/>
      <c r="CM193" s="42"/>
      <c r="CN193" s="40"/>
      <c r="CO193" s="40"/>
      <c r="CP193" s="43"/>
      <c r="CQ193" s="40"/>
      <c r="CR193" s="40"/>
      <c r="CS193" s="42"/>
      <c r="CT193" s="40"/>
      <c r="CU193" s="40"/>
      <c r="CV193" s="43"/>
      <c r="CW193" s="40"/>
      <c r="CX193" s="40"/>
      <c r="CY193" s="42"/>
      <c r="CZ193" s="40"/>
      <c r="DA193" s="40"/>
      <c r="DB193" s="43"/>
      <c r="DC193" s="40"/>
      <c r="DD193" s="75" t="s">
        <v>364</v>
      </c>
      <c r="DE193" s="69">
        <v>32260</v>
      </c>
      <c r="DF193" s="40"/>
      <c r="DG193" s="40"/>
      <c r="DH193" s="68">
        <v>0</v>
      </c>
    </row>
    <row r="194" spans="1:112">
      <c r="A194" s="40">
        <v>312</v>
      </c>
      <c r="B194" s="40" t="s">
        <v>210</v>
      </c>
      <c r="C194" s="40">
        <v>4</v>
      </c>
      <c r="D194" s="29" t="s">
        <v>178</v>
      </c>
      <c r="E194" s="30" t="s">
        <v>180</v>
      </c>
      <c r="F194" s="30">
        <v>7</v>
      </c>
      <c r="G194" s="52">
        <v>28.44699</v>
      </c>
      <c r="H194" s="68">
        <f t="shared" si="2"/>
        <v>0</v>
      </c>
      <c r="I194" s="47">
        <v>28.44699</v>
      </c>
      <c r="J194" s="43">
        <v>28.45</v>
      </c>
      <c r="K194" s="40"/>
      <c r="L194" s="40"/>
      <c r="M194" s="43"/>
      <c r="N194" s="40"/>
      <c r="O194" s="40"/>
      <c r="P194" s="40"/>
      <c r="Q194" s="42"/>
      <c r="R194" s="40"/>
      <c r="S194" s="40"/>
      <c r="T194" s="43"/>
      <c r="U194" s="40"/>
      <c r="V194" s="40"/>
      <c r="W194" s="42"/>
      <c r="X194" s="40"/>
      <c r="Y194" s="40"/>
      <c r="Z194" s="43"/>
      <c r="AA194" s="40"/>
      <c r="AB194" s="40"/>
      <c r="AC194" s="42"/>
      <c r="AD194" s="40"/>
      <c r="AE194" s="40"/>
      <c r="AF194" s="40"/>
      <c r="AG194" s="43"/>
      <c r="AH194" s="40"/>
      <c r="AI194" s="40"/>
      <c r="AJ194" s="40"/>
      <c r="AK194" s="42"/>
      <c r="AL194" s="40"/>
      <c r="AM194" s="40"/>
      <c r="AN194" s="43"/>
      <c r="AO194" s="40"/>
      <c r="AP194" s="40"/>
      <c r="AQ194" s="42"/>
      <c r="AR194" s="40"/>
      <c r="AS194" s="40"/>
      <c r="AT194" s="43"/>
      <c r="AU194" s="40"/>
      <c r="AV194" s="40"/>
      <c r="AW194" s="42"/>
      <c r="AX194" s="40"/>
      <c r="AY194" s="40"/>
      <c r="AZ194" s="43"/>
      <c r="BA194" s="40"/>
      <c r="BB194" s="40"/>
      <c r="BC194" s="42"/>
      <c r="BD194" s="40"/>
      <c r="BE194" s="40"/>
      <c r="BF194" s="43"/>
      <c r="BG194" s="40"/>
      <c r="BH194" s="40"/>
      <c r="BI194" s="42"/>
      <c r="BJ194" s="40"/>
      <c r="BK194" s="40"/>
      <c r="BL194" s="43"/>
      <c r="BM194" s="40"/>
      <c r="BN194" s="40"/>
      <c r="BO194" s="42"/>
      <c r="BP194" s="40"/>
      <c r="BQ194" s="40"/>
      <c r="BR194" s="43"/>
      <c r="BS194" s="40"/>
      <c r="BT194" s="40"/>
      <c r="BU194" s="42"/>
      <c r="BV194" s="40"/>
      <c r="BW194" s="40"/>
      <c r="BX194" s="43"/>
      <c r="BY194" s="40"/>
      <c r="BZ194" s="40"/>
      <c r="CA194" s="42"/>
      <c r="CB194" s="40"/>
      <c r="CC194" s="75"/>
      <c r="CD194" s="43"/>
      <c r="CE194" s="40"/>
      <c r="CF194" s="40"/>
      <c r="CG194" s="42"/>
      <c r="CH194" s="40"/>
      <c r="CI194" s="40"/>
      <c r="CJ194" s="43"/>
      <c r="CK194" s="40"/>
      <c r="CL194" s="40"/>
      <c r="CM194" s="42"/>
      <c r="CN194" s="40"/>
      <c r="CO194" s="40"/>
      <c r="CP194" s="43"/>
      <c r="CQ194" s="40"/>
      <c r="CR194" s="40"/>
      <c r="CS194" s="42"/>
      <c r="CT194" s="40"/>
      <c r="CU194" s="40"/>
      <c r="CV194" s="43"/>
      <c r="CW194" s="40"/>
      <c r="CX194" s="40"/>
      <c r="CY194" s="42"/>
      <c r="CZ194" s="40"/>
      <c r="DA194" s="40"/>
      <c r="DB194" s="43"/>
      <c r="DC194" s="40"/>
      <c r="DD194" s="75" t="s">
        <v>364</v>
      </c>
      <c r="DE194" s="69">
        <v>28450</v>
      </c>
      <c r="DF194" s="40"/>
      <c r="DG194" s="40"/>
      <c r="DH194" s="68">
        <v>0</v>
      </c>
    </row>
    <row r="195" spans="1:112" ht="34.5">
      <c r="A195" s="40">
        <v>314</v>
      </c>
      <c r="B195" s="40" t="s">
        <v>210</v>
      </c>
      <c r="C195" s="40">
        <v>4</v>
      </c>
      <c r="D195" s="29" t="s">
        <v>181</v>
      </c>
      <c r="E195" s="30">
        <v>3</v>
      </c>
      <c r="F195" s="30">
        <v>7</v>
      </c>
      <c r="G195" s="52">
        <v>67.019166000000013</v>
      </c>
      <c r="H195" s="68">
        <f t="shared" si="2"/>
        <v>0</v>
      </c>
      <c r="I195" s="47">
        <v>67.019166000000013</v>
      </c>
      <c r="J195" s="43">
        <v>35</v>
      </c>
      <c r="K195" s="40"/>
      <c r="L195" s="40"/>
      <c r="M195" s="43"/>
      <c r="N195" s="40"/>
      <c r="O195" s="40"/>
      <c r="P195" s="40"/>
      <c r="Q195" s="42"/>
      <c r="R195" s="40"/>
      <c r="S195" s="40"/>
      <c r="T195" s="43"/>
      <c r="U195" s="40"/>
      <c r="V195" s="40"/>
      <c r="W195" s="42"/>
      <c r="X195" s="40"/>
      <c r="Y195" s="40"/>
      <c r="Z195" s="43"/>
      <c r="AA195" s="40"/>
      <c r="AB195" s="40"/>
      <c r="AC195" s="42"/>
      <c r="AD195" s="40"/>
      <c r="AE195" s="40"/>
      <c r="AF195" s="40"/>
      <c r="AG195" s="43"/>
      <c r="AH195" s="40"/>
      <c r="AI195" s="40"/>
      <c r="AJ195" s="40"/>
      <c r="AK195" s="42"/>
      <c r="AL195" s="40"/>
      <c r="AM195" s="40"/>
      <c r="AN195" s="43"/>
      <c r="AO195" s="40"/>
      <c r="AP195" s="40"/>
      <c r="AQ195" s="42"/>
      <c r="AR195" s="40"/>
      <c r="AS195" s="40"/>
      <c r="AT195" s="43"/>
      <c r="AU195" s="40"/>
      <c r="AV195" s="40"/>
      <c r="AW195" s="42"/>
      <c r="AX195" s="40"/>
      <c r="AY195" s="40"/>
      <c r="AZ195" s="43"/>
      <c r="BA195" s="40"/>
      <c r="BB195" s="40"/>
      <c r="BC195" s="42"/>
      <c r="BD195" s="40"/>
      <c r="BE195" s="40"/>
      <c r="BF195" s="43"/>
      <c r="BG195" s="40"/>
      <c r="BH195" s="40"/>
      <c r="BI195" s="42"/>
      <c r="BJ195" s="40"/>
      <c r="BK195" s="40"/>
      <c r="BL195" s="43"/>
      <c r="BM195" s="40"/>
      <c r="BN195" s="40"/>
      <c r="BO195" s="42"/>
      <c r="BP195" s="40"/>
      <c r="BQ195" s="40"/>
      <c r="BR195" s="43"/>
      <c r="BS195" s="40"/>
      <c r="BT195" s="40"/>
      <c r="BU195" s="42"/>
      <c r="BV195" s="40"/>
      <c r="BW195" s="40"/>
      <c r="BX195" s="43"/>
      <c r="BY195" s="40"/>
      <c r="BZ195" s="40"/>
      <c r="CA195" s="42"/>
      <c r="CB195" s="40"/>
      <c r="CC195" s="75"/>
      <c r="CD195" s="43"/>
      <c r="CE195" s="40"/>
      <c r="CF195" s="40"/>
      <c r="CG195" s="42"/>
      <c r="CH195" s="40"/>
      <c r="CI195" s="40"/>
      <c r="CJ195" s="43"/>
      <c r="CK195" s="40"/>
      <c r="CL195" s="40"/>
      <c r="CM195" s="42"/>
      <c r="CN195" s="40"/>
      <c r="CO195" s="40"/>
      <c r="CP195" s="43"/>
      <c r="CQ195" s="40"/>
      <c r="CR195" s="40"/>
      <c r="CS195" s="42"/>
      <c r="CT195" s="40"/>
      <c r="CU195" s="40"/>
      <c r="CV195" s="43"/>
      <c r="CW195" s="40"/>
      <c r="CX195" s="40"/>
      <c r="CY195" s="42"/>
      <c r="CZ195" s="40"/>
      <c r="DA195" s="40"/>
      <c r="DB195" s="43"/>
      <c r="DC195" s="40" t="s">
        <v>420</v>
      </c>
      <c r="DD195" s="74" t="s">
        <v>328</v>
      </c>
      <c r="DE195" s="69">
        <v>35000</v>
      </c>
      <c r="DF195" s="40"/>
      <c r="DG195" s="40"/>
      <c r="DH195" s="68">
        <v>0</v>
      </c>
    </row>
    <row r="196" spans="1:112">
      <c r="A196" s="40">
        <v>315</v>
      </c>
      <c r="B196" s="40" t="s">
        <v>210</v>
      </c>
      <c r="C196" s="40">
        <v>4</v>
      </c>
      <c r="D196" s="29" t="s">
        <v>181</v>
      </c>
      <c r="E196" s="30">
        <v>6</v>
      </c>
      <c r="F196" s="30">
        <v>7</v>
      </c>
      <c r="G196" s="52">
        <v>4.9277680000000039</v>
      </c>
      <c r="H196" s="68">
        <f t="shared" si="2"/>
        <v>0</v>
      </c>
      <c r="I196" s="47">
        <v>4.9277680000000039</v>
      </c>
      <c r="J196" s="43">
        <v>4.93</v>
      </c>
      <c r="K196" s="40"/>
      <c r="L196" s="40"/>
      <c r="M196" s="43"/>
      <c r="N196" s="40"/>
      <c r="O196" s="40"/>
      <c r="P196" s="40"/>
      <c r="Q196" s="42"/>
      <c r="R196" s="40"/>
      <c r="S196" s="40"/>
      <c r="T196" s="43"/>
      <c r="U196" s="40"/>
      <c r="V196" s="40"/>
      <c r="W196" s="42"/>
      <c r="X196" s="40"/>
      <c r="Y196" s="40"/>
      <c r="Z196" s="43"/>
      <c r="AA196" s="40"/>
      <c r="AB196" s="40"/>
      <c r="AC196" s="42"/>
      <c r="AD196" s="40"/>
      <c r="AE196" s="40"/>
      <c r="AF196" s="40"/>
      <c r="AG196" s="43"/>
      <c r="AH196" s="40"/>
      <c r="AI196" s="40"/>
      <c r="AJ196" s="40"/>
      <c r="AK196" s="42"/>
      <c r="AL196" s="40"/>
      <c r="AM196" s="40"/>
      <c r="AN196" s="43"/>
      <c r="AO196" s="40"/>
      <c r="AP196" s="40"/>
      <c r="AQ196" s="42"/>
      <c r="AR196" s="40"/>
      <c r="AS196" s="40"/>
      <c r="AT196" s="43"/>
      <c r="AU196" s="40"/>
      <c r="AV196" s="40"/>
      <c r="AW196" s="42"/>
      <c r="AX196" s="40"/>
      <c r="AY196" s="40"/>
      <c r="AZ196" s="43"/>
      <c r="BA196" s="40"/>
      <c r="BB196" s="40"/>
      <c r="BC196" s="42"/>
      <c r="BD196" s="40"/>
      <c r="BE196" s="40"/>
      <c r="BF196" s="43"/>
      <c r="BG196" s="40"/>
      <c r="BH196" s="40"/>
      <c r="BI196" s="42"/>
      <c r="BJ196" s="40"/>
      <c r="BK196" s="40"/>
      <c r="BL196" s="43"/>
      <c r="BM196" s="40"/>
      <c r="BN196" s="40"/>
      <c r="BO196" s="42"/>
      <c r="BP196" s="40"/>
      <c r="BQ196" s="40"/>
      <c r="BR196" s="43"/>
      <c r="BS196" s="40"/>
      <c r="BT196" s="40"/>
      <c r="BU196" s="42"/>
      <c r="BV196" s="40"/>
      <c r="BW196" s="40"/>
      <c r="BX196" s="43"/>
      <c r="BY196" s="40"/>
      <c r="BZ196" s="40"/>
      <c r="CA196" s="42"/>
      <c r="CB196" s="40"/>
      <c r="CC196" s="75"/>
      <c r="CD196" s="43"/>
      <c r="CE196" s="40"/>
      <c r="CF196" s="40"/>
      <c r="CG196" s="42"/>
      <c r="CH196" s="40"/>
      <c r="CI196" s="40"/>
      <c r="CJ196" s="43"/>
      <c r="CK196" s="40"/>
      <c r="CL196" s="40"/>
      <c r="CM196" s="42"/>
      <c r="CN196" s="40"/>
      <c r="CO196" s="40"/>
      <c r="CP196" s="43"/>
      <c r="CQ196" s="40"/>
      <c r="CR196" s="40"/>
      <c r="CS196" s="42"/>
      <c r="CT196" s="40"/>
      <c r="CU196" s="40"/>
      <c r="CV196" s="43"/>
      <c r="CW196" s="40"/>
      <c r="CX196" s="40"/>
      <c r="CY196" s="42"/>
      <c r="CZ196" s="40"/>
      <c r="DA196" s="40"/>
      <c r="DB196" s="43"/>
      <c r="DC196" s="40"/>
      <c r="DD196" s="75" t="s">
        <v>364</v>
      </c>
      <c r="DE196" s="69">
        <v>4930</v>
      </c>
      <c r="DF196" s="40"/>
      <c r="DG196" s="40"/>
      <c r="DH196" s="68">
        <v>0</v>
      </c>
    </row>
    <row r="197" spans="1:112">
      <c r="A197" s="40">
        <v>316</v>
      </c>
      <c r="B197" s="40" t="s">
        <v>210</v>
      </c>
      <c r="C197" s="40">
        <v>4</v>
      </c>
      <c r="D197" s="29" t="s">
        <v>181</v>
      </c>
      <c r="E197" s="30">
        <v>8</v>
      </c>
      <c r="F197" s="30">
        <v>7</v>
      </c>
      <c r="G197" s="52">
        <v>42.469806000000005</v>
      </c>
      <c r="H197" s="68">
        <f t="shared" si="2"/>
        <v>0</v>
      </c>
      <c r="I197" s="47">
        <v>42.469806000000005</v>
      </c>
      <c r="J197" s="43">
        <v>42.47</v>
      </c>
      <c r="K197" s="40"/>
      <c r="L197" s="40"/>
      <c r="M197" s="43"/>
      <c r="N197" s="40"/>
      <c r="O197" s="40"/>
      <c r="P197" s="40"/>
      <c r="Q197" s="42"/>
      <c r="R197" s="40"/>
      <c r="S197" s="40"/>
      <c r="T197" s="43"/>
      <c r="U197" s="40"/>
      <c r="V197" s="40"/>
      <c r="W197" s="42"/>
      <c r="X197" s="40"/>
      <c r="Y197" s="40"/>
      <c r="Z197" s="43"/>
      <c r="AA197" s="40"/>
      <c r="AB197" s="40"/>
      <c r="AC197" s="42"/>
      <c r="AD197" s="40"/>
      <c r="AE197" s="40"/>
      <c r="AF197" s="40"/>
      <c r="AG197" s="43"/>
      <c r="AH197" s="40"/>
      <c r="AI197" s="40"/>
      <c r="AJ197" s="40"/>
      <c r="AK197" s="42"/>
      <c r="AL197" s="40"/>
      <c r="AM197" s="40"/>
      <c r="AN197" s="43"/>
      <c r="AO197" s="40"/>
      <c r="AP197" s="40"/>
      <c r="AQ197" s="42"/>
      <c r="AR197" s="40"/>
      <c r="AS197" s="40"/>
      <c r="AT197" s="43"/>
      <c r="AU197" s="40"/>
      <c r="AV197" s="40"/>
      <c r="AW197" s="42"/>
      <c r="AX197" s="40"/>
      <c r="AY197" s="40"/>
      <c r="AZ197" s="43"/>
      <c r="BA197" s="40"/>
      <c r="BB197" s="40"/>
      <c r="BC197" s="42"/>
      <c r="BD197" s="40"/>
      <c r="BE197" s="40"/>
      <c r="BF197" s="43"/>
      <c r="BG197" s="40"/>
      <c r="BH197" s="40"/>
      <c r="BI197" s="42"/>
      <c r="BJ197" s="40"/>
      <c r="BK197" s="40"/>
      <c r="BL197" s="43"/>
      <c r="BM197" s="40"/>
      <c r="BN197" s="40"/>
      <c r="BO197" s="42"/>
      <c r="BP197" s="40"/>
      <c r="BQ197" s="40"/>
      <c r="BR197" s="43"/>
      <c r="BS197" s="40"/>
      <c r="BT197" s="40"/>
      <c r="BU197" s="42"/>
      <c r="BV197" s="40" t="s">
        <v>406</v>
      </c>
      <c r="BW197" s="40">
        <v>7</v>
      </c>
      <c r="BX197" s="43">
        <v>27470</v>
      </c>
      <c r="BY197" s="40"/>
      <c r="BZ197" s="40"/>
      <c r="CA197" s="42"/>
      <c r="CB197" s="40"/>
      <c r="CC197" s="75"/>
      <c r="CD197" s="43"/>
      <c r="CE197" s="40"/>
      <c r="CF197" s="40"/>
      <c r="CG197" s="42"/>
      <c r="CH197" s="40"/>
      <c r="CI197" s="40"/>
      <c r="CJ197" s="43"/>
      <c r="CK197" s="40"/>
      <c r="CL197" s="40"/>
      <c r="CM197" s="42"/>
      <c r="CN197" s="40"/>
      <c r="CO197" s="40"/>
      <c r="CP197" s="43"/>
      <c r="CQ197" s="40"/>
      <c r="CR197" s="40"/>
      <c r="CS197" s="42"/>
      <c r="CT197" s="40"/>
      <c r="CU197" s="40"/>
      <c r="CV197" s="43"/>
      <c r="CW197" s="40"/>
      <c r="CX197" s="40"/>
      <c r="CY197" s="42"/>
      <c r="CZ197" s="40"/>
      <c r="DA197" s="40"/>
      <c r="DB197" s="43"/>
      <c r="DC197" s="40" t="s">
        <v>411</v>
      </c>
      <c r="DD197" s="75" t="s">
        <v>365</v>
      </c>
      <c r="DE197" s="69">
        <v>15000</v>
      </c>
      <c r="DF197" s="40"/>
      <c r="DG197" s="40"/>
      <c r="DH197" s="68">
        <v>0</v>
      </c>
    </row>
    <row r="198" spans="1:112" ht="23.25">
      <c r="A198" s="40">
        <v>317</v>
      </c>
      <c r="B198" s="100" t="s">
        <v>210</v>
      </c>
      <c r="C198" s="40">
        <v>4</v>
      </c>
      <c r="D198" s="29" t="s">
        <v>181</v>
      </c>
      <c r="E198" s="30">
        <v>10</v>
      </c>
      <c r="F198" s="30">
        <v>7</v>
      </c>
      <c r="G198" s="52">
        <v>35.288090000000004</v>
      </c>
      <c r="H198" s="68">
        <f t="shared" si="2"/>
        <v>7.3826599999999996</v>
      </c>
      <c r="I198" s="47">
        <v>35.288090000000004</v>
      </c>
      <c r="J198" s="43">
        <v>35</v>
      </c>
      <c r="K198" s="40" t="s">
        <v>407</v>
      </c>
      <c r="L198" s="40">
        <v>1</v>
      </c>
      <c r="M198" s="43">
        <v>5000</v>
      </c>
      <c r="N198" s="40"/>
      <c r="O198" s="40"/>
      <c r="P198" s="40"/>
      <c r="Q198" s="42"/>
      <c r="R198" s="40"/>
      <c r="S198" s="40"/>
      <c r="T198" s="43"/>
      <c r="U198" s="40"/>
      <c r="V198" s="40"/>
      <c r="W198" s="42"/>
      <c r="X198" s="40"/>
      <c r="Y198" s="40"/>
      <c r="Z198" s="43"/>
      <c r="AA198" s="40"/>
      <c r="AB198" s="40"/>
      <c r="AC198" s="42"/>
      <c r="AD198" s="99" t="s">
        <v>432</v>
      </c>
      <c r="AE198" s="40"/>
      <c r="AF198" s="40"/>
      <c r="AG198" s="43"/>
      <c r="AH198" s="40"/>
      <c r="AI198" s="40"/>
      <c r="AJ198" s="40"/>
      <c r="AK198" s="42"/>
      <c r="AL198" s="40"/>
      <c r="AM198" s="40"/>
      <c r="AN198" s="43"/>
      <c r="AO198" s="40"/>
      <c r="AP198" s="40"/>
      <c r="AQ198" s="42"/>
      <c r="AR198" s="40"/>
      <c r="AS198" s="40"/>
      <c r="AT198" s="43"/>
      <c r="AU198" s="40"/>
      <c r="AV198" s="40"/>
      <c r="AW198" s="42"/>
      <c r="AX198" s="40"/>
      <c r="AY198" s="40"/>
      <c r="AZ198" s="43"/>
      <c r="BA198" s="40"/>
      <c r="BB198" s="40"/>
      <c r="BC198" s="42"/>
      <c r="BD198" s="40"/>
      <c r="BE198" s="40"/>
      <c r="BF198" s="43"/>
      <c r="BG198" s="40"/>
      <c r="BH198" s="40"/>
      <c r="BI198" s="42"/>
      <c r="BJ198" s="40"/>
      <c r="BK198" s="40"/>
      <c r="BL198" s="43"/>
      <c r="BM198" s="40"/>
      <c r="BN198" s="40"/>
      <c r="BO198" s="42"/>
      <c r="BP198" s="40"/>
      <c r="BQ198" s="40"/>
      <c r="BR198" s="43"/>
      <c r="BS198" s="40"/>
      <c r="BT198" s="40"/>
      <c r="BU198" s="42"/>
      <c r="BV198" s="40"/>
      <c r="BW198" s="40"/>
      <c r="BX198" s="43"/>
      <c r="BY198" s="40"/>
      <c r="BZ198" s="40"/>
      <c r="CA198" s="42"/>
      <c r="CB198" s="40"/>
      <c r="CC198" s="75"/>
      <c r="CD198" s="43"/>
      <c r="CE198" s="40"/>
      <c r="CF198" s="40"/>
      <c r="CG198" s="42"/>
      <c r="CH198" s="40"/>
      <c r="CI198" s="40"/>
      <c r="CJ198" s="43"/>
      <c r="CK198" s="40"/>
      <c r="CL198" s="40"/>
      <c r="CM198" s="42"/>
      <c r="CN198" s="40"/>
      <c r="CO198" s="40"/>
      <c r="CP198" s="43"/>
      <c r="CQ198" s="40"/>
      <c r="CR198" s="40"/>
      <c r="CS198" s="42"/>
      <c r="CT198" s="40"/>
      <c r="CU198" s="40"/>
      <c r="CV198" s="43"/>
      <c r="CW198" s="40"/>
      <c r="CX198" s="40"/>
      <c r="CY198" s="42"/>
      <c r="CZ198" s="40"/>
      <c r="DA198" s="40"/>
      <c r="DB198" s="43"/>
      <c r="DC198" s="40" t="s">
        <v>411</v>
      </c>
      <c r="DD198" s="74" t="s">
        <v>366</v>
      </c>
      <c r="DE198" s="69">
        <v>30000</v>
      </c>
      <c r="DF198" s="44" t="s">
        <v>402</v>
      </c>
      <c r="DG198" s="40" t="s">
        <v>469</v>
      </c>
      <c r="DH198" s="68">
        <v>7382.66</v>
      </c>
    </row>
    <row r="199" spans="1:112">
      <c r="A199" s="40">
        <v>321</v>
      </c>
      <c r="B199" s="40" t="s">
        <v>210</v>
      </c>
      <c r="C199" s="40">
        <v>4</v>
      </c>
      <c r="D199" s="31" t="s">
        <v>183</v>
      </c>
      <c r="E199" s="30">
        <v>12</v>
      </c>
      <c r="F199" s="30">
        <v>7</v>
      </c>
      <c r="G199" s="52">
        <v>9.7496679999999998</v>
      </c>
      <c r="H199" s="68">
        <f t="shared" si="2"/>
        <v>0</v>
      </c>
      <c r="I199" s="47">
        <v>9.7496679999999998</v>
      </c>
      <c r="J199" s="43">
        <v>9.75</v>
      </c>
      <c r="K199" s="40"/>
      <c r="L199" s="40"/>
      <c r="M199" s="43"/>
      <c r="N199" s="40"/>
      <c r="O199" s="40"/>
      <c r="P199" s="40"/>
      <c r="Q199" s="42"/>
      <c r="R199" s="40"/>
      <c r="S199" s="40"/>
      <c r="T199" s="43"/>
      <c r="U199" s="40"/>
      <c r="V199" s="40"/>
      <c r="W199" s="42"/>
      <c r="X199" s="40"/>
      <c r="Y199" s="40"/>
      <c r="Z199" s="43"/>
      <c r="AA199" s="40"/>
      <c r="AB199" s="40"/>
      <c r="AC199" s="42"/>
      <c r="AD199" s="40"/>
      <c r="AE199" s="40"/>
      <c r="AF199" s="40"/>
      <c r="AG199" s="43"/>
      <c r="AH199" s="40"/>
      <c r="AI199" s="40"/>
      <c r="AJ199" s="40"/>
      <c r="AK199" s="42"/>
      <c r="AL199" s="40"/>
      <c r="AM199" s="40"/>
      <c r="AN199" s="43"/>
      <c r="AO199" s="40"/>
      <c r="AP199" s="40"/>
      <c r="AQ199" s="42"/>
      <c r="AR199" s="40"/>
      <c r="AS199" s="40"/>
      <c r="AT199" s="43"/>
      <c r="AU199" s="40"/>
      <c r="AV199" s="40"/>
      <c r="AW199" s="42"/>
      <c r="AX199" s="40"/>
      <c r="AY199" s="40"/>
      <c r="AZ199" s="43"/>
      <c r="BA199" s="40"/>
      <c r="BB199" s="40"/>
      <c r="BC199" s="42"/>
      <c r="BD199" s="40"/>
      <c r="BE199" s="40"/>
      <c r="BF199" s="43"/>
      <c r="BG199" s="40"/>
      <c r="BH199" s="40"/>
      <c r="BI199" s="42"/>
      <c r="BJ199" s="40"/>
      <c r="BK199" s="40"/>
      <c r="BL199" s="43"/>
      <c r="BM199" s="40"/>
      <c r="BN199" s="40"/>
      <c r="BO199" s="42"/>
      <c r="BP199" s="40"/>
      <c r="BQ199" s="40"/>
      <c r="BR199" s="43"/>
      <c r="BS199" s="40"/>
      <c r="BT199" s="40"/>
      <c r="BU199" s="42"/>
      <c r="BV199" s="40"/>
      <c r="BW199" s="40"/>
      <c r="BX199" s="43"/>
      <c r="BY199" s="40"/>
      <c r="BZ199" s="40"/>
      <c r="CA199" s="42"/>
      <c r="CB199" s="40"/>
      <c r="CC199" s="75"/>
      <c r="CD199" s="43"/>
      <c r="CE199" s="40"/>
      <c r="CF199" s="40"/>
      <c r="CG199" s="42"/>
      <c r="CH199" s="40"/>
      <c r="CI199" s="40"/>
      <c r="CJ199" s="43"/>
      <c r="CK199" s="40"/>
      <c r="CL199" s="40"/>
      <c r="CM199" s="42"/>
      <c r="CN199" s="40"/>
      <c r="CO199" s="40"/>
      <c r="CP199" s="43"/>
      <c r="CQ199" s="40"/>
      <c r="CR199" s="40"/>
      <c r="CS199" s="42"/>
      <c r="CT199" s="40"/>
      <c r="CU199" s="40"/>
      <c r="CV199" s="43"/>
      <c r="CW199" s="40"/>
      <c r="CX199" s="40"/>
      <c r="CY199" s="42"/>
      <c r="CZ199" s="40"/>
      <c r="DA199" s="40"/>
      <c r="DB199" s="43"/>
      <c r="DC199" s="40"/>
      <c r="DD199" s="75" t="s">
        <v>311</v>
      </c>
      <c r="DE199" s="69">
        <v>9750</v>
      </c>
      <c r="DF199" s="40"/>
      <c r="DG199" s="40"/>
      <c r="DH199" s="68">
        <v>0</v>
      </c>
    </row>
    <row r="200" spans="1:112">
      <c r="A200" s="40">
        <v>322</v>
      </c>
      <c r="B200" s="40" t="s">
        <v>210</v>
      </c>
      <c r="C200" s="40">
        <v>5</v>
      </c>
      <c r="D200" s="29" t="s">
        <v>184</v>
      </c>
      <c r="E200" s="30">
        <v>185</v>
      </c>
      <c r="F200" s="30">
        <v>7</v>
      </c>
      <c r="G200" s="52">
        <v>5.9078740000000014</v>
      </c>
      <c r="H200" s="68">
        <f t="shared" si="2"/>
        <v>0</v>
      </c>
      <c r="I200" s="47">
        <v>5.9078740000000014</v>
      </c>
      <c r="J200" s="43">
        <v>8</v>
      </c>
      <c r="K200" s="40"/>
      <c r="L200" s="40"/>
      <c r="M200" s="43"/>
      <c r="N200" s="40"/>
      <c r="O200" s="40"/>
      <c r="P200" s="40"/>
      <c r="Q200" s="42"/>
      <c r="R200" s="40"/>
      <c r="S200" s="40"/>
      <c r="T200" s="43"/>
      <c r="U200" s="40"/>
      <c r="V200" s="40"/>
      <c r="W200" s="42"/>
      <c r="X200" s="40"/>
      <c r="Y200" s="40"/>
      <c r="Z200" s="43"/>
      <c r="AA200" s="40"/>
      <c r="AB200" s="40"/>
      <c r="AC200" s="42"/>
      <c r="AD200" s="40"/>
      <c r="AE200" s="40"/>
      <c r="AF200" s="40"/>
      <c r="AG200" s="43"/>
      <c r="AH200" s="40"/>
      <c r="AI200" s="40"/>
      <c r="AJ200" s="40"/>
      <c r="AK200" s="42"/>
      <c r="AL200" s="40"/>
      <c r="AM200" s="40"/>
      <c r="AN200" s="43"/>
      <c r="AO200" s="40"/>
      <c r="AP200" s="40"/>
      <c r="AQ200" s="42"/>
      <c r="AR200" s="40"/>
      <c r="AS200" s="40"/>
      <c r="AT200" s="43"/>
      <c r="AU200" s="40"/>
      <c r="AV200" s="40"/>
      <c r="AW200" s="42"/>
      <c r="AX200" s="40"/>
      <c r="AY200" s="40"/>
      <c r="AZ200" s="43"/>
      <c r="BA200" s="40"/>
      <c r="BB200" s="40"/>
      <c r="BC200" s="42"/>
      <c r="BD200" s="40"/>
      <c r="BE200" s="40"/>
      <c r="BF200" s="43"/>
      <c r="BG200" s="40"/>
      <c r="BH200" s="40"/>
      <c r="BI200" s="42"/>
      <c r="BJ200" s="40"/>
      <c r="BK200" s="40"/>
      <c r="BL200" s="43"/>
      <c r="BM200" s="40"/>
      <c r="BN200" s="40"/>
      <c r="BO200" s="42"/>
      <c r="BP200" s="40"/>
      <c r="BQ200" s="40"/>
      <c r="BR200" s="43"/>
      <c r="BS200" s="40"/>
      <c r="BT200" s="40"/>
      <c r="BU200" s="42"/>
      <c r="BV200" s="40"/>
      <c r="BW200" s="40"/>
      <c r="BX200" s="43"/>
      <c r="BY200" s="40"/>
      <c r="BZ200" s="40"/>
      <c r="CA200" s="42"/>
      <c r="CB200" s="40"/>
      <c r="CC200" s="75"/>
      <c r="CD200" s="43"/>
      <c r="CE200" s="40"/>
      <c r="CF200" s="40"/>
      <c r="CG200" s="42"/>
      <c r="CH200" s="40"/>
      <c r="CI200" s="40"/>
      <c r="CJ200" s="43"/>
      <c r="CK200" s="40"/>
      <c r="CL200" s="40"/>
      <c r="CM200" s="42"/>
      <c r="CN200" s="40"/>
      <c r="CO200" s="40"/>
      <c r="CP200" s="43"/>
      <c r="CQ200" s="40"/>
      <c r="CR200" s="40"/>
      <c r="CS200" s="42"/>
      <c r="CT200" s="40"/>
      <c r="CU200" s="40"/>
      <c r="CV200" s="43"/>
      <c r="CW200" s="40"/>
      <c r="CX200" s="40"/>
      <c r="CY200" s="42"/>
      <c r="CZ200" s="40"/>
      <c r="DA200" s="40"/>
      <c r="DB200" s="43"/>
      <c r="DC200" s="40" t="s">
        <v>405</v>
      </c>
      <c r="DD200" s="75" t="s">
        <v>305</v>
      </c>
      <c r="DE200" s="69">
        <v>8000</v>
      </c>
      <c r="DF200" s="40"/>
      <c r="DG200" s="40"/>
      <c r="DH200" s="68">
        <v>0</v>
      </c>
    </row>
    <row r="201" spans="1:112">
      <c r="A201" s="40">
        <v>323</v>
      </c>
      <c r="B201" s="40" t="s">
        <v>210</v>
      </c>
      <c r="C201" s="40">
        <v>5</v>
      </c>
      <c r="D201" s="29" t="s">
        <v>185</v>
      </c>
      <c r="E201" s="30" t="s">
        <v>186</v>
      </c>
      <c r="F201" s="30">
        <v>7</v>
      </c>
      <c r="G201" s="52">
        <v>31.769466000000001</v>
      </c>
      <c r="H201" s="68">
        <f t="shared" ref="H201:H223" si="3">(Q201+W201+AC201+AK201+AQ201+AW201+BC201+BI201+BO201+BU201+CA201+CG201+CM201+CS201+CY201+DH201)/1000</f>
        <v>0</v>
      </c>
      <c r="I201" s="47">
        <v>31.769466000000001</v>
      </c>
      <c r="J201" s="43">
        <v>7</v>
      </c>
      <c r="K201" s="40"/>
      <c r="L201" s="40"/>
      <c r="M201" s="43"/>
      <c r="N201" s="40"/>
      <c r="O201" s="40"/>
      <c r="P201" s="40"/>
      <c r="Q201" s="42"/>
      <c r="R201" s="40"/>
      <c r="S201" s="40"/>
      <c r="T201" s="43"/>
      <c r="U201" s="40"/>
      <c r="V201" s="40"/>
      <c r="W201" s="42"/>
      <c r="X201" s="40"/>
      <c r="Y201" s="40"/>
      <c r="Z201" s="43"/>
      <c r="AA201" s="40"/>
      <c r="AB201" s="40"/>
      <c r="AC201" s="42"/>
      <c r="AD201" s="40"/>
      <c r="AE201" s="40"/>
      <c r="AF201" s="40"/>
      <c r="AG201" s="43"/>
      <c r="AH201" s="40"/>
      <c r="AI201" s="40"/>
      <c r="AJ201" s="40"/>
      <c r="AK201" s="42"/>
      <c r="AL201" s="40"/>
      <c r="AM201" s="40"/>
      <c r="AN201" s="43"/>
      <c r="AO201" s="40"/>
      <c r="AP201" s="40"/>
      <c r="AQ201" s="42"/>
      <c r="AR201" s="40"/>
      <c r="AS201" s="40"/>
      <c r="AT201" s="43"/>
      <c r="AU201" s="40"/>
      <c r="AV201" s="40"/>
      <c r="AW201" s="42"/>
      <c r="AX201" s="40"/>
      <c r="AY201" s="40"/>
      <c r="AZ201" s="43"/>
      <c r="BA201" s="40"/>
      <c r="BB201" s="40"/>
      <c r="BC201" s="42"/>
      <c r="BD201" s="40"/>
      <c r="BE201" s="40"/>
      <c r="BF201" s="43"/>
      <c r="BG201" s="40"/>
      <c r="BH201" s="40"/>
      <c r="BI201" s="42"/>
      <c r="BJ201" s="40"/>
      <c r="BK201" s="40"/>
      <c r="BL201" s="43"/>
      <c r="BM201" s="40"/>
      <c r="BN201" s="40"/>
      <c r="BO201" s="42"/>
      <c r="BP201" s="40"/>
      <c r="BQ201" s="40"/>
      <c r="BR201" s="43"/>
      <c r="BS201" s="40"/>
      <c r="BT201" s="40"/>
      <c r="BU201" s="42"/>
      <c r="BV201" s="40"/>
      <c r="BW201" s="40"/>
      <c r="BX201" s="43"/>
      <c r="BY201" s="40"/>
      <c r="BZ201" s="40"/>
      <c r="CA201" s="42"/>
      <c r="CB201" s="40"/>
      <c r="CC201" s="75"/>
      <c r="CD201" s="43"/>
      <c r="CE201" s="40"/>
      <c r="CF201" s="40"/>
      <c r="CG201" s="42"/>
      <c r="CH201" s="40"/>
      <c r="CI201" s="40"/>
      <c r="CJ201" s="43"/>
      <c r="CK201" s="40"/>
      <c r="CL201" s="40"/>
      <c r="CM201" s="42"/>
      <c r="CN201" s="40"/>
      <c r="CO201" s="40"/>
      <c r="CP201" s="43"/>
      <c r="CQ201" s="40"/>
      <c r="CR201" s="40"/>
      <c r="CS201" s="42"/>
      <c r="CT201" s="40"/>
      <c r="CU201" s="40"/>
      <c r="CV201" s="43"/>
      <c r="CW201" s="40"/>
      <c r="CX201" s="40"/>
      <c r="CY201" s="42"/>
      <c r="CZ201" s="40"/>
      <c r="DA201" s="40"/>
      <c r="DB201" s="43"/>
      <c r="DC201" s="40" t="s">
        <v>323</v>
      </c>
      <c r="DD201" s="75" t="s">
        <v>327</v>
      </c>
      <c r="DE201" s="69">
        <v>7000</v>
      </c>
      <c r="DF201" s="40"/>
      <c r="DG201" s="40"/>
      <c r="DH201" s="68">
        <v>0</v>
      </c>
    </row>
    <row r="202" spans="1:112" ht="23.25">
      <c r="A202" s="40">
        <v>324</v>
      </c>
      <c r="B202" s="40" t="s">
        <v>210</v>
      </c>
      <c r="C202" s="40">
        <v>5</v>
      </c>
      <c r="D202" s="29" t="s">
        <v>184</v>
      </c>
      <c r="E202" s="30" t="s">
        <v>187</v>
      </c>
      <c r="F202" s="30">
        <v>7</v>
      </c>
      <c r="G202" s="52">
        <v>36.484114000000005</v>
      </c>
      <c r="H202" s="68">
        <f t="shared" si="3"/>
        <v>0</v>
      </c>
      <c r="I202" s="47">
        <v>36.484114000000005</v>
      </c>
      <c r="J202" s="43">
        <v>15</v>
      </c>
      <c r="K202" s="40"/>
      <c r="L202" s="40"/>
      <c r="M202" s="43"/>
      <c r="N202" s="40"/>
      <c r="O202" s="40"/>
      <c r="P202" s="40"/>
      <c r="Q202" s="42"/>
      <c r="R202" s="40"/>
      <c r="S202" s="40"/>
      <c r="T202" s="43"/>
      <c r="U202" s="40"/>
      <c r="V202" s="40"/>
      <c r="W202" s="42"/>
      <c r="X202" s="40"/>
      <c r="Y202" s="40"/>
      <c r="Z202" s="43"/>
      <c r="AA202" s="40"/>
      <c r="AB202" s="40"/>
      <c r="AC202" s="42"/>
      <c r="AD202" s="40"/>
      <c r="AE202" s="40"/>
      <c r="AF202" s="40"/>
      <c r="AG202" s="43"/>
      <c r="AH202" s="40"/>
      <c r="AI202" s="40"/>
      <c r="AJ202" s="40"/>
      <c r="AK202" s="42"/>
      <c r="AL202" s="40"/>
      <c r="AM202" s="40"/>
      <c r="AN202" s="43"/>
      <c r="AO202" s="40"/>
      <c r="AP202" s="40"/>
      <c r="AQ202" s="42"/>
      <c r="AR202" s="40"/>
      <c r="AS202" s="40"/>
      <c r="AT202" s="43"/>
      <c r="AU202" s="40"/>
      <c r="AV202" s="40"/>
      <c r="AW202" s="42"/>
      <c r="AX202" s="40"/>
      <c r="AY202" s="40"/>
      <c r="AZ202" s="43"/>
      <c r="BA202" s="40"/>
      <c r="BB202" s="40"/>
      <c r="BC202" s="42"/>
      <c r="BD202" s="40"/>
      <c r="BE202" s="40"/>
      <c r="BF202" s="43"/>
      <c r="BG202" s="40"/>
      <c r="BH202" s="40"/>
      <c r="BI202" s="42"/>
      <c r="BJ202" s="40"/>
      <c r="BK202" s="40"/>
      <c r="BL202" s="43"/>
      <c r="BM202" s="40"/>
      <c r="BN202" s="40"/>
      <c r="BO202" s="42"/>
      <c r="BP202" s="40"/>
      <c r="BQ202" s="40"/>
      <c r="BR202" s="43"/>
      <c r="BS202" s="40"/>
      <c r="BT202" s="40"/>
      <c r="BU202" s="42"/>
      <c r="BV202" s="40"/>
      <c r="BW202" s="40"/>
      <c r="BX202" s="43"/>
      <c r="BY202" s="40"/>
      <c r="BZ202" s="40"/>
      <c r="CA202" s="42"/>
      <c r="CB202" s="40"/>
      <c r="CC202" s="75"/>
      <c r="CD202" s="43"/>
      <c r="CE202" s="40"/>
      <c r="CF202" s="40"/>
      <c r="CG202" s="42"/>
      <c r="CH202" s="40"/>
      <c r="CI202" s="40"/>
      <c r="CJ202" s="43"/>
      <c r="CK202" s="40"/>
      <c r="CL202" s="40"/>
      <c r="CM202" s="42"/>
      <c r="CN202" s="40"/>
      <c r="CO202" s="40"/>
      <c r="CP202" s="43"/>
      <c r="CQ202" s="40"/>
      <c r="CR202" s="40"/>
      <c r="CS202" s="42"/>
      <c r="CT202" s="40"/>
      <c r="CU202" s="40"/>
      <c r="CV202" s="43"/>
      <c r="CW202" s="40"/>
      <c r="CX202" s="40"/>
      <c r="CY202" s="42"/>
      <c r="CZ202" s="40"/>
      <c r="DA202" s="40"/>
      <c r="DB202" s="43"/>
      <c r="DC202" s="40" t="s">
        <v>407</v>
      </c>
      <c r="DD202" s="74" t="s">
        <v>391</v>
      </c>
      <c r="DE202" s="69">
        <v>15000</v>
      </c>
      <c r="DF202" s="40"/>
      <c r="DG202" s="40"/>
      <c r="DH202" s="68">
        <v>0</v>
      </c>
    </row>
    <row r="203" spans="1:112">
      <c r="A203" s="40">
        <v>325</v>
      </c>
      <c r="B203" s="40" t="s">
        <v>210</v>
      </c>
      <c r="C203" s="40">
        <v>5</v>
      </c>
      <c r="D203" s="29" t="s">
        <v>184</v>
      </c>
      <c r="E203" s="30" t="s">
        <v>188</v>
      </c>
      <c r="F203" s="30">
        <v>7</v>
      </c>
      <c r="G203" s="52">
        <v>31.168843200000005</v>
      </c>
      <c r="H203" s="68">
        <f t="shared" si="3"/>
        <v>0</v>
      </c>
      <c r="I203" s="47">
        <v>31.168843200000005</v>
      </c>
      <c r="J203" s="43">
        <v>31.17</v>
      </c>
      <c r="K203" s="40"/>
      <c r="L203" s="40"/>
      <c r="M203" s="43"/>
      <c r="N203" s="40"/>
      <c r="O203" s="40"/>
      <c r="P203" s="40"/>
      <c r="Q203" s="42"/>
      <c r="R203" s="40"/>
      <c r="S203" s="40"/>
      <c r="T203" s="43"/>
      <c r="U203" s="40"/>
      <c r="V203" s="40"/>
      <c r="W203" s="42"/>
      <c r="X203" s="40"/>
      <c r="Y203" s="40"/>
      <c r="Z203" s="43"/>
      <c r="AA203" s="40"/>
      <c r="AB203" s="40"/>
      <c r="AC203" s="42"/>
      <c r="AD203" s="40" t="s">
        <v>407</v>
      </c>
      <c r="AE203" s="40" t="s">
        <v>308</v>
      </c>
      <c r="AF203" s="40">
        <v>39</v>
      </c>
      <c r="AG203" s="43">
        <v>31170</v>
      </c>
      <c r="AH203" s="40"/>
      <c r="AI203" s="40"/>
      <c r="AJ203" s="40"/>
      <c r="AK203" s="42"/>
      <c r="AL203" s="40"/>
      <c r="AM203" s="40"/>
      <c r="AN203" s="43"/>
      <c r="AO203" s="40"/>
      <c r="AP203" s="40"/>
      <c r="AQ203" s="42"/>
      <c r="AR203" s="40"/>
      <c r="AS203" s="40"/>
      <c r="AT203" s="43"/>
      <c r="AU203" s="40"/>
      <c r="AV203" s="40"/>
      <c r="AW203" s="42"/>
      <c r="AX203" s="40"/>
      <c r="AY203" s="40"/>
      <c r="AZ203" s="43"/>
      <c r="BA203" s="40"/>
      <c r="BB203" s="40"/>
      <c r="BC203" s="42"/>
      <c r="BD203" s="40"/>
      <c r="BE203" s="40"/>
      <c r="BF203" s="43"/>
      <c r="BG203" s="40"/>
      <c r="BH203" s="40"/>
      <c r="BI203" s="42"/>
      <c r="BJ203" s="40"/>
      <c r="BK203" s="40"/>
      <c r="BL203" s="43"/>
      <c r="BM203" s="40"/>
      <c r="BN203" s="40"/>
      <c r="BO203" s="42"/>
      <c r="BP203" s="40"/>
      <c r="BQ203" s="40"/>
      <c r="BR203" s="43"/>
      <c r="BS203" s="40"/>
      <c r="BT203" s="40"/>
      <c r="BU203" s="42"/>
      <c r="BV203" s="40"/>
      <c r="BW203" s="40"/>
      <c r="BX203" s="43"/>
      <c r="BY203" s="40"/>
      <c r="BZ203" s="40"/>
      <c r="CA203" s="42"/>
      <c r="CB203" s="40"/>
      <c r="CC203" s="75"/>
      <c r="CD203" s="43"/>
      <c r="CE203" s="40"/>
      <c r="CF203" s="40"/>
      <c r="CG203" s="42"/>
      <c r="CH203" s="40"/>
      <c r="CI203" s="40"/>
      <c r="CJ203" s="43"/>
      <c r="CK203" s="40"/>
      <c r="CL203" s="40"/>
      <c r="CM203" s="42"/>
      <c r="CN203" s="40"/>
      <c r="CO203" s="40"/>
      <c r="CP203" s="43"/>
      <c r="CQ203" s="40"/>
      <c r="CR203" s="40"/>
      <c r="CS203" s="42"/>
      <c r="CT203" s="40"/>
      <c r="CU203" s="40"/>
      <c r="CV203" s="43"/>
      <c r="CW203" s="40"/>
      <c r="CX203" s="40"/>
      <c r="CY203" s="42"/>
      <c r="CZ203" s="40"/>
      <c r="DA203" s="40"/>
      <c r="DB203" s="43"/>
      <c r="DC203" s="40"/>
      <c r="DD203" s="75"/>
      <c r="DE203" s="69">
        <v>0</v>
      </c>
      <c r="DF203" s="40"/>
      <c r="DG203" s="40"/>
      <c r="DH203" s="68">
        <v>0</v>
      </c>
    </row>
    <row r="204" spans="1:112">
      <c r="A204" s="40">
        <v>326</v>
      </c>
      <c r="B204" s="40" t="s">
        <v>210</v>
      </c>
      <c r="C204" s="40">
        <v>4</v>
      </c>
      <c r="D204" s="31" t="s">
        <v>189</v>
      </c>
      <c r="E204" s="30">
        <v>43</v>
      </c>
      <c r="F204" s="30">
        <v>7</v>
      </c>
      <c r="G204" s="52">
        <v>5.1149440000000004</v>
      </c>
      <c r="H204" s="68">
        <f t="shared" si="3"/>
        <v>0</v>
      </c>
      <c r="I204" s="47">
        <v>5.1149440000000004</v>
      </c>
      <c r="J204" s="43">
        <v>5.1100000000000003</v>
      </c>
      <c r="K204" s="40"/>
      <c r="L204" s="40"/>
      <c r="M204" s="43"/>
      <c r="N204" s="40"/>
      <c r="O204" s="40"/>
      <c r="P204" s="40"/>
      <c r="Q204" s="42"/>
      <c r="R204" s="40"/>
      <c r="S204" s="40"/>
      <c r="T204" s="43"/>
      <c r="U204" s="40"/>
      <c r="V204" s="40"/>
      <c r="W204" s="42"/>
      <c r="X204" s="40"/>
      <c r="Y204" s="40"/>
      <c r="Z204" s="43"/>
      <c r="AA204" s="40"/>
      <c r="AB204" s="40"/>
      <c r="AC204" s="42"/>
      <c r="AD204" s="40"/>
      <c r="AE204" s="40"/>
      <c r="AF204" s="40"/>
      <c r="AG204" s="43"/>
      <c r="AH204" s="40"/>
      <c r="AI204" s="40"/>
      <c r="AJ204" s="40"/>
      <c r="AK204" s="42"/>
      <c r="AL204" s="40"/>
      <c r="AM204" s="40"/>
      <c r="AN204" s="43"/>
      <c r="AO204" s="40"/>
      <c r="AP204" s="40"/>
      <c r="AQ204" s="42"/>
      <c r="AR204" s="40"/>
      <c r="AS204" s="40"/>
      <c r="AT204" s="43"/>
      <c r="AU204" s="40"/>
      <c r="AV204" s="40"/>
      <c r="AW204" s="42"/>
      <c r="AX204" s="40"/>
      <c r="AY204" s="40"/>
      <c r="AZ204" s="43"/>
      <c r="BA204" s="40"/>
      <c r="BB204" s="40"/>
      <c r="BC204" s="42"/>
      <c r="BD204" s="40"/>
      <c r="BE204" s="40"/>
      <c r="BF204" s="43"/>
      <c r="BG204" s="40"/>
      <c r="BH204" s="40"/>
      <c r="BI204" s="42"/>
      <c r="BJ204" s="40"/>
      <c r="BK204" s="40"/>
      <c r="BL204" s="43"/>
      <c r="BM204" s="40"/>
      <c r="BN204" s="40"/>
      <c r="BO204" s="42"/>
      <c r="BP204" s="40"/>
      <c r="BQ204" s="40"/>
      <c r="BR204" s="43"/>
      <c r="BS204" s="40"/>
      <c r="BT204" s="40"/>
      <c r="BU204" s="42"/>
      <c r="BV204" s="40"/>
      <c r="BW204" s="40"/>
      <c r="BX204" s="43"/>
      <c r="BY204" s="40"/>
      <c r="BZ204" s="40"/>
      <c r="CA204" s="42"/>
      <c r="CB204" s="40"/>
      <c r="CC204" s="75"/>
      <c r="CD204" s="43"/>
      <c r="CE204" s="40"/>
      <c r="CF204" s="40"/>
      <c r="CG204" s="42"/>
      <c r="CH204" s="40"/>
      <c r="CI204" s="40"/>
      <c r="CJ204" s="43"/>
      <c r="CK204" s="40"/>
      <c r="CL204" s="40"/>
      <c r="CM204" s="42"/>
      <c r="CN204" s="40"/>
      <c r="CO204" s="40"/>
      <c r="CP204" s="43"/>
      <c r="CQ204" s="40"/>
      <c r="CR204" s="40"/>
      <c r="CS204" s="42"/>
      <c r="CT204" s="40"/>
      <c r="CU204" s="40"/>
      <c r="CV204" s="43"/>
      <c r="CW204" s="40"/>
      <c r="CX204" s="40"/>
      <c r="CY204" s="42"/>
      <c r="CZ204" s="40"/>
      <c r="DA204" s="40"/>
      <c r="DB204" s="43"/>
      <c r="DC204" s="40"/>
      <c r="DD204" s="74" t="s">
        <v>311</v>
      </c>
      <c r="DE204" s="69">
        <v>5110</v>
      </c>
      <c r="DF204" s="40"/>
      <c r="DG204" s="40"/>
      <c r="DH204" s="68">
        <v>0</v>
      </c>
    </row>
    <row r="205" spans="1:112">
      <c r="A205" s="40">
        <v>327</v>
      </c>
      <c r="B205" s="40" t="s">
        <v>210</v>
      </c>
      <c r="C205" s="40">
        <v>4</v>
      </c>
      <c r="D205" s="31" t="s">
        <v>189</v>
      </c>
      <c r="E205" s="30" t="s">
        <v>190</v>
      </c>
      <c r="F205" s="30">
        <v>7</v>
      </c>
      <c r="G205" s="52">
        <v>10.486752000000001</v>
      </c>
      <c r="H205" s="68">
        <f t="shared" si="3"/>
        <v>0</v>
      </c>
      <c r="I205" s="47">
        <v>10.486752000000001</v>
      </c>
      <c r="J205" s="43">
        <v>10.49</v>
      </c>
      <c r="K205" s="40"/>
      <c r="L205" s="40"/>
      <c r="M205" s="43"/>
      <c r="N205" s="40"/>
      <c r="O205" s="40"/>
      <c r="P205" s="40"/>
      <c r="Q205" s="42"/>
      <c r="R205" s="40"/>
      <c r="S205" s="40"/>
      <c r="T205" s="43"/>
      <c r="U205" s="40"/>
      <c r="V205" s="40"/>
      <c r="W205" s="42"/>
      <c r="X205" s="40"/>
      <c r="Y205" s="40"/>
      <c r="Z205" s="43"/>
      <c r="AA205" s="40"/>
      <c r="AB205" s="40"/>
      <c r="AC205" s="42"/>
      <c r="AD205" s="40"/>
      <c r="AE205" s="40"/>
      <c r="AF205" s="40"/>
      <c r="AG205" s="43"/>
      <c r="AH205" s="40"/>
      <c r="AI205" s="40"/>
      <c r="AJ205" s="40"/>
      <c r="AK205" s="42"/>
      <c r="AL205" s="40"/>
      <c r="AM205" s="40"/>
      <c r="AN205" s="43"/>
      <c r="AO205" s="40"/>
      <c r="AP205" s="40"/>
      <c r="AQ205" s="42"/>
      <c r="AR205" s="40"/>
      <c r="AS205" s="40"/>
      <c r="AT205" s="43"/>
      <c r="AU205" s="40"/>
      <c r="AV205" s="40"/>
      <c r="AW205" s="42"/>
      <c r="AX205" s="40"/>
      <c r="AY205" s="40"/>
      <c r="AZ205" s="43"/>
      <c r="BA205" s="40"/>
      <c r="BB205" s="40"/>
      <c r="BC205" s="42"/>
      <c r="BD205" s="40"/>
      <c r="BE205" s="40"/>
      <c r="BF205" s="43"/>
      <c r="BG205" s="40"/>
      <c r="BH205" s="40"/>
      <c r="BI205" s="42"/>
      <c r="BJ205" s="40"/>
      <c r="BK205" s="40"/>
      <c r="BL205" s="43"/>
      <c r="BM205" s="40"/>
      <c r="BN205" s="40"/>
      <c r="BO205" s="42"/>
      <c r="BP205" s="40"/>
      <c r="BQ205" s="40"/>
      <c r="BR205" s="43"/>
      <c r="BS205" s="40"/>
      <c r="BT205" s="40"/>
      <c r="BU205" s="42"/>
      <c r="BV205" s="40"/>
      <c r="BW205" s="40"/>
      <c r="BX205" s="43"/>
      <c r="BY205" s="40"/>
      <c r="BZ205" s="40"/>
      <c r="CA205" s="42"/>
      <c r="CB205" s="40"/>
      <c r="CC205" s="75"/>
      <c r="CD205" s="43"/>
      <c r="CE205" s="40"/>
      <c r="CF205" s="40"/>
      <c r="CG205" s="42"/>
      <c r="CH205" s="40"/>
      <c r="CI205" s="40"/>
      <c r="CJ205" s="43"/>
      <c r="CK205" s="40"/>
      <c r="CL205" s="40"/>
      <c r="CM205" s="42"/>
      <c r="CN205" s="40"/>
      <c r="CO205" s="40"/>
      <c r="CP205" s="43"/>
      <c r="CQ205" s="40"/>
      <c r="CR205" s="40"/>
      <c r="CS205" s="42"/>
      <c r="CT205" s="40"/>
      <c r="CU205" s="40"/>
      <c r="CV205" s="43"/>
      <c r="CW205" s="40"/>
      <c r="CX205" s="40"/>
      <c r="CY205" s="42"/>
      <c r="CZ205" s="40"/>
      <c r="DA205" s="40"/>
      <c r="DB205" s="43"/>
      <c r="DC205" s="40"/>
      <c r="DD205" s="74" t="s">
        <v>311</v>
      </c>
      <c r="DE205" s="69">
        <v>10490</v>
      </c>
      <c r="DF205" s="40"/>
      <c r="DG205" s="40"/>
      <c r="DH205" s="68">
        <v>0</v>
      </c>
    </row>
    <row r="206" spans="1:112">
      <c r="A206" s="40">
        <v>334</v>
      </c>
      <c r="B206" s="40" t="s">
        <v>210</v>
      </c>
      <c r="C206" s="40">
        <v>5</v>
      </c>
      <c r="D206" s="29" t="s">
        <v>191</v>
      </c>
      <c r="E206" s="30">
        <v>47</v>
      </c>
      <c r="F206" s="30">
        <v>6</v>
      </c>
      <c r="G206" s="52">
        <v>31.196456000000005</v>
      </c>
      <c r="H206" s="68">
        <f t="shared" si="3"/>
        <v>0</v>
      </c>
      <c r="I206" s="47">
        <v>31.196456000000005</v>
      </c>
      <c r="J206" s="43">
        <v>31.2</v>
      </c>
      <c r="K206" s="40"/>
      <c r="L206" s="40"/>
      <c r="M206" s="43"/>
      <c r="N206" s="40"/>
      <c r="O206" s="40"/>
      <c r="P206" s="40"/>
      <c r="Q206" s="42"/>
      <c r="R206" s="40"/>
      <c r="S206" s="40"/>
      <c r="T206" s="43"/>
      <c r="U206" s="40"/>
      <c r="V206" s="40"/>
      <c r="W206" s="42"/>
      <c r="X206" s="40"/>
      <c r="Y206" s="40"/>
      <c r="Z206" s="43"/>
      <c r="AA206" s="40"/>
      <c r="AB206" s="40"/>
      <c r="AC206" s="42"/>
      <c r="AD206" s="40"/>
      <c r="AE206" s="40"/>
      <c r="AF206" s="40"/>
      <c r="AG206" s="43"/>
      <c r="AH206" s="40"/>
      <c r="AI206" s="40"/>
      <c r="AJ206" s="40"/>
      <c r="AK206" s="42"/>
      <c r="AL206" s="40"/>
      <c r="AM206" s="40"/>
      <c r="AN206" s="43"/>
      <c r="AO206" s="40"/>
      <c r="AP206" s="40"/>
      <c r="AQ206" s="42"/>
      <c r="AR206" s="40"/>
      <c r="AS206" s="40"/>
      <c r="AT206" s="43"/>
      <c r="AU206" s="40"/>
      <c r="AV206" s="40"/>
      <c r="AW206" s="42"/>
      <c r="AX206" s="40"/>
      <c r="AY206" s="40"/>
      <c r="AZ206" s="43"/>
      <c r="BA206" s="40"/>
      <c r="BB206" s="40"/>
      <c r="BC206" s="42"/>
      <c r="BD206" s="40"/>
      <c r="BE206" s="40"/>
      <c r="BF206" s="43"/>
      <c r="BG206" s="40"/>
      <c r="BH206" s="40"/>
      <c r="BI206" s="42"/>
      <c r="BJ206" s="40"/>
      <c r="BK206" s="40"/>
      <c r="BL206" s="43"/>
      <c r="BM206" s="40"/>
      <c r="BN206" s="40"/>
      <c r="BO206" s="42"/>
      <c r="BP206" s="40"/>
      <c r="BQ206" s="40"/>
      <c r="BR206" s="43"/>
      <c r="BS206" s="40"/>
      <c r="BT206" s="40"/>
      <c r="BU206" s="42"/>
      <c r="BV206" s="40"/>
      <c r="BW206" s="40"/>
      <c r="BX206" s="43"/>
      <c r="BY206" s="40"/>
      <c r="BZ206" s="40"/>
      <c r="CA206" s="42"/>
      <c r="CB206" s="40"/>
      <c r="CC206" s="75"/>
      <c r="CD206" s="43"/>
      <c r="CE206" s="40"/>
      <c r="CF206" s="40"/>
      <c r="CG206" s="42"/>
      <c r="CH206" s="40"/>
      <c r="CI206" s="40"/>
      <c r="CJ206" s="43"/>
      <c r="CK206" s="40"/>
      <c r="CL206" s="40"/>
      <c r="CM206" s="42"/>
      <c r="CN206" s="40" t="s">
        <v>403</v>
      </c>
      <c r="CO206" s="40">
        <v>14</v>
      </c>
      <c r="CP206" s="43">
        <v>21200</v>
      </c>
      <c r="CQ206" s="40"/>
      <c r="CR206" s="40"/>
      <c r="CS206" s="42"/>
      <c r="CT206" s="40"/>
      <c r="CU206" s="40"/>
      <c r="CV206" s="43"/>
      <c r="CW206" s="40"/>
      <c r="CX206" s="40"/>
      <c r="CY206" s="42"/>
      <c r="CZ206" s="40"/>
      <c r="DA206" s="40"/>
      <c r="DB206" s="43"/>
      <c r="DC206" s="40" t="s">
        <v>405</v>
      </c>
      <c r="DD206" s="74" t="s">
        <v>305</v>
      </c>
      <c r="DE206" s="69">
        <v>10000</v>
      </c>
      <c r="DF206" s="40"/>
      <c r="DG206" s="40"/>
      <c r="DH206" s="68">
        <v>0</v>
      </c>
    </row>
    <row r="207" spans="1:112">
      <c r="A207" s="40">
        <v>335</v>
      </c>
      <c r="B207" s="40" t="s">
        <v>210</v>
      </c>
      <c r="C207" s="40">
        <v>5</v>
      </c>
      <c r="D207" s="29" t="s">
        <v>191</v>
      </c>
      <c r="E207" s="30" t="s">
        <v>193</v>
      </c>
      <c r="F207" s="30">
        <v>6</v>
      </c>
      <c r="G207" s="52">
        <v>36.793484000000007</v>
      </c>
      <c r="H207" s="68">
        <f t="shared" si="3"/>
        <v>0</v>
      </c>
      <c r="I207" s="47">
        <v>36.793484000000007</v>
      </c>
      <c r="J207" s="43">
        <v>6</v>
      </c>
      <c r="K207" s="40"/>
      <c r="L207" s="40"/>
      <c r="M207" s="43"/>
      <c r="N207" s="40"/>
      <c r="O207" s="40"/>
      <c r="P207" s="40"/>
      <c r="Q207" s="42"/>
      <c r="R207" s="40"/>
      <c r="S207" s="40"/>
      <c r="T207" s="43"/>
      <c r="U207" s="40"/>
      <c r="V207" s="40"/>
      <c r="W207" s="42"/>
      <c r="X207" s="40"/>
      <c r="Y207" s="40"/>
      <c r="Z207" s="43"/>
      <c r="AA207" s="40"/>
      <c r="AB207" s="40"/>
      <c r="AC207" s="42"/>
      <c r="AD207" s="40"/>
      <c r="AE207" s="40"/>
      <c r="AF207" s="40"/>
      <c r="AG207" s="43"/>
      <c r="AH207" s="40"/>
      <c r="AI207" s="40"/>
      <c r="AJ207" s="40"/>
      <c r="AK207" s="42"/>
      <c r="AL207" s="40"/>
      <c r="AM207" s="40"/>
      <c r="AN207" s="43"/>
      <c r="AO207" s="40"/>
      <c r="AP207" s="40"/>
      <c r="AQ207" s="42"/>
      <c r="AR207" s="40"/>
      <c r="AS207" s="40"/>
      <c r="AT207" s="43"/>
      <c r="AU207" s="40"/>
      <c r="AV207" s="40"/>
      <c r="AW207" s="42"/>
      <c r="AX207" s="40"/>
      <c r="AY207" s="40"/>
      <c r="AZ207" s="43"/>
      <c r="BA207" s="40"/>
      <c r="BB207" s="40"/>
      <c r="BC207" s="42"/>
      <c r="BD207" s="40"/>
      <c r="BE207" s="40"/>
      <c r="BF207" s="43"/>
      <c r="BG207" s="40"/>
      <c r="BH207" s="40"/>
      <c r="BI207" s="42"/>
      <c r="BJ207" s="40"/>
      <c r="BK207" s="40"/>
      <c r="BL207" s="43"/>
      <c r="BM207" s="40"/>
      <c r="BN207" s="40"/>
      <c r="BO207" s="42"/>
      <c r="BP207" s="40"/>
      <c r="BQ207" s="40"/>
      <c r="BR207" s="43"/>
      <c r="BS207" s="40"/>
      <c r="BT207" s="40"/>
      <c r="BU207" s="42"/>
      <c r="BV207" s="40"/>
      <c r="BW207" s="40"/>
      <c r="BX207" s="43"/>
      <c r="BY207" s="40"/>
      <c r="BZ207" s="40"/>
      <c r="CA207" s="42"/>
      <c r="CB207" s="40"/>
      <c r="CC207" s="75"/>
      <c r="CD207" s="43"/>
      <c r="CE207" s="40"/>
      <c r="CF207" s="40"/>
      <c r="CG207" s="42"/>
      <c r="CH207" s="40"/>
      <c r="CI207" s="40"/>
      <c r="CJ207" s="43"/>
      <c r="CK207" s="40"/>
      <c r="CL207" s="40"/>
      <c r="CM207" s="42"/>
      <c r="CN207" s="40"/>
      <c r="CO207" s="40"/>
      <c r="CP207" s="43"/>
      <c r="CQ207" s="40"/>
      <c r="CR207" s="40"/>
      <c r="CS207" s="42"/>
      <c r="CT207" s="40"/>
      <c r="CU207" s="40"/>
      <c r="CV207" s="43"/>
      <c r="CW207" s="40"/>
      <c r="CX207" s="40"/>
      <c r="CY207" s="42"/>
      <c r="CZ207" s="40"/>
      <c r="DA207" s="40"/>
      <c r="DB207" s="43"/>
      <c r="DC207" s="40" t="s">
        <v>405</v>
      </c>
      <c r="DD207" s="74" t="s">
        <v>305</v>
      </c>
      <c r="DE207" s="69">
        <v>6000</v>
      </c>
      <c r="DF207" s="40"/>
      <c r="DG207" s="40"/>
      <c r="DH207" s="68">
        <v>0</v>
      </c>
    </row>
    <row r="208" spans="1:112" ht="23.25">
      <c r="A208" s="40">
        <v>336</v>
      </c>
      <c r="B208" s="40" t="s">
        <v>210</v>
      </c>
      <c r="C208" s="40">
        <v>5</v>
      </c>
      <c r="D208" s="29" t="s">
        <v>191</v>
      </c>
      <c r="E208" s="30" t="s">
        <v>113</v>
      </c>
      <c r="F208" s="30">
        <v>6</v>
      </c>
      <c r="G208" s="52">
        <v>32.391888000000009</v>
      </c>
      <c r="H208" s="68">
        <f t="shared" si="3"/>
        <v>11.348870000000002</v>
      </c>
      <c r="I208" s="47">
        <v>21.043018000000007</v>
      </c>
      <c r="J208" s="43">
        <v>32.39</v>
      </c>
      <c r="K208" s="40"/>
      <c r="L208" s="40"/>
      <c r="M208" s="43"/>
      <c r="N208" s="40"/>
      <c r="O208" s="40"/>
      <c r="P208" s="40"/>
      <c r="Q208" s="42"/>
      <c r="R208" s="40"/>
      <c r="S208" s="40"/>
      <c r="T208" s="43"/>
      <c r="U208" s="40"/>
      <c r="V208" s="40"/>
      <c r="W208" s="42"/>
      <c r="X208" s="40"/>
      <c r="Y208" s="40"/>
      <c r="Z208" s="43"/>
      <c r="AA208" s="40"/>
      <c r="AB208" s="40"/>
      <c r="AC208" s="42"/>
      <c r="AD208" s="40"/>
      <c r="AE208" s="40"/>
      <c r="AF208" s="40"/>
      <c r="AG208" s="43"/>
      <c r="AH208" s="40"/>
      <c r="AI208" s="40"/>
      <c r="AJ208" s="40"/>
      <c r="AK208" s="42"/>
      <c r="AL208" s="40"/>
      <c r="AM208" s="40"/>
      <c r="AN208" s="43"/>
      <c r="AO208" s="40"/>
      <c r="AP208" s="40"/>
      <c r="AQ208" s="42"/>
      <c r="AR208" s="40"/>
      <c r="AS208" s="40"/>
      <c r="AT208" s="43"/>
      <c r="AU208" s="40"/>
      <c r="AV208" s="40"/>
      <c r="AW208" s="42"/>
      <c r="AX208" s="40"/>
      <c r="AY208" s="40"/>
      <c r="AZ208" s="43"/>
      <c r="BA208" s="40"/>
      <c r="BB208" s="40"/>
      <c r="BC208" s="42"/>
      <c r="BD208" s="40"/>
      <c r="BE208" s="40"/>
      <c r="BF208" s="43"/>
      <c r="BG208" s="40"/>
      <c r="BH208" s="40"/>
      <c r="BI208" s="42"/>
      <c r="BJ208" s="40"/>
      <c r="BK208" s="40"/>
      <c r="BL208" s="43"/>
      <c r="BM208" s="40"/>
      <c r="BN208" s="40"/>
      <c r="BO208" s="42"/>
      <c r="BP208" s="40"/>
      <c r="BQ208" s="40"/>
      <c r="BR208" s="43"/>
      <c r="BS208" s="40"/>
      <c r="BT208" s="40"/>
      <c r="BU208" s="42"/>
      <c r="BV208" s="40"/>
      <c r="BW208" s="40"/>
      <c r="BX208" s="43"/>
      <c r="BY208" s="40"/>
      <c r="BZ208" s="40"/>
      <c r="CA208" s="42"/>
      <c r="CB208" s="40"/>
      <c r="CC208" s="75"/>
      <c r="CD208" s="43"/>
      <c r="CE208" s="40"/>
      <c r="CF208" s="40"/>
      <c r="CG208" s="42"/>
      <c r="CH208" s="40"/>
      <c r="CI208" s="40"/>
      <c r="CJ208" s="43"/>
      <c r="CK208" s="40"/>
      <c r="CL208" s="40"/>
      <c r="CM208" s="42"/>
      <c r="CN208" s="40"/>
      <c r="CO208" s="40"/>
      <c r="CP208" s="43"/>
      <c r="CQ208" s="40"/>
      <c r="CR208" s="40"/>
      <c r="CS208" s="42"/>
      <c r="CT208" s="40"/>
      <c r="CU208" s="40"/>
      <c r="CV208" s="43"/>
      <c r="CW208" s="40"/>
      <c r="CX208" s="40"/>
      <c r="CY208" s="42"/>
      <c r="CZ208" s="40"/>
      <c r="DA208" s="40"/>
      <c r="DB208" s="43"/>
      <c r="DC208" s="40" t="s">
        <v>409</v>
      </c>
      <c r="DD208" s="74" t="s">
        <v>397</v>
      </c>
      <c r="DE208" s="69">
        <v>32390</v>
      </c>
      <c r="DF208" s="44" t="s">
        <v>409</v>
      </c>
      <c r="DG208" s="40" t="s">
        <v>437</v>
      </c>
      <c r="DH208" s="68">
        <v>11348.87</v>
      </c>
    </row>
    <row r="209" spans="1:112">
      <c r="A209" s="40">
        <v>337</v>
      </c>
      <c r="B209" s="40" t="s">
        <v>210</v>
      </c>
      <c r="C209" s="40">
        <v>5</v>
      </c>
      <c r="D209" s="29" t="s">
        <v>191</v>
      </c>
      <c r="E209" s="30">
        <v>51</v>
      </c>
      <c r="F209" s="30">
        <v>6</v>
      </c>
      <c r="G209" s="52">
        <v>43.400095999999991</v>
      </c>
      <c r="H209" s="68">
        <f t="shared" si="3"/>
        <v>0</v>
      </c>
      <c r="I209" s="47">
        <v>43.400095999999991</v>
      </c>
      <c r="J209" s="43">
        <v>43.5</v>
      </c>
      <c r="K209" s="40"/>
      <c r="L209" s="40"/>
      <c r="M209" s="43"/>
      <c r="N209" s="40"/>
      <c r="O209" s="40"/>
      <c r="P209" s="40"/>
      <c r="Q209" s="42"/>
      <c r="R209" s="40"/>
      <c r="S209" s="40"/>
      <c r="T209" s="43"/>
      <c r="U209" s="40"/>
      <c r="V209" s="40"/>
      <c r="W209" s="42"/>
      <c r="X209" s="40"/>
      <c r="Y209" s="40"/>
      <c r="Z209" s="43"/>
      <c r="AA209" s="40"/>
      <c r="AB209" s="40"/>
      <c r="AC209" s="42"/>
      <c r="AD209" s="40"/>
      <c r="AE209" s="40"/>
      <c r="AF209" s="40"/>
      <c r="AG209" s="43"/>
      <c r="AH209" s="40"/>
      <c r="AI209" s="40"/>
      <c r="AJ209" s="40"/>
      <c r="AK209" s="42"/>
      <c r="AL209" s="40"/>
      <c r="AM209" s="40"/>
      <c r="AN209" s="43"/>
      <c r="AO209" s="40"/>
      <c r="AP209" s="40"/>
      <c r="AQ209" s="42"/>
      <c r="AR209" s="40"/>
      <c r="AS209" s="40"/>
      <c r="AT209" s="43"/>
      <c r="AU209" s="40"/>
      <c r="AV209" s="40"/>
      <c r="AW209" s="42"/>
      <c r="AX209" s="40"/>
      <c r="AY209" s="40"/>
      <c r="AZ209" s="43"/>
      <c r="BA209" s="40"/>
      <c r="BB209" s="40"/>
      <c r="BC209" s="42"/>
      <c r="BD209" s="40"/>
      <c r="BE209" s="40"/>
      <c r="BF209" s="43"/>
      <c r="BG209" s="40"/>
      <c r="BH209" s="40"/>
      <c r="BI209" s="42"/>
      <c r="BJ209" s="40"/>
      <c r="BK209" s="40"/>
      <c r="BL209" s="43"/>
      <c r="BM209" s="40"/>
      <c r="BN209" s="40"/>
      <c r="BO209" s="42"/>
      <c r="BP209" s="40"/>
      <c r="BQ209" s="40"/>
      <c r="BR209" s="43"/>
      <c r="BS209" s="40"/>
      <c r="BT209" s="40"/>
      <c r="BU209" s="42"/>
      <c r="BV209" s="40"/>
      <c r="BW209" s="40"/>
      <c r="BX209" s="43"/>
      <c r="BY209" s="40"/>
      <c r="BZ209" s="40"/>
      <c r="CA209" s="42"/>
      <c r="CB209" s="40"/>
      <c r="CC209" s="75"/>
      <c r="CD209" s="43"/>
      <c r="CE209" s="40"/>
      <c r="CF209" s="40"/>
      <c r="CG209" s="42"/>
      <c r="CH209" s="40"/>
      <c r="CI209" s="40"/>
      <c r="CJ209" s="43"/>
      <c r="CK209" s="40"/>
      <c r="CL209" s="40"/>
      <c r="CM209" s="42"/>
      <c r="CN209" s="40"/>
      <c r="CO209" s="40"/>
      <c r="CP209" s="43"/>
      <c r="CQ209" s="40"/>
      <c r="CR209" s="40"/>
      <c r="CS209" s="42"/>
      <c r="CT209" s="40"/>
      <c r="CU209" s="40"/>
      <c r="CV209" s="43"/>
      <c r="CW209" s="40"/>
      <c r="CX209" s="40"/>
      <c r="CY209" s="42"/>
      <c r="CZ209" s="40"/>
      <c r="DA209" s="40"/>
      <c r="DB209" s="43"/>
      <c r="DC209" s="40" t="s">
        <v>405</v>
      </c>
      <c r="DD209" s="74" t="s">
        <v>305</v>
      </c>
      <c r="DE209" s="69">
        <v>43500</v>
      </c>
      <c r="DF209" s="40"/>
      <c r="DG209" s="40"/>
      <c r="DH209" s="68">
        <v>0</v>
      </c>
    </row>
    <row r="210" spans="1:112">
      <c r="A210" s="40">
        <v>338</v>
      </c>
      <c r="B210" s="40" t="s">
        <v>210</v>
      </c>
      <c r="C210" s="40">
        <v>5</v>
      </c>
      <c r="D210" s="29" t="s">
        <v>191</v>
      </c>
      <c r="E210" s="30" t="s">
        <v>194</v>
      </c>
      <c r="F210" s="30">
        <v>6</v>
      </c>
      <c r="G210" s="52">
        <v>34.901404000000014</v>
      </c>
      <c r="H210" s="68">
        <f t="shared" si="3"/>
        <v>1.5423900000000001</v>
      </c>
      <c r="I210" s="47">
        <v>33.359014000000016</v>
      </c>
      <c r="J210" s="43">
        <v>34.9</v>
      </c>
      <c r="K210" s="40"/>
      <c r="L210" s="40"/>
      <c r="M210" s="43"/>
      <c r="N210" s="40"/>
      <c r="O210" s="40"/>
      <c r="P210" s="40"/>
      <c r="Q210" s="42"/>
      <c r="R210" s="40"/>
      <c r="S210" s="40"/>
      <c r="T210" s="43"/>
      <c r="U210" s="40"/>
      <c r="V210" s="40"/>
      <c r="W210" s="42"/>
      <c r="X210" s="40"/>
      <c r="Y210" s="40"/>
      <c r="Z210" s="43"/>
      <c r="AA210" s="40"/>
      <c r="AB210" s="40"/>
      <c r="AC210" s="42"/>
      <c r="AD210" s="40"/>
      <c r="AE210" s="40"/>
      <c r="AF210" s="40"/>
      <c r="AG210" s="43"/>
      <c r="AH210" s="40"/>
      <c r="AI210" s="40"/>
      <c r="AJ210" s="40"/>
      <c r="AK210" s="42"/>
      <c r="AL210" s="40"/>
      <c r="AM210" s="40"/>
      <c r="AN210" s="43"/>
      <c r="AO210" s="40"/>
      <c r="AP210" s="40"/>
      <c r="AQ210" s="42"/>
      <c r="AR210" s="40"/>
      <c r="AS210" s="40"/>
      <c r="AT210" s="43"/>
      <c r="AU210" s="40"/>
      <c r="AV210" s="40"/>
      <c r="AW210" s="42"/>
      <c r="AX210" s="40" t="s">
        <v>405</v>
      </c>
      <c r="AY210" s="40">
        <v>20</v>
      </c>
      <c r="AZ210" s="43">
        <v>34900</v>
      </c>
      <c r="BA210" s="40"/>
      <c r="BB210" s="40"/>
      <c r="BC210" s="42"/>
      <c r="BD210" s="40"/>
      <c r="BE210" s="40"/>
      <c r="BF210" s="43"/>
      <c r="BG210" s="40"/>
      <c r="BH210" s="40"/>
      <c r="BI210" s="42"/>
      <c r="BJ210" s="40"/>
      <c r="BK210" s="40"/>
      <c r="BL210" s="43"/>
      <c r="BM210" s="40"/>
      <c r="BN210" s="40"/>
      <c r="BO210" s="42"/>
      <c r="BP210" s="40"/>
      <c r="BQ210" s="40"/>
      <c r="BR210" s="43"/>
      <c r="BS210" s="40"/>
      <c r="BT210" s="40"/>
      <c r="BU210" s="42"/>
      <c r="BV210" s="40"/>
      <c r="BW210" s="40"/>
      <c r="BX210" s="43"/>
      <c r="BY210" s="40"/>
      <c r="BZ210" s="40"/>
      <c r="CA210" s="42"/>
      <c r="CB210" s="40"/>
      <c r="CC210" s="75"/>
      <c r="CD210" s="43"/>
      <c r="CE210" s="40"/>
      <c r="CF210" s="40"/>
      <c r="CG210" s="42"/>
      <c r="CH210" s="40"/>
      <c r="CI210" s="40"/>
      <c r="CJ210" s="43"/>
      <c r="CK210" s="40"/>
      <c r="CL210" s="40"/>
      <c r="CM210" s="42"/>
      <c r="CN210" s="40"/>
      <c r="CO210" s="40"/>
      <c r="CP210" s="43"/>
      <c r="CQ210" s="40"/>
      <c r="CR210" s="40"/>
      <c r="CS210" s="42"/>
      <c r="CT210" s="40"/>
      <c r="CU210" s="40"/>
      <c r="CV210" s="43"/>
      <c r="CW210" s="40"/>
      <c r="CX210" s="40"/>
      <c r="CY210" s="42"/>
      <c r="CZ210" s="40"/>
      <c r="DA210" s="40"/>
      <c r="DB210" s="43"/>
      <c r="DC210" s="40"/>
      <c r="DD210" s="75"/>
      <c r="DE210" s="69">
        <v>0</v>
      </c>
      <c r="DF210" s="44" t="s">
        <v>323</v>
      </c>
      <c r="DG210" s="40" t="s">
        <v>426</v>
      </c>
      <c r="DH210" s="68">
        <v>1542.39</v>
      </c>
    </row>
    <row r="211" spans="1:112">
      <c r="A211" s="40">
        <v>339</v>
      </c>
      <c r="B211" s="100" t="s">
        <v>210</v>
      </c>
      <c r="C211" s="40">
        <v>5</v>
      </c>
      <c r="D211" s="29" t="s">
        <v>191</v>
      </c>
      <c r="E211" s="30">
        <v>52</v>
      </c>
      <c r="F211" s="30">
        <v>6</v>
      </c>
      <c r="G211" s="52">
        <v>38.605758000000002</v>
      </c>
      <c r="H211" s="68">
        <f t="shared" si="3"/>
        <v>0</v>
      </c>
      <c r="I211" s="47">
        <v>38.605758000000002</v>
      </c>
      <c r="J211" s="43">
        <v>38.61</v>
      </c>
      <c r="K211" s="40"/>
      <c r="L211" s="40"/>
      <c r="M211" s="43"/>
      <c r="N211" s="40"/>
      <c r="O211" s="40"/>
      <c r="P211" s="40"/>
      <c r="Q211" s="42"/>
      <c r="R211" s="40"/>
      <c r="S211" s="40"/>
      <c r="T211" s="43"/>
      <c r="U211" s="40"/>
      <c r="V211" s="40"/>
      <c r="W211" s="42"/>
      <c r="X211" s="40"/>
      <c r="Y211" s="40"/>
      <c r="Z211" s="43"/>
      <c r="AA211" s="40"/>
      <c r="AB211" s="40"/>
      <c r="AC211" s="42"/>
      <c r="AD211" s="99" t="s">
        <v>432</v>
      </c>
      <c r="AE211" s="40" t="s">
        <v>324</v>
      </c>
      <c r="AF211" s="40">
        <v>39</v>
      </c>
      <c r="AG211" s="43">
        <v>38610</v>
      </c>
      <c r="AH211" s="40"/>
      <c r="AI211" s="40"/>
      <c r="AJ211" s="40"/>
      <c r="AK211" s="42"/>
      <c r="AL211" s="40"/>
      <c r="AM211" s="40"/>
      <c r="AN211" s="43"/>
      <c r="AO211" s="40"/>
      <c r="AP211" s="40"/>
      <c r="AQ211" s="42"/>
      <c r="AR211" s="40"/>
      <c r="AS211" s="40"/>
      <c r="AT211" s="43"/>
      <c r="AU211" s="40"/>
      <c r="AV211" s="40"/>
      <c r="AW211" s="42"/>
      <c r="AX211" s="40"/>
      <c r="AY211" s="40"/>
      <c r="AZ211" s="43"/>
      <c r="BA211" s="40"/>
      <c r="BB211" s="40"/>
      <c r="BC211" s="42"/>
      <c r="BD211" s="40"/>
      <c r="BE211" s="40"/>
      <c r="BF211" s="43"/>
      <c r="BG211" s="40"/>
      <c r="BH211" s="40"/>
      <c r="BI211" s="42"/>
      <c r="BJ211" s="40"/>
      <c r="BK211" s="40"/>
      <c r="BL211" s="43"/>
      <c r="BM211" s="40"/>
      <c r="BN211" s="40"/>
      <c r="BO211" s="42"/>
      <c r="BP211" s="40"/>
      <c r="BQ211" s="40"/>
      <c r="BR211" s="43"/>
      <c r="BS211" s="40"/>
      <c r="BT211" s="40"/>
      <c r="BU211" s="42"/>
      <c r="BV211" s="40"/>
      <c r="BW211" s="40"/>
      <c r="BX211" s="43"/>
      <c r="BY211" s="40"/>
      <c r="BZ211" s="40"/>
      <c r="CA211" s="42"/>
      <c r="CB211" s="40"/>
      <c r="CC211" s="75"/>
      <c r="CD211" s="43"/>
      <c r="CE211" s="40"/>
      <c r="CF211" s="40"/>
      <c r="CG211" s="42"/>
      <c r="CH211" s="40"/>
      <c r="CI211" s="40"/>
      <c r="CJ211" s="43"/>
      <c r="CK211" s="40"/>
      <c r="CL211" s="40"/>
      <c r="CM211" s="42"/>
      <c r="CN211" s="40"/>
      <c r="CO211" s="40"/>
      <c r="CP211" s="43"/>
      <c r="CQ211" s="40"/>
      <c r="CR211" s="40"/>
      <c r="CS211" s="42"/>
      <c r="CT211" s="40"/>
      <c r="CU211" s="40"/>
      <c r="CV211" s="43"/>
      <c r="CW211" s="40"/>
      <c r="CX211" s="40"/>
      <c r="CY211" s="42"/>
      <c r="CZ211" s="40"/>
      <c r="DA211" s="40"/>
      <c r="DB211" s="43"/>
      <c r="DC211" s="40"/>
      <c r="DD211" s="75"/>
      <c r="DE211" s="69">
        <v>0</v>
      </c>
      <c r="DF211" s="40"/>
      <c r="DG211" s="40"/>
      <c r="DH211" s="68">
        <v>0</v>
      </c>
    </row>
    <row r="212" spans="1:112">
      <c r="A212" s="40">
        <v>340</v>
      </c>
      <c r="B212" s="40" t="s">
        <v>210</v>
      </c>
      <c r="C212" s="40">
        <v>5</v>
      </c>
      <c r="D212" s="29" t="s">
        <v>191</v>
      </c>
      <c r="E212" s="30" t="s">
        <v>195</v>
      </c>
      <c r="F212" s="30">
        <v>6</v>
      </c>
      <c r="G212" s="52">
        <v>45.652165999999994</v>
      </c>
      <c r="H212" s="68">
        <f t="shared" si="3"/>
        <v>3.2045500000000002</v>
      </c>
      <c r="I212" s="47">
        <v>42.447165999999996</v>
      </c>
      <c r="J212" s="43">
        <v>42</v>
      </c>
      <c r="K212" s="40"/>
      <c r="L212" s="40"/>
      <c r="M212" s="43"/>
      <c r="N212" s="40"/>
      <c r="O212" s="40"/>
      <c r="P212" s="40"/>
      <c r="Q212" s="42"/>
      <c r="R212" s="99" t="s">
        <v>432</v>
      </c>
      <c r="S212" s="40"/>
      <c r="T212" s="43"/>
      <c r="U212" s="40"/>
      <c r="V212" s="40"/>
      <c r="W212" s="42"/>
      <c r="X212" s="40"/>
      <c r="Y212" s="40"/>
      <c r="Z212" s="43"/>
      <c r="AA212" s="40"/>
      <c r="AB212" s="40"/>
      <c r="AC212" s="42"/>
      <c r="AD212" s="40"/>
      <c r="AE212" s="40"/>
      <c r="AF212" s="40"/>
      <c r="AG212" s="43"/>
      <c r="AH212" s="40"/>
      <c r="AI212" s="40"/>
      <c r="AJ212" s="40"/>
      <c r="AK212" s="42"/>
      <c r="AL212" s="40"/>
      <c r="AM212" s="40"/>
      <c r="AN212" s="43"/>
      <c r="AO212" s="40"/>
      <c r="AP212" s="40"/>
      <c r="AQ212" s="42"/>
      <c r="AR212" s="40"/>
      <c r="AS212" s="40"/>
      <c r="AT212" s="43"/>
      <c r="AU212" s="40"/>
      <c r="AV212" s="40"/>
      <c r="AW212" s="42"/>
      <c r="AX212" s="40"/>
      <c r="AY212" s="40"/>
      <c r="AZ212" s="43"/>
      <c r="BA212" s="40"/>
      <c r="BB212" s="40"/>
      <c r="BC212" s="42"/>
      <c r="BD212" s="40"/>
      <c r="BE212" s="40"/>
      <c r="BF212" s="43"/>
      <c r="BG212" s="40"/>
      <c r="BH212" s="40"/>
      <c r="BI212" s="42"/>
      <c r="BJ212" s="40"/>
      <c r="BK212" s="40"/>
      <c r="BL212" s="43"/>
      <c r="BM212" s="40"/>
      <c r="BN212" s="40"/>
      <c r="BO212" s="42"/>
      <c r="BP212" s="40"/>
      <c r="BQ212" s="40"/>
      <c r="BR212" s="43"/>
      <c r="BS212" s="40"/>
      <c r="BT212" s="40"/>
      <c r="BU212" s="42"/>
      <c r="BV212" s="40"/>
      <c r="BW212" s="40"/>
      <c r="BX212" s="43"/>
      <c r="BY212" s="40"/>
      <c r="BZ212" s="40"/>
      <c r="CA212" s="42"/>
      <c r="CB212" s="40"/>
      <c r="CC212" s="75"/>
      <c r="CD212" s="43"/>
      <c r="CE212" s="40"/>
      <c r="CF212" s="40"/>
      <c r="CG212" s="42"/>
      <c r="CH212" s="40"/>
      <c r="CI212" s="40"/>
      <c r="CJ212" s="43"/>
      <c r="CK212" s="40"/>
      <c r="CL212" s="40"/>
      <c r="CM212" s="42"/>
      <c r="CN212" s="40"/>
      <c r="CO212" s="40"/>
      <c r="CP212" s="43"/>
      <c r="CQ212" s="40"/>
      <c r="CR212" s="40"/>
      <c r="CS212" s="42"/>
      <c r="CT212" s="40"/>
      <c r="CU212" s="40"/>
      <c r="CV212" s="43"/>
      <c r="CW212" s="40"/>
      <c r="CX212" s="40"/>
      <c r="CY212" s="42"/>
      <c r="CZ212" s="40"/>
      <c r="DA212" s="40"/>
      <c r="DB212" s="43"/>
      <c r="DC212" s="40" t="s">
        <v>405</v>
      </c>
      <c r="DD212" s="75" t="s">
        <v>313</v>
      </c>
      <c r="DE212" s="69">
        <v>42000</v>
      </c>
      <c r="DF212" s="44" t="s">
        <v>362</v>
      </c>
      <c r="DG212" s="40" t="s">
        <v>428</v>
      </c>
      <c r="DH212" s="68">
        <v>3204.55</v>
      </c>
    </row>
    <row r="213" spans="1:112">
      <c r="A213" s="40">
        <v>342</v>
      </c>
      <c r="B213" s="40" t="s">
        <v>210</v>
      </c>
      <c r="C213" s="40">
        <v>5</v>
      </c>
      <c r="D213" s="29" t="s">
        <v>191</v>
      </c>
      <c r="E213" s="30">
        <v>56</v>
      </c>
      <c r="F213" s="30">
        <v>6</v>
      </c>
      <c r="G213" s="52">
        <v>38.852581999999998</v>
      </c>
      <c r="H213" s="68">
        <f t="shared" si="3"/>
        <v>0</v>
      </c>
      <c r="I213" s="47">
        <v>38.852581999999998</v>
      </c>
      <c r="J213" s="43">
        <v>24</v>
      </c>
      <c r="K213" s="40"/>
      <c r="L213" s="40"/>
      <c r="M213" s="43"/>
      <c r="N213" s="40"/>
      <c r="O213" s="40"/>
      <c r="P213" s="40"/>
      <c r="Q213" s="42"/>
      <c r="R213" s="40"/>
      <c r="S213" s="40"/>
      <c r="T213" s="43"/>
      <c r="U213" s="40"/>
      <c r="V213" s="40"/>
      <c r="W213" s="42"/>
      <c r="X213" s="40"/>
      <c r="Y213" s="40"/>
      <c r="Z213" s="43"/>
      <c r="AA213" s="40"/>
      <c r="AB213" s="40"/>
      <c r="AC213" s="42"/>
      <c r="AD213" s="40"/>
      <c r="AE213" s="40"/>
      <c r="AF213" s="40"/>
      <c r="AG213" s="43"/>
      <c r="AH213" s="40"/>
      <c r="AI213" s="40"/>
      <c r="AJ213" s="40"/>
      <c r="AK213" s="42"/>
      <c r="AL213" s="40"/>
      <c r="AM213" s="40"/>
      <c r="AN213" s="43"/>
      <c r="AO213" s="40"/>
      <c r="AP213" s="40"/>
      <c r="AQ213" s="42"/>
      <c r="AR213" s="40"/>
      <c r="AS213" s="40"/>
      <c r="AT213" s="43"/>
      <c r="AU213" s="40"/>
      <c r="AV213" s="40"/>
      <c r="AW213" s="42"/>
      <c r="AX213" s="40"/>
      <c r="AY213" s="40"/>
      <c r="AZ213" s="43"/>
      <c r="BA213" s="40"/>
      <c r="BB213" s="40"/>
      <c r="BC213" s="42"/>
      <c r="BD213" s="40"/>
      <c r="BE213" s="40"/>
      <c r="BF213" s="43"/>
      <c r="BG213" s="40"/>
      <c r="BH213" s="40"/>
      <c r="BI213" s="42"/>
      <c r="BJ213" s="40"/>
      <c r="BK213" s="40"/>
      <c r="BL213" s="43"/>
      <c r="BM213" s="40"/>
      <c r="BN213" s="40"/>
      <c r="BO213" s="42"/>
      <c r="BP213" s="40"/>
      <c r="BQ213" s="40"/>
      <c r="BR213" s="43"/>
      <c r="BS213" s="40"/>
      <c r="BT213" s="40"/>
      <c r="BU213" s="42"/>
      <c r="BV213" s="40"/>
      <c r="BW213" s="40"/>
      <c r="BX213" s="43"/>
      <c r="BY213" s="40"/>
      <c r="BZ213" s="40"/>
      <c r="CA213" s="42"/>
      <c r="CB213" s="40"/>
      <c r="CC213" s="75"/>
      <c r="CD213" s="43"/>
      <c r="CE213" s="40"/>
      <c r="CF213" s="40"/>
      <c r="CG213" s="42"/>
      <c r="CH213" s="40"/>
      <c r="CI213" s="40"/>
      <c r="CJ213" s="43"/>
      <c r="CK213" s="40"/>
      <c r="CL213" s="40"/>
      <c r="CM213" s="42"/>
      <c r="CN213" s="40"/>
      <c r="CO213" s="40"/>
      <c r="CP213" s="43"/>
      <c r="CQ213" s="40"/>
      <c r="CR213" s="40"/>
      <c r="CS213" s="42"/>
      <c r="CT213" s="40"/>
      <c r="CU213" s="40"/>
      <c r="CV213" s="43"/>
      <c r="CW213" s="40"/>
      <c r="CX213" s="40"/>
      <c r="CY213" s="42"/>
      <c r="CZ213" s="40"/>
      <c r="DA213" s="40"/>
      <c r="DB213" s="43"/>
      <c r="DC213" s="40" t="s">
        <v>405</v>
      </c>
      <c r="DD213" s="75" t="s">
        <v>313</v>
      </c>
      <c r="DE213" s="69">
        <v>24000</v>
      </c>
      <c r="DF213" s="40"/>
      <c r="DG213" s="40"/>
      <c r="DH213" s="68">
        <v>0</v>
      </c>
    </row>
    <row r="214" spans="1:112">
      <c r="A214" s="40">
        <v>347</v>
      </c>
      <c r="B214" s="40" t="s">
        <v>210</v>
      </c>
      <c r="C214" s="40">
        <v>5</v>
      </c>
      <c r="D214" s="29" t="s">
        <v>191</v>
      </c>
      <c r="E214" s="30">
        <v>66</v>
      </c>
      <c r="F214" s="30">
        <v>6</v>
      </c>
      <c r="G214" s="52">
        <v>64.617712000000012</v>
      </c>
      <c r="H214" s="68">
        <f t="shared" si="3"/>
        <v>0</v>
      </c>
      <c r="I214" s="47">
        <v>64.617712000000012</v>
      </c>
      <c r="J214" s="43">
        <v>64.62</v>
      </c>
      <c r="K214" s="40"/>
      <c r="L214" s="40"/>
      <c r="M214" s="43"/>
      <c r="N214" s="40"/>
      <c r="O214" s="40"/>
      <c r="P214" s="40"/>
      <c r="Q214" s="42"/>
      <c r="R214" s="40"/>
      <c r="S214" s="40"/>
      <c r="T214" s="43"/>
      <c r="U214" s="40"/>
      <c r="V214" s="40"/>
      <c r="W214" s="42"/>
      <c r="X214" s="40"/>
      <c r="Y214" s="40"/>
      <c r="Z214" s="43"/>
      <c r="AA214" s="40"/>
      <c r="AB214" s="40"/>
      <c r="AC214" s="42"/>
      <c r="AD214" s="40" t="s">
        <v>407</v>
      </c>
      <c r="AE214" s="40" t="s">
        <v>308</v>
      </c>
      <c r="AF214" s="40">
        <v>80</v>
      </c>
      <c r="AG214" s="43">
        <v>64620</v>
      </c>
      <c r="AH214" s="40"/>
      <c r="AI214" s="40"/>
      <c r="AJ214" s="40"/>
      <c r="AK214" s="42"/>
      <c r="AL214" s="40"/>
      <c r="AM214" s="40"/>
      <c r="AN214" s="43"/>
      <c r="AO214" s="40"/>
      <c r="AP214" s="40"/>
      <c r="AQ214" s="42"/>
      <c r="AR214" s="40"/>
      <c r="AS214" s="40"/>
      <c r="AT214" s="43"/>
      <c r="AU214" s="40"/>
      <c r="AV214" s="40"/>
      <c r="AW214" s="42"/>
      <c r="AX214" s="40"/>
      <c r="AY214" s="40"/>
      <c r="AZ214" s="43"/>
      <c r="BA214" s="40"/>
      <c r="BB214" s="40"/>
      <c r="BC214" s="42"/>
      <c r="BD214" s="40"/>
      <c r="BE214" s="40"/>
      <c r="BF214" s="43"/>
      <c r="BG214" s="40"/>
      <c r="BH214" s="40"/>
      <c r="BI214" s="42"/>
      <c r="BJ214" s="40"/>
      <c r="BK214" s="40"/>
      <c r="BL214" s="43"/>
      <c r="BM214" s="40"/>
      <c r="BN214" s="40"/>
      <c r="BO214" s="42"/>
      <c r="BP214" s="40"/>
      <c r="BQ214" s="40"/>
      <c r="BR214" s="43"/>
      <c r="BS214" s="40"/>
      <c r="BT214" s="40"/>
      <c r="BU214" s="42"/>
      <c r="BV214" s="40"/>
      <c r="BW214" s="40"/>
      <c r="BX214" s="43"/>
      <c r="BY214" s="40"/>
      <c r="BZ214" s="40"/>
      <c r="CA214" s="42"/>
      <c r="CB214" s="40"/>
      <c r="CC214" s="75"/>
      <c r="CD214" s="43"/>
      <c r="CE214" s="40"/>
      <c r="CF214" s="40"/>
      <c r="CG214" s="42"/>
      <c r="CH214" s="40"/>
      <c r="CI214" s="40"/>
      <c r="CJ214" s="43"/>
      <c r="CK214" s="40"/>
      <c r="CL214" s="40"/>
      <c r="CM214" s="42"/>
      <c r="CN214" s="40"/>
      <c r="CO214" s="40"/>
      <c r="CP214" s="43"/>
      <c r="CQ214" s="40"/>
      <c r="CR214" s="40"/>
      <c r="CS214" s="42"/>
      <c r="CT214" s="40"/>
      <c r="CU214" s="40"/>
      <c r="CV214" s="43"/>
      <c r="CW214" s="40"/>
      <c r="CX214" s="40"/>
      <c r="CY214" s="42"/>
      <c r="CZ214" s="40"/>
      <c r="DA214" s="40"/>
      <c r="DB214" s="43"/>
      <c r="DC214" s="40"/>
      <c r="DD214" s="75"/>
      <c r="DE214" s="69">
        <v>0</v>
      </c>
      <c r="DF214" s="40"/>
      <c r="DG214" s="40"/>
      <c r="DH214" s="68">
        <v>0</v>
      </c>
    </row>
    <row r="215" spans="1:112">
      <c r="A215" s="40">
        <v>349</v>
      </c>
      <c r="B215" s="40" t="s">
        <v>210</v>
      </c>
      <c r="C215" s="40">
        <v>5</v>
      </c>
      <c r="D215" s="29" t="s">
        <v>200</v>
      </c>
      <c r="E215" s="30">
        <v>136</v>
      </c>
      <c r="F215" s="30">
        <v>7</v>
      </c>
      <c r="G215" s="52">
        <v>59.067554000000001</v>
      </c>
      <c r="H215" s="68">
        <f t="shared" si="3"/>
        <v>0</v>
      </c>
      <c r="I215" s="47">
        <v>59.067554000000001</v>
      </c>
      <c r="J215" s="43">
        <v>50</v>
      </c>
      <c r="K215" s="40" t="s">
        <v>406</v>
      </c>
      <c r="L215" s="40">
        <v>1</v>
      </c>
      <c r="M215" s="43">
        <v>50000</v>
      </c>
      <c r="N215" s="40"/>
      <c r="O215" s="40"/>
      <c r="P215" s="40"/>
      <c r="Q215" s="42"/>
      <c r="R215" s="40"/>
      <c r="S215" s="40"/>
      <c r="T215" s="43"/>
      <c r="U215" s="40"/>
      <c r="V215" s="40"/>
      <c r="W215" s="42"/>
      <c r="X215" s="40"/>
      <c r="Y215" s="40"/>
      <c r="Z215" s="43"/>
      <c r="AA215" s="40"/>
      <c r="AB215" s="40"/>
      <c r="AC215" s="42"/>
      <c r="AD215" s="40"/>
      <c r="AE215" s="40"/>
      <c r="AF215" s="40"/>
      <c r="AG215" s="43"/>
      <c r="AH215" s="40"/>
      <c r="AI215" s="40"/>
      <c r="AJ215" s="40"/>
      <c r="AK215" s="42"/>
      <c r="AL215" s="40"/>
      <c r="AM215" s="40"/>
      <c r="AN215" s="43"/>
      <c r="AO215" s="40"/>
      <c r="AP215" s="40"/>
      <c r="AQ215" s="42"/>
      <c r="AR215" s="40"/>
      <c r="AS215" s="40"/>
      <c r="AT215" s="43"/>
      <c r="AU215" s="40"/>
      <c r="AV215" s="40"/>
      <c r="AW215" s="42"/>
      <c r="AX215" s="40"/>
      <c r="AY215" s="40"/>
      <c r="AZ215" s="43"/>
      <c r="BA215" s="40"/>
      <c r="BB215" s="40"/>
      <c r="BC215" s="42"/>
      <c r="BD215" s="40"/>
      <c r="BE215" s="40"/>
      <c r="BF215" s="43"/>
      <c r="BG215" s="40"/>
      <c r="BH215" s="40"/>
      <c r="BI215" s="42"/>
      <c r="BJ215" s="40"/>
      <c r="BK215" s="40"/>
      <c r="BL215" s="43"/>
      <c r="BM215" s="40"/>
      <c r="BN215" s="40"/>
      <c r="BO215" s="42"/>
      <c r="BP215" s="40"/>
      <c r="BQ215" s="40"/>
      <c r="BR215" s="43"/>
      <c r="BS215" s="40"/>
      <c r="BT215" s="40"/>
      <c r="BU215" s="42"/>
      <c r="BV215" s="40"/>
      <c r="BW215" s="40"/>
      <c r="BX215" s="43"/>
      <c r="BY215" s="40"/>
      <c r="BZ215" s="40"/>
      <c r="CA215" s="42"/>
      <c r="CB215" s="40"/>
      <c r="CC215" s="75"/>
      <c r="CD215" s="43"/>
      <c r="CE215" s="40"/>
      <c r="CF215" s="40"/>
      <c r="CG215" s="42"/>
      <c r="CH215" s="40"/>
      <c r="CI215" s="40"/>
      <c r="CJ215" s="43"/>
      <c r="CK215" s="40"/>
      <c r="CL215" s="40"/>
      <c r="CM215" s="42"/>
      <c r="CN215" s="40"/>
      <c r="CO215" s="40"/>
      <c r="CP215" s="43"/>
      <c r="CQ215" s="40"/>
      <c r="CR215" s="40"/>
      <c r="CS215" s="42"/>
      <c r="CT215" s="40"/>
      <c r="CU215" s="40"/>
      <c r="CV215" s="43"/>
      <c r="CW215" s="40"/>
      <c r="CX215" s="40"/>
      <c r="CY215" s="42"/>
      <c r="CZ215" s="40"/>
      <c r="DA215" s="40"/>
      <c r="DB215" s="43"/>
      <c r="DC215" s="40"/>
      <c r="DD215" s="75"/>
      <c r="DE215" s="69">
        <v>0</v>
      </c>
      <c r="DF215" s="40"/>
      <c r="DG215" s="40"/>
      <c r="DH215" s="68">
        <v>0</v>
      </c>
    </row>
    <row r="216" spans="1:112">
      <c r="A216" s="40">
        <v>351</v>
      </c>
      <c r="B216" s="40" t="s">
        <v>210</v>
      </c>
      <c r="C216" s="40">
        <v>5</v>
      </c>
      <c r="D216" s="29" t="s">
        <v>200</v>
      </c>
      <c r="E216" s="30">
        <v>138</v>
      </c>
      <c r="F216" s="30">
        <v>7</v>
      </c>
      <c r="G216" s="52">
        <v>52.124278000000004</v>
      </c>
      <c r="H216" s="68">
        <f t="shared" si="3"/>
        <v>0</v>
      </c>
      <c r="I216" s="47">
        <v>52.124278000000004</v>
      </c>
      <c r="J216" s="43">
        <v>215</v>
      </c>
      <c r="K216" s="40"/>
      <c r="L216" s="40"/>
      <c r="M216" s="43"/>
      <c r="N216" s="40"/>
      <c r="O216" s="40"/>
      <c r="P216" s="40"/>
      <c r="Q216" s="42"/>
      <c r="R216" s="40"/>
      <c r="S216" s="40"/>
      <c r="T216" s="43"/>
      <c r="U216" s="40"/>
      <c r="V216" s="40"/>
      <c r="W216" s="42"/>
      <c r="X216" s="40"/>
      <c r="Y216" s="40"/>
      <c r="Z216" s="43"/>
      <c r="AA216" s="40"/>
      <c r="AB216" s="40"/>
      <c r="AC216" s="42"/>
      <c r="AD216" s="40" t="s">
        <v>407</v>
      </c>
      <c r="AE216" s="40" t="s">
        <v>324</v>
      </c>
      <c r="AF216" s="99">
        <v>215.2</v>
      </c>
      <c r="AG216" s="43">
        <v>215000</v>
      </c>
      <c r="AH216" s="40"/>
      <c r="AI216" s="40"/>
      <c r="AJ216" s="40"/>
      <c r="AK216" s="42"/>
      <c r="AL216" s="40"/>
      <c r="AM216" s="40"/>
      <c r="AN216" s="43"/>
      <c r="AO216" s="40"/>
      <c r="AP216" s="40"/>
      <c r="AQ216" s="42"/>
      <c r="AR216" s="40"/>
      <c r="AS216" s="40"/>
      <c r="AT216" s="43"/>
      <c r="AU216" s="40"/>
      <c r="AV216" s="40"/>
      <c r="AW216" s="42"/>
      <c r="AX216" s="40"/>
      <c r="AY216" s="40"/>
      <c r="AZ216" s="43"/>
      <c r="BA216" s="40"/>
      <c r="BB216" s="40"/>
      <c r="BC216" s="42"/>
      <c r="BD216" s="40"/>
      <c r="BE216" s="40"/>
      <c r="BF216" s="43"/>
      <c r="BG216" s="40"/>
      <c r="BH216" s="40"/>
      <c r="BI216" s="42"/>
      <c r="BJ216" s="40"/>
      <c r="BK216" s="40"/>
      <c r="BL216" s="43"/>
      <c r="BM216" s="40"/>
      <c r="BN216" s="40"/>
      <c r="BO216" s="42"/>
      <c r="BP216" s="40"/>
      <c r="BQ216" s="40"/>
      <c r="BR216" s="43"/>
      <c r="BS216" s="40"/>
      <c r="BT216" s="40"/>
      <c r="BU216" s="42"/>
      <c r="BV216" s="40"/>
      <c r="BW216" s="40"/>
      <c r="BX216" s="43"/>
      <c r="BY216" s="40"/>
      <c r="BZ216" s="40"/>
      <c r="CA216" s="42"/>
      <c r="CB216" s="40"/>
      <c r="CC216" s="75"/>
      <c r="CD216" s="43"/>
      <c r="CE216" s="40"/>
      <c r="CF216" s="40"/>
      <c r="CG216" s="42"/>
      <c r="CH216" s="40"/>
      <c r="CI216" s="40"/>
      <c r="CJ216" s="43"/>
      <c r="CK216" s="40"/>
      <c r="CL216" s="40"/>
      <c r="CM216" s="42"/>
      <c r="CN216" s="40"/>
      <c r="CO216" s="40"/>
      <c r="CP216" s="43"/>
      <c r="CQ216" s="40"/>
      <c r="CR216" s="40"/>
      <c r="CS216" s="42"/>
      <c r="CT216" s="40"/>
      <c r="CU216" s="40"/>
      <c r="CV216" s="43"/>
      <c r="CW216" s="40"/>
      <c r="CX216" s="40"/>
      <c r="CY216" s="42"/>
      <c r="CZ216" s="40"/>
      <c r="DA216" s="40"/>
      <c r="DB216" s="43"/>
      <c r="DC216" s="40"/>
      <c r="DD216" s="75"/>
      <c r="DE216" s="69">
        <v>0</v>
      </c>
      <c r="DF216" s="40"/>
      <c r="DG216" s="40"/>
      <c r="DH216" s="68">
        <v>0</v>
      </c>
    </row>
    <row r="217" spans="1:112">
      <c r="A217" s="40">
        <v>354</v>
      </c>
      <c r="B217" s="40" t="s">
        <v>210</v>
      </c>
      <c r="C217" s="40">
        <v>5</v>
      </c>
      <c r="D217" s="29" t="s">
        <v>200</v>
      </c>
      <c r="E217" s="30">
        <v>143</v>
      </c>
      <c r="F217" s="30">
        <v>6</v>
      </c>
      <c r="G217" s="52">
        <v>44.303650000000005</v>
      </c>
      <c r="H217" s="68">
        <f t="shared" si="3"/>
        <v>0</v>
      </c>
      <c r="I217" s="47">
        <v>44.303650000000005</v>
      </c>
      <c r="J217" s="43">
        <v>166.6</v>
      </c>
      <c r="K217" s="40"/>
      <c r="L217" s="40"/>
      <c r="M217" s="43"/>
      <c r="N217" s="40"/>
      <c r="O217" s="40"/>
      <c r="P217" s="40"/>
      <c r="Q217" s="42"/>
      <c r="R217" s="40"/>
      <c r="S217" s="40"/>
      <c r="T217" s="43"/>
      <c r="U217" s="40"/>
      <c r="V217" s="40"/>
      <c r="W217" s="42"/>
      <c r="X217" s="40"/>
      <c r="Y217" s="40"/>
      <c r="Z217" s="43"/>
      <c r="AA217" s="40"/>
      <c r="AB217" s="40"/>
      <c r="AC217" s="42"/>
      <c r="AD217" s="40" t="s">
        <v>407</v>
      </c>
      <c r="AE217" s="40" t="s">
        <v>308</v>
      </c>
      <c r="AF217" s="99">
        <v>196</v>
      </c>
      <c r="AG217" s="43">
        <v>166600</v>
      </c>
      <c r="AH217" s="40"/>
      <c r="AI217" s="40"/>
      <c r="AJ217" s="40"/>
      <c r="AK217" s="42"/>
      <c r="AL217" s="40"/>
      <c r="AM217" s="40"/>
      <c r="AN217" s="43"/>
      <c r="AO217" s="40"/>
      <c r="AP217" s="40"/>
      <c r="AQ217" s="42"/>
      <c r="AR217" s="40"/>
      <c r="AS217" s="40"/>
      <c r="AT217" s="43"/>
      <c r="AU217" s="40"/>
      <c r="AV217" s="40"/>
      <c r="AW217" s="42"/>
      <c r="AX217" s="40"/>
      <c r="AY217" s="40"/>
      <c r="AZ217" s="43"/>
      <c r="BA217" s="40"/>
      <c r="BB217" s="40"/>
      <c r="BC217" s="42"/>
      <c r="BD217" s="40"/>
      <c r="BE217" s="40"/>
      <c r="BF217" s="43"/>
      <c r="BG217" s="40"/>
      <c r="BH217" s="40"/>
      <c r="BI217" s="42"/>
      <c r="BJ217" s="40"/>
      <c r="BK217" s="40"/>
      <c r="BL217" s="43"/>
      <c r="BM217" s="40"/>
      <c r="BN217" s="40"/>
      <c r="BO217" s="42"/>
      <c r="BP217" s="40"/>
      <c r="BQ217" s="40"/>
      <c r="BR217" s="43"/>
      <c r="BS217" s="40"/>
      <c r="BT217" s="40"/>
      <c r="BU217" s="42"/>
      <c r="BV217" s="40"/>
      <c r="BW217" s="40"/>
      <c r="BX217" s="43"/>
      <c r="BY217" s="40"/>
      <c r="BZ217" s="40"/>
      <c r="CA217" s="42"/>
      <c r="CB217" s="40"/>
      <c r="CC217" s="75"/>
      <c r="CD217" s="43"/>
      <c r="CE217" s="40"/>
      <c r="CF217" s="40"/>
      <c r="CG217" s="42"/>
      <c r="CH217" s="40"/>
      <c r="CI217" s="40"/>
      <c r="CJ217" s="43"/>
      <c r="CK217" s="40"/>
      <c r="CL217" s="40"/>
      <c r="CM217" s="42"/>
      <c r="CN217" s="40"/>
      <c r="CO217" s="40"/>
      <c r="CP217" s="43"/>
      <c r="CQ217" s="40"/>
      <c r="CR217" s="40"/>
      <c r="CS217" s="42"/>
      <c r="CT217" s="40"/>
      <c r="CU217" s="40"/>
      <c r="CV217" s="43"/>
      <c r="CW217" s="40"/>
      <c r="CX217" s="40"/>
      <c r="CY217" s="42"/>
      <c r="CZ217" s="40"/>
      <c r="DA217" s="40"/>
      <c r="DB217" s="43"/>
      <c r="DC217" s="40"/>
      <c r="DD217" s="75"/>
      <c r="DE217" s="69">
        <v>0</v>
      </c>
      <c r="DF217" s="40"/>
      <c r="DG217" s="40"/>
      <c r="DH217" s="68">
        <v>0</v>
      </c>
    </row>
    <row r="218" spans="1:112">
      <c r="A218" s="40">
        <v>355</v>
      </c>
      <c r="B218" s="40" t="s">
        <v>210</v>
      </c>
      <c r="C218" s="40">
        <v>5</v>
      </c>
      <c r="D218" s="29" t="s">
        <v>200</v>
      </c>
      <c r="E218" s="30">
        <v>147</v>
      </c>
      <c r="F218" s="30">
        <v>6</v>
      </c>
      <c r="G218" s="52">
        <v>32.205141999999995</v>
      </c>
      <c r="H218" s="68">
        <f t="shared" si="3"/>
        <v>0</v>
      </c>
      <c r="I218" s="47">
        <v>32.205141999999995</v>
      </c>
      <c r="J218" s="43">
        <v>32.21</v>
      </c>
      <c r="K218" s="40"/>
      <c r="L218" s="40"/>
      <c r="M218" s="43"/>
      <c r="N218" s="40"/>
      <c r="O218" s="40"/>
      <c r="P218" s="40"/>
      <c r="Q218" s="42"/>
      <c r="R218" s="40"/>
      <c r="S218" s="40"/>
      <c r="T218" s="43"/>
      <c r="U218" s="40"/>
      <c r="V218" s="40"/>
      <c r="W218" s="42"/>
      <c r="X218" s="40"/>
      <c r="Y218" s="40"/>
      <c r="Z218" s="43"/>
      <c r="AA218" s="40"/>
      <c r="AB218" s="40"/>
      <c r="AC218" s="42"/>
      <c r="AD218" s="40" t="s">
        <v>407</v>
      </c>
      <c r="AE218" s="40" t="s">
        <v>308</v>
      </c>
      <c r="AF218" s="40">
        <v>40</v>
      </c>
      <c r="AG218" s="43">
        <v>32210</v>
      </c>
      <c r="AH218" s="40"/>
      <c r="AI218" s="40"/>
      <c r="AJ218" s="40"/>
      <c r="AK218" s="42"/>
      <c r="AL218" s="40"/>
      <c r="AM218" s="40"/>
      <c r="AN218" s="43"/>
      <c r="AO218" s="40"/>
      <c r="AP218" s="40"/>
      <c r="AQ218" s="42"/>
      <c r="AR218" s="40"/>
      <c r="AS218" s="40"/>
      <c r="AT218" s="43"/>
      <c r="AU218" s="40"/>
      <c r="AV218" s="40"/>
      <c r="AW218" s="42"/>
      <c r="AX218" s="40"/>
      <c r="AY218" s="40"/>
      <c r="AZ218" s="43"/>
      <c r="BA218" s="40"/>
      <c r="BB218" s="40"/>
      <c r="BC218" s="42"/>
      <c r="BD218" s="40"/>
      <c r="BE218" s="40"/>
      <c r="BF218" s="43"/>
      <c r="BG218" s="40"/>
      <c r="BH218" s="40"/>
      <c r="BI218" s="42"/>
      <c r="BJ218" s="40"/>
      <c r="BK218" s="40"/>
      <c r="BL218" s="43"/>
      <c r="BM218" s="40"/>
      <c r="BN218" s="40"/>
      <c r="BO218" s="42"/>
      <c r="BP218" s="40"/>
      <c r="BQ218" s="40"/>
      <c r="BR218" s="43"/>
      <c r="BS218" s="40"/>
      <c r="BT218" s="40"/>
      <c r="BU218" s="42"/>
      <c r="BV218" s="40"/>
      <c r="BW218" s="40"/>
      <c r="BX218" s="43"/>
      <c r="BY218" s="40"/>
      <c r="BZ218" s="40"/>
      <c r="CA218" s="42"/>
      <c r="CB218" s="40"/>
      <c r="CC218" s="75"/>
      <c r="CD218" s="43"/>
      <c r="CE218" s="40"/>
      <c r="CF218" s="40"/>
      <c r="CG218" s="42"/>
      <c r="CH218" s="40"/>
      <c r="CI218" s="40"/>
      <c r="CJ218" s="43"/>
      <c r="CK218" s="40"/>
      <c r="CL218" s="40"/>
      <c r="CM218" s="42"/>
      <c r="CN218" s="40"/>
      <c r="CO218" s="40"/>
      <c r="CP218" s="43"/>
      <c r="CQ218" s="40"/>
      <c r="CR218" s="40"/>
      <c r="CS218" s="42"/>
      <c r="CT218" s="40"/>
      <c r="CU218" s="40"/>
      <c r="CV218" s="43"/>
      <c r="CW218" s="40"/>
      <c r="CX218" s="40"/>
      <c r="CY218" s="42"/>
      <c r="CZ218" s="40"/>
      <c r="DA218" s="40"/>
      <c r="DB218" s="43"/>
      <c r="DC218" s="40"/>
      <c r="DD218" s="75"/>
      <c r="DE218" s="69">
        <v>0</v>
      </c>
      <c r="DF218" s="40"/>
      <c r="DG218" s="40"/>
      <c r="DH218" s="68">
        <v>0</v>
      </c>
    </row>
    <row r="219" spans="1:112">
      <c r="A219" s="40">
        <v>358</v>
      </c>
      <c r="B219" s="40" t="s">
        <v>210</v>
      </c>
      <c r="C219" s="40">
        <v>5</v>
      </c>
      <c r="D219" s="29" t="s">
        <v>200</v>
      </c>
      <c r="E219" s="30">
        <v>166</v>
      </c>
      <c r="F219" s="30">
        <v>7</v>
      </c>
      <c r="G219" s="52">
        <v>32.937924000000002</v>
      </c>
      <c r="H219" s="68">
        <f t="shared" si="3"/>
        <v>0</v>
      </c>
      <c r="I219" s="47">
        <v>32.937924000000002</v>
      </c>
      <c r="J219" s="43">
        <v>139.80000000000001</v>
      </c>
      <c r="K219" s="40"/>
      <c r="L219" s="40"/>
      <c r="M219" s="43"/>
      <c r="N219" s="40"/>
      <c r="O219" s="40"/>
      <c r="P219" s="40"/>
      <c r="Q219" s="42"/>
      <c r="R219" s="40"/>
      <c r="S219" s="40"/>
      <c r="T219" s="43"/>
      <c r="U219" s="40"/>
      <c r="V219" s="40"/>
      <c r="W219" s="42"/>
      <c r="X219" s="40"/>
      <c r="Y219" s="40"/>
      <c r="Z219" s="43"/>
      <c r="AA219" s="40"/>
      <c r="AB219" s="40"/>
      <c r="AC219" s="42"/>
      <c r="AD219" s="40" t="s">
        <v>407</v>
      </c>
      <c r="AE219" s="40" t="s">
        <v>308</v>
      </c>
      <c r="AF219" s="99">
        <v>164.5</v>
      </c>
      <c r="AG219" s="43">
        <v>139800</v>
      </c>
      <c r="AH219" s="40"/>
      <c r="AI219" s="40"/>
      <c r="AJ219" s="40"/>
      <c r="AK219" s="42"/>
      <c r="AL219" s="40"/>
      <c r="AM219" s="40"/>
      <c r="AN219" s="43"/>
      <c r="AO219" s="40"/>
      <c r="AP219" s="40"/>
      <c r="AQ219" s="42"/>
      <c r="AR219" s="40"/>
      <c r="AS219" s="40"/>
      <c r="AT219" s="43"/>
      <c r="AU219" s="40"/>
      <c r="AV219" s="40"/>
      <c r="AW219" s="42"/>
      <c r="AX219" s="40"/>
      <c r="AY219" s="40"/>
      <c r="AZ219" s="43"/>
      <c r="BA219" s="40"/>
      <c r="BB219" s="40"/>
      <c r="BC219" s="42"/>
      <c r="BD219" s="40"/>
      <c r="BE219" s="40"/>
      <c r="BF219" s="43"/>
      <c r="BG219" s="40"/>
      <c r="BH219" s="40"/>
      <c r="BI219" s="42"/>
      <c r="BJ219" s="40"/>
      <c r="BK219" s="40"/>
      <c r="BL219" s="43"/>
      <c r="BM219" s="40"/>
      <c r="BN219" s="40"/>
      <c r="BO219" s="42"/>
      <c r="BP219" s="40"/>
      <c r="BQ219" s="40"/>
      <c r="BR219" s="43"/>
      <c r="BS219" s="40"/>
      <c r="BT219" s="40"/>
      <c r="BU219" s="42"/>
      <c r="BV219" s="40"/>
      <c r="BW219" s="40"/>
      <c r="BX219" s="43"/>
      <c r="BY219" s="40"/>
      <c r="BZ219" s="40"/>
      <c r="CA219" s="42"/>
      <c r="CB219" s="40"/>
      <c r="CC219" s="75"/>
      <c r="CD219" s="43"/>
      <c r="CE219" s="40"/>
      <c r="CF219" s="40"/>
      <c r="CG219" s="42"/>
      <c r="CH219" s="40"/>
      <c r="CI219" s="40"/>
      <c r="CJ219" s="43"/>
      <c r="CK219" s="40"/>
      <c r="CL219" s="40"/>
      <c r="CM219" s="42"/>
      <c r="CN219" s="40"/>
      <c r="CO219" s="40"/>
      <c r="CP219" s="43"/>
      <c r="CQ219" s="40"/>
      <c r="CR219" s="40"/>
      <c r="CS219" s="42"/>
      <c r="CT219" s="40"/>
      <c r="CU219" s="40"/>
      <c r="CV219" s="43"/>
      <c r="CW219" s="40"/>
      <c r="CX219" s="40"/>
      <c r="CY219" s="42"/>
      <c r="CZ219" s="40"/>
      <c r="DA219" s="40"/>
      <c r="DB219" s="43"/>
      <c r="DC219" s="40"/>
      <c r="DD219" s="75"/>
      <c r="DE219" s="69">
        <v>0</v>
      </c>
      <c r="DF219" s="40"/>
      <c r="DG219" s="40"/>
      <c r="DH219" s="68">
        <v>0</v>
      </c>
    </row>
    <row r="220" spans="1:112">
      <c r="A220" s="40">
        <v>359</v>
      </c>
      <c r="B220" s="40" t="s">
        <v>210</v>
      </c>
      <c r="C220" s="40">
        <v>5</v>
      </c>
      <c r="D220" s="29" t="s">
        <v>203</v>
      </c>
      <c r="E220" s="30" t="s">
        <v>204</v>
      </c>
      <c r="F220" s="30">
        <v>7</v>
      </c>
      <c r="G220" s="52">
        <v>50.290206000000012</v>
      </c>
      <c r="H220" s="68">
        <f t="shared" si="3"/>
        <v>8.2028400000000001</v>
      </c>
      <c r="I220" s="47">
        <v>50.290206000000012</v>
      </c>
      <c r="J220" s="43">
        <v>50</v>
      </c>
      <c r="K220" s="40" t="s">
        <v>406</v>
      </c>
      <c r="L220" s="40">
        <v>1</v>
      </c>
      <c r="M220" s="43">
        <v>50000</v>
      </c>
      <c r="N220" s="40"/>
      <c r="O220" s="40"/>
      <c r="P220" s="40"/>
      <c r="Q220" s="42"/>
      <c r="R220" s="40"/>
      <c r="S220" s="40"/>
      <c r="T220" s="43"/>
      <c r="U220" s="40"/>
      <c r="V220" s="40"/>
      <c r="W220" s="42"/>
      <c r="X220" s="40"/>
      <c r="Y220" s="40"/>
      <c r="Z220" s="43"/>
      <c r="AA220" s="40"/>
      <c r="AB220" s="40"/>
      <c r="AC220" s="42"/>
      <c r="AD220" s="40"/>
      <c r="AE220" s="40"/>
      <c r="AF220" s="40"/>
      <c r="AG220" s="43"/>
      <c r="AH220" s="40"/>
      <c r="AI220" s="40"/>
      <c r="AJ220" s="40"/>
      <c r="AK220" s="42"/>
      <c r="AL220" s="40"/>
      <c r="AM220" s="40"/>
      <c r="AN220" s="43"/>
      <c r="AO220" s="40"/>
      <c r="AP220" s="40"/>
      <c r="AQ220" s="42"/>
      <c r="AR220" s="40"/>
      <c r="AS220" s="40"/>
      <c r="AT220" s="43"/>
      <c r="AU220" s="40"/>
      <c r="AV220" s="40"/>
      <c r="AW220" s="42"/>
      <c r="AX220" s="40"/>
      <c r="AY220" s="40"/>
      <c r="AZ220" s="43"/>
      <c r="BA220" s="40"/>
      <c r="BB220" s="40"/>
      <c r="BC220" s="42"/>
      <c r="BD220" s="40"/>
      <c r="BE220" s="40"/>
      <c r="BF220" s="43"/>
      <c r="BG220" s="40"/>
      <c r="BH220" s="40"/>
      <c r="BI220" s="42"/>
      <c r="BJ220" s="40"/>
      <c r="BK220" s="40"/>
      <c r="BL220" s="43"/>
      <c r="BM220" s="40"/>
      <c r="BN220" s="40"/>
      <c r="BO220" s="42"/>
      <c r="BP220" s="40"/>
      <c r="BQ220" s="40"/>
      <c r="BR220" s="43"/>
      <c r="BS220" s="40"/>
      <c r="BT220" s="40"/>
      <c r="BU220" s="42"/>
      <c r="BV220" s="40"/>
      <c r="BW220" s="40"/>
      <c r="BX220" s="43"/>
      <c r="BY220" s="40"/>
      <c r="BZ220" s="40"/>
      <c r="CA220" s="42"/>
      <c r="CB220" s="40"/>
      <c r="CC220" s="75"/>
      <c r="CD220" s="43"/>
      <c r="CE220" s="40"/>
      <c r="CF220" s="40"/>
      <c r="CG220" s="42"/>
      <c r="CH220" s="40"/>
      <c r="CI220" s="40"/>
      <c r="CJ220" s="43"/>
      <c r="CK220" s="40"/>
      <c r="CL220" s="40"/>
      <c r="CM220" s="42"/>
      <c r="CN220" s="40"/>
      <c r="CO220" s="40"/>
      <c r="CP220" s="43"/>
      <c r="CQ220" s="40"/>
      <c r="CR220" s="40"/>
      <c r="CS220" s="42"/>
      <c r="CT220" s="40"/>
      <c r="CU220" s="40"/>
      <c r="CV220" s="43"/>
      <c r="CW220" s="40"/>
      <c r="CX220" s="40"/>
      <c r="CY220" s="42"/>
      <c r="CZ220" s="40"/>
      <c r="DA220" s="40"/>
      <c r="DB220" s="43"/>
      <c r="DC220" s="40"/>
      <c r="DD220" s="75"/>
      <c r="DE220" s="69">
        <v>0</v>
      </c>
      <c r="DF220" s="44" t="s">
        <v>470</v>
      </c>
      <c r="DG220" s="40" t="s">
        <v>463</v>
      </c>
      <c r="DH220" s="68">
        <v>8202.84</v>
      </c>
    </row>
    <row r="221" spans="1:112">
      <c r="A221" s="40">
        <v>360</v>
      </c>
      <c r="B221" s="40" t="s">
        <v>210</v>
      </c>
      <c r="C221" s="40">
        <v>5</v>
      </c>
      <c r="D221" s="29" t="s">
        <v>200</v>
      </c>
      <c r="E221" s="30" t="s">
        <v>205</v>
      </c>
      <c r="F221" s="30">
        <v>7</v>
      </c>
      <c r="G221" s="52">
        <v>60.792305999999996</v>
      </c>
      <c r="H221" s="68">
        <f t="shared" si="3"/>
        <v>18.833650000000002</v>
      </c>
      <c r="I221" s="47">
        <v>41.958655999999991</v>
      </c>
      <c r="J221" s="43">
        <v>298.55</v>
      </c>
      <c r="K221" s="40"/>
      <c r="L221" s="40"/>
      <c r="M221" s="43"/>
      <c r="N221" s="40"/>
      <c r="O221" s="40"/>
      <c r="P221" s="40"/>
      <c r="Q221" s="42"/>
      <c r="R221" s="40"/>
      <c r="S221" s="40"/>
      <c r="T221" s="43"/>
      <c r="U221" s="40"/>
      <c r="V221" s="40"/>
      <c r="W221" s="42"/>
      <c r="X221" s="40"/>
      <c r="Y221" s="40"/>
      <c r="Z221" s="43"/>
      <c r="AA221" s="40"/>
      <c r="AB221" s="40"/>
      <c r="AC221" s="42"/>
      <c r="AD221" s="40" t="s">
        <v>407</v>
      </c>
      <c r="AE221" s="40" t="s">
        <v>308</v>
      </c>
      <c r="AF221" s="99">
        <v>343</v>
      </c>
      <c r="AG221" s="43">
        <v>291550</v>
      </c>
      <c r="AH221" s="40"/>
      <c r="AI221" s="40"/>
      <c r="AJ221" s="40"/>
      <c r="AK221" s="42"/>
      <c r="AL221" s="40"/>
      <c r="AM221" s="40"/>
      <c r="AN221" s="43"/>
      <c r="AO221" s="40"/>
      <c r="AP221" s="40"/>
      <c r="AQ221" s="42"/>
      <c r="AR221" s="40"/>
      <c r="AS221" s="40"/>
      <c r="AT221" s="43"/>
      <c r="AU221" s="40"/>
      <c r="AV221" s="40"/>
      <c r="AW221" s="42"/>
      <c r="AX221" s="40"/>
      <c r="AY221" s="40"/>
      <c r="AZ221" s="43"/>
      <c r="BA221" s="44" t="s">
        <v>362</v>
      </c>
      <c r="BB221" s="40">
        <v>5</v>
      </c>
      <c r="BC221" s="42">
        <v>3459.06</v>
      </c>
      <c r="BD221" s="40"/>
      <c r="BE221" s="40"/>
      <c r="BF221" s="43"/>
      <c r="BG221" s="40"/>
      <c r="BH221" s="40"/>
      <c r="BI221" s="42"/>
      <c r="BJ221" s="40"/>
      <c r="BK221" s="40"/>
      <c r="BL221" s="43"/>
      <c r="BM221" s="40"/>
      <c r="BN221" s="40"/>
      <c r="BO221" s="42"/>
      <c r="BP221" s="40"/>
      <c r="BQ221" s="40"/>
      <c r="BR221" s="43"/>
      <c r="BS221" s="40"/>
      <c r="BT221" s="40"/>
      <c r="BU221" s="42"/>
      <c r="BV221" s="40"/>
      <c r="BW221" s="40"/>
      <c r="BX221" s="43"/>
      <c r="BY221" s="40"/>
      <c r="BZ221" s="40"/>
      <c r="CA221" s="42"/>
      <c r="CB221" s="40"/>
      <c r="CC221" s="75"/>
      <c r="CD221" s="43"/>
      <c r="CE221" s="40"/>
      <c r="CF221" s="40"/>
      <c r="CG221" s="42"/>
      <c r="CH221" s="40"/>
      <c r="CI221" s="40"/>
      <c r="CJ221" s="43"/>
      <c r="CK221" s="40"/>
      <c r="CL221" s="40"/>
      <c r="CM221" s="42"/>
      <c r="CN221" s="40"/>
      <c r="CO221" s="40"/>
      <c r="CP221" s="43"/>
      <c r="CQ221" s="40"/>
      <c r="CR221" s="40"/>
      <c r="CS221" s="42"/>
      <c r="CT221" s="40"/>
      <c r="CU221" s="40"/>
      <c r="CV221" s="43"/>
      <c r="CW221" s="40"/>
      <c r="CX221" s="40"/>
      <c r="CY221" s="42"/>
      <c r="CZ221" s="40"/>
      <c r="DA221" s="40"/>
      <c r="DB221" s="43"/>
      <c r="DC221" s="40" t="s">
        <v>323</v>
      </c>
      <c r="DD221" s="75" t="s">
        <v>327</v>
      </c>
      <c r="DE221" s="69">
        <v>7000</v>
      </c>
      <c r="DF221" s="40" t="s">
        <v>362</v>
      </c>
      <c r="DG221" s="40" t="s">
        <v>429</v>
      </c>
      <c r="DH221" s="68">
        <v>15374.59</v>
      </c>
    </row>
    <row r="222" spans="1:112">
      <c r="A222" s="40">
        <v>361</v>
      </c>
      <c r="B222" s="40" t="s">
        <v>210</v>
      </c>
      <c r="C222" s="40">
        <v>4</v>
      </c>
      <c r="D222" s="29" t="s">
        <v>200</v>
      </c>
      <c r="E222" s="30">
        <v>168</v>
      </c>
      <c r="F222" s="30">
        <v>7</v>
      </c>
      <c r="G222" s="52">
        <v>33.395809999999997</v>
      </c>
      <c r="H222" s="68">
        <f t="shared" si="3"/>
        <v>0</v>
      </c>
      <c r="I222" s="47">
        <v>33.395809999999997</v>
      </c>
      <c r="J222" s="43">
        <v>33.4</v>
      </c>
      <c r="K222" s="40"/>
      <c r="L222" s="40"/>
      <c r="M222" s="43"/>
      <c r="N222" s="40"/>
      <c r="O222" s="40"/>
      <c r="P222" s="40"/>
      <c r="Q222" s="42"/>
      <c r="R222" s="40"/>
      <c r="S222" s="40"/>
      <c r="T222" s="43"/>
      <c r="U222" s="40"/>
      <c r="V222" s="40"/>
      <c r="W222" s="42"/>
      <c r="X222" s="40"/>
      <c r="Y222" s="40"/>
      <c r="Z222" s="43"/>
      <c r="AA222" s="40"/>
      <c r="AB222" s="40"/>
      <c r="AC222" s="42"/>
      <c r="AD222" s="40"/>
      <c r="AE222" s="40"/>
      <c r="AF222" s="40"/>
      <c r="AG222" s="43"/>
      <c r="AH222" s="40"/>
      <c r="AI222" s="40"/>
      <c r="AJ222" s="40"/>
      <c r="AK222" s="42"/>
      <c r="AL222" s="40"/>
      <c r="AM222" s="40"/>
      <c r="AN222" s="43"/>
      <c r="AO222" s="40"/>
      <c r="AP222" s="40"/>
      <c r="AQ222" s="42"/>
      <c r="AR222" s="40"/>
      <c r="AS222" s="40"/>
      <c r="AT222" s="43"/>
      <c r="AU222" s="40"/>
      <c r="AV222" s="40"/>
      <c r="AW222" s="42"/>
      <c r="AX222" s="40"/>
      <c r="AY222" s="40"/>
      <c r="AZ222" s="43"/>
      <c r="BA222" s="40"/>
      <c r="BB222" s="40"/>
      <c r="BC222" s="42"/>
      <c r="BD222" s="40"/>
      <c r="BE222" s="40"/>
      <c r="BF222" s="43"/>
      <c r="BG222" s="40"/>
      <c r="BH222" s="40"/>
      <c r="BI222" s="42"/>
      <c r="BJ222" s="40"/>
      <c r="BK222" s="40"/>
      <c r="BL222" s="43"/>
      <c r="BM222" s="40"/>
      <c r="BN222" s="40"/>
      <c r="BO222" s="42"/>
      <c r="BP222" s="40"/>
      <c r="BQ222" s="40"/>
      <c r="BR222" s="43"/>
      <c r="BS222" s="40"/>
      <c r="BT222" s="40"/>
      <c r="BU222" s="42"/>
      <c r="BV222" s="40"/>
      <c r="BW222" s="40"/>
      <c r="BX222" s="43"/>
      <c r="BY222" s="40"/>
      <c r="BZ222" s="40"/>
      <c r="CA222" s="42"/>
      <c r="CB222" s="40"/>
      <c r="CC222" s="75"/>
      <c r="CD222" s="43"/>
      <c r="CE222" s="40"/>
      <c r="CF222" s="40"/>
      <c r="CG222" s="42"/>
      <c r="CH222" s="40"/>
      <c r="CI222" s="40"/>
      <c r="CJ222" s="43"/>
      <c r="CK222" s="40"/>
      <c r="CL222" s="40"/>
      <c r="CM222" s="42"/>
      <c r="CN222" s="40"/>
      <c r="CO222" s="40"/>
      <c r="CP222" s="43"/>
      <c r="CQ222" s="40"/>
      <c r="CR222" s="40"/>
      <c r="CS222" s="42"/>
      <c r="CT222" s="40"/>
      <c r="CU222" s="40"/>
      <c r="CV222" s="43"/>
      <c r="CW222" s="40"/>
      <c r="CX222" s="40"/>
      <c r="CY222" s="42"/>
      <c r="CZ222" s="40"/>
      <c r="DA222" s="40"/>
      <c r="DB222" s="43"/>
      <c r="DC222" s="40"/>
      <c r="DD222" s="75" t="s">
        <v>364</v>
      </c>
      <c r="DE222" s="69">
        <v>33400</v>
      </c>
      <c r="DF222" s="40"/>
      <c r="DG222" s="40"/>
      <c r="DH222" s="68">
        <v>0</v>
      </c>
    </row>
    <row r="223" spans="1:112">
      <c r="A223" s="40">
        <v>362</v>
      </c>
      <c r="B223" s="40" t="s">
        <v>210</v>
      </c>
      <c r="C223" s="40">
        <v>4</v>
      </c>
      <c r="D223" s="29" t="s">
        <v>200</v>
      </c>
      <c r="E223" s="30" t="s">
        <v>206</v>
      </c>
      <c r="F223" s="30">
        <v>7</v>
      </c>
      <c r="G223" s="52">
        <v>1.1925299999999999</v>
      </c>
      <c r="H223" s="68">
        <f t="shared" si="3"/>
        <v>0</v>
      </c>
      <c r="I223" s="47">
        <v>1.1925299999999999</v>
      </c>
      <c r="J223" s="43">
        <v>1.19</v>
      </c>
      <c r="K223" s="40"/>
      <c r="L223" s="40"/>
      <c r="M223" s="43"/>
      <c r="N223" s="40"/>
      <c r="O223" s="40"/>
      <c r="P223" s="40"/>
      <c r="Q223" s="42"/>
      <c r="R223" s="40"/>
      <c r="S223" s="40"/>
      <c r="T223" s="43"/>
      <c r="U223" s="40"/>
      <c r="V223" s="40"/>
      <c r="W223" s="42"/>
      <c r="X223" s="40"/>
      <c r="Y223" s="40"/>
      <c r="Z223" s="43"/>
      <c r="AA223" s="40"/>
      <c r="AB223" s="40"/>
      <c r="AC223" s="42"/>
      <c r="AD223" s="40"/>
      <c r="AE223" s="40"/>
      <c r="AF223" s="40"/>
      <c r="AG223" s="43"/>
      <c r="AH223" s="40"/>
      <c r="AI223" s="40"/>
      <c r="AJ223" s="40"/>
      <c r="AK223" s="42"/>
      <c r="AL223" s="40"/>
      <c r="AM223" s="40"/>
      <c r="AN223" s="43"/>
      <c r="AO223" s="40"/>
      <c r="AP223" s="40"/>
      <c r="AQ223" s="42"/>
      <c r="AR223" s="40"/>
      <c r="AS223" s="40"/>
      <c r="AT223" s="43"/>
      <c r="AU223" s="40"/>
      <c r="AV223" s="40"/>
      <c r="AW223" s="42"/>
      <c r="AX223" s="40"/>
      <c r="AY223" s="40"/>
      <c r="AZ223" s="43"/>
      <c r="BA223" s="40"/>
      <c r="BB223" s="40"/>
      <c r="BC223" s="42"/>
      <c r="BD223" s="40"/>
      <c r="BE223" s="40"/>
      <c r="BF223" s="43"/>
      <c r="BG223" s="40"/>
      <c r="BH223" s="40"/>
      <c r="BI223" s="42"/>
      <c r="BJ223" s="40"/>
      <c r="BK223" s="40"/>
      <c r="BL223" s="43"/>
      <c r="BM223" s="40"/>
      <c r="BN223" s="40"/>
      <c r="BO223" s="42"/>
      <c r="BP223" s="40"/>
      <c r="BQ223" s="40"/>
      <c r="BR223" s="43"/>
      <c r="BS223" s="40"/>
      <c r="BT223" s="40"/>
      <c r="BU223" s="42"/>
      <c r="BV223" s="40"/>
      <c r="BW223" s="40"/>
      <c r="BX223" s="43"/>
      <c r="BY223" s="40"/>
      <c r="BZ223" s="40"/>
      <c r="CA223" s="42"/>
      <c r="CB223" s="40"/>
      <c r="CC223" s="75"/>
      <c r="CD223" s="43"/>
      <c r="CE223" s="40"/>
      <c r="CF223" s="40"/>
      <c r="CG223" s="42"/>
      <c r="CH223" s="40"/>
      <c r="CI223" s="40"/>
      <c r="CJ223" s="43"/>
      <c r="CK223" s="40"/>
      <c r="CL223" s="40"/>
      <c r="CM223" s="42"/>
      <c r="CN223" s="40"/>
      <c r="CO223" s="40"/>
      <c r="CP223" s="43"/>
      <c r="CQ223" s="40"/>
      <c r="CR223" s="40"/>
      <c r="CS223" s="42"/>
      <c r="CT223" s="40"/>
      <c r="CU223" s="40"/>
      <c r="CV223" s="43"/>
      <c r="CW223" s="40"/>
      <c r="CX223" s="40"/>
      <c r="CY223" s="42"/>
      <c r="CZ223" s="40"/>
      <c r="DA223" s="40"/>
      <c r="DB223" s="43"/>
      <c r="DC223" s="40"/>
      <c r="DD223" s="75" t="s">
        <v>364</v>
      </c>
      <c r="DE223" s="69">
        <v>1190</v>
      </c>
      <c r="DF223" s="40"/>
      <c r="DG223" s="40"/>
      <c r="DH223" s="68">
        <v>0</v>
      </c>
    </row>
    <row r="224" spans="1:112">
      <c r="A224" s="40"/>
      <c r="B224" s="40"/>
      <c r="C224" s="40"/>
      <c r="D224" s="40"/>
      <c r="E224" s="40"/>
      <c r="F224" s="40"/>
      <c r="G224" s="41">
        <f t="shared" ref="G224:BU224" si="4">SUM(G8:G223)</f>
        <v>5970.3864764000027</v>
      </c>
      <c r="H224" s="41">
        <f t="shared" si="4"/>
        <v>1150.3554199999999</v>
      </c>
      <c r="I224" s="41">
        <f t="shared" si="4"/>
        <v>5716.4689964000027</v>
      </c>
      <c r="J224" s="41">
        <f t="shared" si="4"/>
        <v>7150.3199999999988</v>
      </c>
      <c r="K224" s="41">
        <f t="shared" si="4"/>
        <v>0</v>
      </c>
      <c r="L224" s="41">
        <f t="shared" si="4"/>
        <v>11</v>
      </c>
      <c r="M224" s="41">
        <f t="shared" si="4"/>
        <v>450670</v>
      </c>
      <c r="N224" s="41">
        <f t="shared" si="4"/>
        <v>0</v>
      </c>
      <c r="O224" s="41">
        <f t="shared" si="4"/>
        <v>3</v>
      </c>
      <c r="P224" s="41"/>
      <c r="Q224" s="41">
        <f t="shared" si="4"/>
        <v>159716.01</v>
      </c>
      <c r="R224" s="41">
        <f t="shared" si="4"/>
        <v>0</v>
      </c>
      <c r="S224" s="41">
        <f t="shared" si="4"/>
        <v>35</v>
      </c>
      <c r="T224" s="41">
        <f t="shared" si="4"/>
        <v>0</v>
      </c>
      <c r="U224" s="41">
        <f t="shared" si="4"/>
        <v>0</v>
      </c>
      <c r="V224" s="41">
        <f t="shared" si="4"/>
        <v>0</v>
      </c>
      <c r="W224" s="41">
        <f t="shared" si="4"/>
        <v>0</v>
      </c>
      <c r="X224" s="41">
        <f t="shared" si="4"/>
        <v>0</v>
      </c>
      <c r="Y224" s="41">
        <f t="shared" si="4"/>
        <v>0</v>
      </c>
      <c r="Z224" s="41">
        <f t="shared" si="4"/>
        <v>0</v>
      </c>
      <c r="AA224" s="41">
        <f t="shared" si="4"/>
        <v>0</v>
      </c>
      <c r="AB224" s="41">
        <f t="shared" si="4"/>
        <v>0</v>
      </c>
      <c r="AC224" s="41">
        <f t="shared" si="4"/>
        <v>0</v>
      </c>
      <c r="AD224" s="41">
        <f t="shared" si="4"/>
        <v>0</v>
      </c>
      <c r="AE224" s="41">
        <f t="shared" si="4"/>
        <v>0</v>
      </c>
      <c r="AF224" s="41">
        <f t="shared" si="4"/>
        <v>3869.6</v>
      </c>
      <c r="AG224" s="41">
        <f t="shared" si="4"/>
        <v>3300830</v>
      </c>
      <c r="AH224" s="41">
        <f t="shared" si="4"/>
        <v>0</v>
      </c>
      <c r="AI224" s="41">
        <f t="shared" si="4"/>
        <v>395.23</v>
      </c>
      <c r="AJ224" s="41"/>
      <c r="AK224" s="41">
        <f t="shared" si="4"/>
        <v>367200.22</v>
      </c>
      <c r="AL224" s="41">
        <f t="shared" si="4"/>
        <v>0</v>
      </c>
      <c r="AM224" s="41">
        <f t="shared" si="4"/>
        <v>34</v>
      </c>
      <c r="AN224" s="41">
        <f t="shared" si="4"/>
        <v>44730</v>
      </c>
      <c r="AO224" s="41">
        <f t="shared" si="4"/>
        <v>0</v>
      </c>
      <c r="AP224" s="41">
        <f t="shared" si="4"/>
        <v>2.5</v>
      </c>
      <c r="AQ224" s="41">
        <f t="shared" si="4"/>
        <v>3077.68</v>
      </c>
      <c r="AR224" s="41">
        <f t="shared" si="4"/>
        <v>0</v>
      </c>
      <c r="AS224" s="41">
        <f t="shared" si="4"/>
        <v>0</v>
      </c>
      <c r="AT224" s="41">
        <f t="shared" si="4"/>
        <v>0</v>
      </c>
      <c r="AU224" s="41">
        <f t="shared" si="4"/>
        <v>0</v>
      </c>
      <c r="AV224" s="41">
        <f t="shared" si="4"/>
        <v>0</v>
      </c>
      <c r="AW224" s="41">
        <f t="shared" si="4"/>
        <v>0</v>
      </c>
      <c r="AX224" s="41">
        <f t="shared" si="4"/>
        <v>0</v>
      </c>
      <c r="AY224" s="41">
        <f t="shared" si="4"/>
        <v>148</v>
      </c>
      <c r="AZ224" s="41">
        <f t="shared" si="4"/>
        <v>262980</v>
      </c>
      <c r="BA224" s="41">
        <f t="shared" si="4"/>
        <v>0</v>
      </c>
      <c r="BB224" s="41">
        <f t="shared" si="4"/>
        <v>54.2</v>
      </c>
      <c r="BC224" s="41">
        <f t="shared" si="4"/>
        <v>87593.21</v>
      </c>
      <c r="BD224" s="41">
        <f t="shared" si="4"/>
        <v>0</v>
      </c>
      <c r="BE224" s="41">
        <f t="shared" si="4"/>
        <v>43</v>
      </c>
      <c r="BF224" s="41">
        <f t="shared" si="4"/>
        <v>43000</v>
      </c>
      <c r="BG224" s="41">
        <f t="shared" si="4"/>
        <v>0</v>
      </c>
      <c r="BH224" s="41">
        <f t="shared" si="4"/>
        <v>23</v>
      </c>
      <c r="BI224" s="41">
        <f t="shared" si="4"/>
        <v>27986.23</v>
      </c>
      <c r="BJ224" s="41">
        <f t="shared" si="4"/>
        <v>0</v>
      </c>
      <c r="BK224" s="41">
        <f t="shared" si="4"/>
        <v>0</v>
      </c>
      <c r="BL224" s="41">
        <f t="shared" si="4"/>
        <v>0</v>
      </c>
      <c r="BM224" s="41">
        <f t="shared" si="4"/>
        <v>0</v>
      </c>
      <c r="BN224" s="41">
        <f t="shared" si="4"/>
        <v>0</v>
      </c>
      <c r="BO224" s="41">
        <f t="shared" si="4"/>
        <v>0</v>
      </c>
      <c r="BP224" s="41">
        <f t="shared" si="4"/>
        <v>0</v>
      </c>
      <c r="BQ224" s="41">
        <f t="shared" si="4"/>
        <v>0</v>
      </c>
      <c r="BR224" s="41">
        <f t="shared" si="4"/>
        <v>0</v>
      </c>
      <c r="BS224" s="41">
        <f t="shared" si="4"/>
        <v>0</v>
      </c>
      <c r="BT224" s="41">
        <f t="shared" si="4"/>
        <v>0</v>
      </c>
      <c r="BU224" s="41">
        <f t="shared" si="4"/>
        <v>0</v>
      </c>
      <c r="BV224" s="41">
        <f t="shared" ref="BV224:DH224" si="5">SUM(BV8:BV223)</f>
        <v>0</v>
      </c>
      <c r="BW224" s="41">
        <f t="shared" si="5"/>
        <v>68</v>
      </c>
      <c r="BX224" s="41">
        <f t="shared" si="5"/>
        <v>364370</v>
      </c>
      <c r="BY224" s="41">
        <f t="shared" si="5"/>
        <v>0</v>
      </c>
      <c r="BZ224" s="41">
        <f t="shared" si="5"/>
        <v>6</v>
      </c>
      <c r="CA224" s="41">
        <f t="shared" si="5"/>
        <v>65705.759999999995</v>
      </c>
      <c r="CB224" s="41">
        <f t="shared" si="5"/>
        <v>0</v>
      </c>
      <c r="CC224" s="41">
        <f t="shared" si="5"/>
        <v>116</v>
      </c>
      <c r="CD224" s="41">
        <f t="shared" si="5"/>
        <v>100940</v>
      </c>
      <c r="CE224" s="41">
        <f t="shared" si="5"/>
        <v>0</v>
      </c>
      <c r="CF224" s="41">
        <f t="shared" si="5"/>
        <v>30</v>
      </c>
      <c r="CG224" s="41">
        <f t="shared" si="5"/>
        <v>8289.44</v>
      </c>
      <c r="CH224" s="41">
        <f t="shared" si="5"/>
        <v>0</v>
      </c>
      <c r="CI224" s="41">
        <f t="shared" si="5"/>
        <v>0</v>
      </c>
      <c r="CJ224" s="41">
        <f t="shared" si="5"/>
        <v>0</v>
      </c>
      <c r="CK224" s="41">
        <f t="shared" si="5"/>
        <v>0</v>
      </c>
      <c r="CL224" s="41">
        <f t="shared" si="5"/>
        <v>0</v>
      </c>
      <c r="CM224" s="41">
        <f t="shared" si="5"/>
        <v>0</v>
      </c>
      <c r="CN224" s="41">
        <f t="shared" si="5"/>
        <v>0</v>
      </c>
      <c r="CO224" s="41">
        <f t="shared" si="5"/>
        <v>154</v>
      </c>
      <c r="CP224" s="41">
        <f t="shared" si="5"/>
        <v>241360</v>
      </c>
      <c r="CQ224" s="41">
        <f t="shared" si="5"/>
        <v>0</v>
      </c>
      <c r="CR224" s="41">
        <f t="shared" si="5"/>
        <v>0</v>
      </c>
      <c r="CS224" s="41">
        <f t="shared" si="5"/>
        <v>0</v>
      </c>
      <c r="CT224" s="41">
        <f t="shared" si="5"/>
        <v>0</v>
      </c>
      <c r="CU224" s="41">
        <f t="shared" si="5"/>
        <v>0</v>
      </c>
      <c r="CV224" s="41">
        <f t="shared" si="5"/>
        <v>0</v>
      </c>
      <c r="CW224" s="41">
        <f t="shared" si="5"/>
        <v>0</v>
      </c>
      <c r="CX224" s="41">
        <f t="shared" si="5"/>
        <v>0</v>
      </c>
      <c r="CY224" s="41">
        <f t="shared" si="5"/>
        <v>0</v>
      </c>
      <c r="CZ224" s="41">
        <f t="shared" si="5"/>
        <v>0</v>
      </c>
      <c r="DA224" s="41">
        <f t="shared" si="5"/>
        <v>0</v>
      </c>
      <c r="DB224" s="41">
        <f t="shared" si="5"/>
        <v>0</v>
      </c>
      <c r="DC224" s="41">
        <f t="shared" si="5"/>
        <v>0</v>
      </c>
      <c r="DD224" s="41">
        <f t="shared" si="5"/>
        <v>0</v>
      </c>
      <c r="DE224" s="41">
        <f t="shared" si="5"/>
        <v>2341440</v>
      </c>
      <c r="DF224" s="41">
        <f t="shared" si="5"/>
        <v>0</v>
      </c>
      <c r="DG224" s="41">
        <f t="shared" si="5"/>
        <v>0</v>
      </c>
      <c r="DH224" s="41">
        <f t="shared" si="5"/>
        <v>430786.87000000005</v>
      </c>
    </row>
    <row r="225" spans="1:112">
      <c r="A225" s="153"/>
      <c r="B225" s="154"/>
      <c r="C225" s="153"/>
      <c r="D225" s="153"/>
      <c r="E225" s="153"/>
      <c r="F225" s="153"/>
      <c r="G225" s="155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  <c r="AC225" s="155"/>
      <c r="AD225" s="155"/>
      <c r="AE225" s="155"/>
      <c r="AF225" s="155"/>
      <c r="AG225" s="155"/>
      <c r="AH225" s="155"/>
      <c r="AI225" s="155"/>
      <c r="AJ225" s="155"/>
      <c r="AK225" s="155"/>
      <c r="AL225" s="155"/>
      <c r="AM225" s="155"/>
      <c r="AN225" s="155"/>
      <c r="AO225" s="155"/>
      <c r="AP225" s="155"/>
      <c r="AQ225" s="155"/>
      <c r="AR225" s="155"/>
      <c r="AS225" s="155"/>
      <c r="AT225" s="155"/>
      <c r="AU225" s="155"/>
      <c r="AV225" s="155"/>
      <c r="AW225" s="155"/>
      <c r="AX225" s="155"/>
      <c r="AY225" s="155"/>
      <c r="AZ225" s="155"/>
      <c r="BA225" s="155"/>
      <c r="BB225" s="155"/>
      <c r="BC225" s="155"/>
      <c r="BD225" s="155"/>
      <c r="BE225" s="155"/>
      <c r="BF225" s="155"/>
      <c r="BG225" s="155"/>
      <c r="BH225" s="155"/>
      <c r="BI225" s="155"/>
      <c r="BJ225" s="155"/>
      <c r="BK225" s="155"/>
      <c r="BL225" s="155"/>
      <c r="BM225" s="155"/>
      <c r="BN225" s="155"/>
      <c r="BO225" s="155"/>
      <c r="BP225" s="155"/>
      <c r="BQ225" s="155"/>
      <c r="BR225" s="155"/>
      <c r="BS225" s="155"/>
      <c r="BT225" s="155"/>
      <c r="BU225" s="155"/>
      <c r="BV225" s="155"/>
      <c r="BW225" s="155"/>
      <c r="BX225" s="155"/>
      <c r="BY225" s="155"/>
      <c r="BZ225" s="155"/>
      <c r="CA225" s="155"/>
      <c r="CB225" s="155"/>
      <c r="CC225" s="155"/>
      <c r="CD225" s="155"/>
      <c r="CE225" s="155"/>
      <c r="CF225" s="155"/>
      <c r="CG225" s="155"/>
      <c r="CH225" s="155"/>
      <c r="CI225" s="155"/>
      <c r="CJ225" s="155"/>
      <c r="CK225" s="155"/>
      <c r="CL225" s="155"/>
      <c r="CM225" s="155"/>
      <c r="CN225" s="155"/>
      <c r="CO225" s="155"/>
      <c r="CP225" s="155"/>
      <c r="CQ225" s="155"/>
      <c r="CR225" s="155"/>
      <c r="CS225" s="155"/>
      <c r="CT225" s="155"/>
      <c r="CU225" s="155"/>
      <c r="CV225" s="155"/>
      <c r="CW225" s="155"/>
      <c r="CX225" s="155"/>
      <c r="CY225" s="155"/>
      <c r="CZ225" s="155"/>
      <c r="DA225" s="155"/>
      <c r="DB225" s="155"/>
      <c r="DC225" s="155"/>
      <c r="DD225" s="155"/>
      <c r="DE225" s="155"/>
      <c r="DF225" s="155"/>
      <c r="DG225" s="155"/>
      <c r="DH225" s="155"/>
    </row>
    <row r="226" spans="1:112">
      <c r="A226" s="153"/>
      <c r="B226" s="154"/>
      <c r="C226" s="153"/>
      <c r="D226" s="153"/>
      <c r="E226" s="153"/>
      <c r="F226" s="153"/>
      <c r="G226" s="155"/>
      <c r="H226" s="155"/>
      <c r="I226" s="155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  <c r="AA226" s="155"/>
      <c r="AB226" s="155"/>
      <c r="AC226" s="155"/>
      <c r="AD226" s="155"/>
      <c r="AE226" s="155"/>
      <c r="AF226" s="155"/>
      <c r="AG226" s="155"/>
      <c r="AH226" s="155"/>
      <c r="AI226" s="155"/>
      <c r="AJ226" s="155"/>
      <c r="AK226" s="155"/>
      <c r="AL226" s="155"/>
      <c r="AM226" s="155"/>
      <c r="AN226" s="155"/>
      <c r="AO226" s="155"/>
      <c r="AP226" s="155"/>
      <c r="AQ226" s="155"/>
      <c r="AR226" s="155"/>
      <c r="AS226" s="155"/>
      <c r="AT226" s="155"/>
      <c r="AU226" s="155"/>
      <c r="AV226" s="155"/>
      <c r="AW226" s="155"/>
      <c r="AX226" s="155"/>
      <c r="AY226" s="155"/>
      <c r="AZ226" s="155"/>
      <c r="BA226" s="155"/>
      <c r="BB226" s="155"/>
      <c r="BC226" s="155"/>
      <c r="BD226" s="155"/>
      <c r="BE226" s="155"/>
      <c r="BF226" s="155"/>
      <c r="BG226" s="155"/>
      <c r="BH226" s="155"/>
      <c r="BI226" s="155"/>
      <c r="BJ226" s="155"/>
      <c r="BK226" s="155"/>
      <c r="BL226" s="155"/>
      <c r="BM226" s="155"/>
      <c r="BN226" s="155"/>
      <c r="BO226" s="155"/>
      <c r="BP226" s="155"/>
      <c r="BQ226" s="155"/>
      <c r="BR226" s="155"/>
      <c r="BS226" s="155"/>
      <c r="BT226" s="155"/>
      <c r="BU226" s="155"/>
      <c r="BV226" s="155"/>
      <c r="BW226" s="155"/>
      <c r="BX226" s="155"/>
      <c r="BY226" s="155"/>
      <c r="BZ226" s="155"/>
      <c r="CA226" s="155"/>
      <c r="CB226" s="155"/>
      <c r="CC226" s="155"/>
      <c r="CD226" s="155"/>
      <c r="CE226" s="155"/>
      <c r="CF226" s="155"/>
      <c r="CG226" s="155"/>
      <c r="CH226" s="155"/>
      <c r="CI226" s="155"/>
      <c r="CJ226" s="155"/>
      <c r="CK226" s="155"/>
      <c r="CL226" s="155"/>
      <c r="CM226" s="155"/>
      <c r="CN226" s="155"/>
      <c r="CO226" s="155"/>
      <c r="CP226" s="155"/>
      <c r="CQ226" s="155"/>
      <c r="CR226" s="155"/>
      <c r="CS226" s="155"/>
      <c r="CT226" s="155"/>
      <c r="CU226" s="155"/>
      <c r="CV226" s="155"/>
      <c r="CW226" s="155"/>
      <c r="CX226" s="155"/>
      <c r="CY226" s="155"/>
      <c r="CZ226" s="155"/>
      <c r="DA226" s="155"/>
      <c r="DB226" s="155"/>
      <c r="DC226" s="155"/>
      <c r="DD226" s="155"/>
      <c r="DE226" s="155"/>
      <c r="DF226" s="155"/>
      <c r="DG226" s="155"/>
      <c r="DH226" s="155"/>
    </row>
    <row r="227" spans="1:112">
      <c r="B227" s="151" t="s">
        <v>422</v>
      </c>
    </row>
    <row r="228" spans="1:112">
      <c r="B228" s="151" t="s">
        <v>423</v>
      </c>
      <c r="D228" s="757" t="s">
        <v>424</v>
      </c>
      <c r="E228" s="757"/>
    </row>
    <row r="229" spans="1:112">
      <c r="H229" s="38">
        <f>Q224+AK224+AQ224+AW224+BC224+BI224+BO224+CA224+CG224+CM224+CS224+CY224+DH224</f>
        <v>1150355.42</v>
      </c>
    </row>
  </sheetData>
  <autoFilter ref="A6:DH224"/>
  <mergeCells count="150">
    <mergeCell ref="D228:E228"/>
    <mergeCell ref="R5:R6"/>
    <mergeCell ref="S5:S6"/>
    <mergeCell ref="T5:T6"/>
    <mergeCell ref="U5:U6"/>
    <mergeCell ref="V5:V6"/>
    <mergeCell ref="K3:Q3"/>
    <mergeCell ref="N4:Q4"/>
    <mergeCell ref="K4:M4"/>
    <mergeCell ref="R4:T4"/>
    <mergeCell ref="K5:K6"/>
    <mergeCell ref="L5:L6"/>
    <mergeCell ref="M5:M6"/>
    <mergeCell ref="N5:N6"/>
    <mergeCell ref="O5:O6"/>
    <mergeCell ref="Q5:Q6"/>
    <mergeCell ref="R3:W3"/>
    <mergeCell ref="AC5:AC6"/>
    <mergeCell ref="AD5:AD6"/>
    <mergeCell ref="AE5:AE6"/>
    <mergeCell ref="AF5:AF6"/>
    <mergeCell ref="AG5:AG6"/>
    <mergeCell ref="AH5:AH6"/>
    <mergeCell ref="W5:W6"/>
    <mergeCell ref="X5:X6"/>
    <mergeCell ref="Y5:Y6"/>
    <mergeCell ref="Z5:Z6"/>
    <mergeCell ref="AA5:AA6"/>
    <mergeCell ref="AB5:AB6"/>
    <mergeCell ref="AP5:AP6"/>
    <mergeCell ref="AQ5:AQ6"/>
    <mergeCell ref="AR5:AR6"/>
    <mergeCell ref="AS5:AS6"/>
    <mergeCell ref="AT5:AT6"/>
    <mergeCell ref="AU5:AU6"/>
    <mergeCell ref="AI5:AI6"/>
    <mergeCell ref="AK5:AK6"/>
    <mergeCell ref="AL5:AL6"/>
    <mergeCell ref="AM5:AM6"/>
    <mergeCell ref="AN5:AN6"/>
    <mergeCell ref="AO5:AO6"/>
    <mergeCell ref="BB5:BB6"/>
    <mergeCell ref="BC5:BC6"/>
    <mergeCell ref="BD5:BD6"/>
    <mergeCell ref="BE5:BE6"/>
    <mergeCell ref="BF5:BF6"/>
    <mergeCell ref="BG5:BG6"/>
    <mergeCell ref="AV5:AV6"/>
    <mergeCell ref="AW5:AW6"/>
    <mergeCell ref="AX5:AX6"/>
    <mergeCell ref="AY5:AY6"/>
    <mergeCell ref="AZ5:AZ6"/>
    <mergeCell ref="BA5:BA6"/>
    <mergeCell ref="BO5:BO6"/>
    <mergeCell ref="BP5:BP6"/>
    <mergeCell ref="BQ5:BQ6"/>
    <mergeCell ref="BR5:BR6"/>
    <mergeCell ref="BS5:BS6"/>
    <mergeCell ref="BH5:BH6"/>
    <mergeCell ref="BI5:BI6"/>
    <mergeCell ref="BJ5:BJ6"/>
    <mergeCell ref="BK5:BK6"/>
    <mergeCell ref="BL5:BL6"/>
    <mergeCell ref="BM5:BM6"/>
    <mergeCell ref="DF5:DF6"/>
    <mergeCell ref="DG5:DG6"/>
    <mergeCell ref="DH5:DH6"/>
    <mergeCell ref="U4:W4"/>
    <mergeCell ref="X4:Z4"/>
    <mergeCell ref="CX5:CX6"/>
    <mergeCell ref="CY5:CY6"/>
    <mergeCell ref="CZ5:CZ6"/>
    <mergeCell ref="DA5:DA6"/>
    <mergeCell ref="DB5:DB6"/>
    <mergeCell ref="DC5:DC6"/>
    <mergeCell ref="CR5:CR6"/>
    <mergeCell ref="CS5:CS6"/>
    <mergeCell ref="CT5:CT6"/>
    <mergeCell ref="CU5:CU6"/>
    <mergeCell ref="CV5:CV6"/>
    <mergeCell ref="CW5:CW6"/>
    <mergeCell ref="CL5:CL6"/>
    <mergeCell ref="CM5:CM6"/>
    <mergeCell ref="CN5:CN6"/>
    <mergeCell ref="CO5:CO6"/>
    <mergeCell ref="BU5:BU6"/>
    <mergeCell ref="BV5:BV6"/>
    <mergeCell ref="BW5:BW6"/>
    <mergeCell ref="AH4:AK4"/>
    <mergeCell ref="AL3:AQ3"/>
    <mergeCell ref="AL4:AN4"/>
    <mergeCell ref="AO4:AQ4"/>
    <mergeCell ref="DD5:DD6"/>
    <mergeCell ref="DE5:DE6"/>
    <mergeCell ref="CP5:CP6"/>
    <mergeCell ref="CQ5:CQ6"/>
    <mergeCell ref="CF5:CF6"/>
    <mergeCell ref="CG5:CG6"/>
    <mergeCell ref="CH5:CH6"/>
    <mergeCell ref="CI5:CI6"/>
    <mergeCell ref="CJ5:CJ6"/>
    <mergeCell ref="CK5:CK6"/>
    <mergeCell ref="BZ5:BZ6"/>
    <mergeCell ref="CA5:CA6"/>
    <mergeCell ref="CB5:CB6"/>
    <mergeCell ref="CC5:CC6"/>
    <mergeCell ref="CD5:CD6"/>
    <mergeCell ref="CE5:CE6"/>
    <mergeCell ref="BT5:BT6"/>
    <mergeCell ref="BX5:BX6"/>
    <mergeCell ref="BY5:BY6"/>
    <mergeCell ref="BN5:BN6"/>
    <mergeCell ref="DF4:DH4"/>
    <mergeCell ref="DC3:DH3"/>
    <mergeCell ref="CZ3:DB3"/>
    <mergeCell ref="CT3:CY3"/>
    <mergeCell ref="CQ4:CS4"/>
    <mergeCell ref="CT4:CV4"/>
    <mergeCell ref="CW4:CY4"/>
    <mergeCell ref="CZ4:DB4"/>
    <mergeCell ref="BY4:CA4"/>
    <mergeCell ref="CB4:CD4"/>
    <mergeCell ref="CE4:CG4"/>
    <mergeCell ref="CH4:CJ4"/>
    <mergeCell ref="CK4:CM4"/>
    <mergeCell ref="CN4:CP4"/>
    <mergeCell ref="A1:E2"/>
    <mergeCell ref="X3:AC3"/>
    <mergeCell ref="CN3:CS3"/>
    <mergeCell ref="CH3:CM3"/>
    <mergeCell ref="CB3:CG3"/>
    <mergeCell ref="BV3:CA3"/>
    <mergeCell ref="BP3:BU3"/>
    <mergeCell ref="BJ3:BO3"/>
    <mergeCell ref="DC4:DE4"/>
    <mergeCell ref="BJ4:BL4"/>
    <mergeCell ref="BM4:BO4"/>
    <mergeCell ref="BP4:BR4"/>
    <mergeCell ref="BS4:BU4"/>
    <mergeCell ref="BV4:BX4"/>
    <mergeCell ref="AR3:AW3"/>
    <mergeCell ref="AX3:BC3"/>
    <mergeCell ref="AX4:AZ4"/>
    <mergeCell ref="BA4:BC4"/>
    <mergeCell ref="BD4:BF4"/>
    <mergeCell ref="BG4:BI4"/>
    <mergeCell ref="BD3:BI3"/>
    <mergeCell ref="AA4:AC4"/>
    <mergeCell ref="AD3:AK3"/>
    <mergeCell ref="AD4:AG4"/>
  </mergeCells>
  <pageMargins left="0.27559055118110237" right="0.23622047244094491" top="0.35433070866141736" bottom="0.35433070866141736" header="0.31496062992125984" footer="0.31496062992125984"/>
  <pageSetup paperSize="9" scale="80" orientation="landscape" r:id="rId1"/>
  <colBreaks count="6" manualBreakCount="6">
    <brk id="20" max="1048575" man="1"/>
    <brk id="37" max="1048575" man="1"/>
    <brk id="55" max="1048575" man="1"/>
    <brk id="73" max="1048575" man="1"/>
    <brk id="91" max="1048575" man="1"/>
    <brk id="10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DP30"/>
  <sheetViews>
    <sheetView tabSelected="1" zoomScaleNormal="100" workbookViewId="0">
      <pane xSplit="12" ySplit="7" topLeftCell="N8" activePane="bottomRight" state="frozen"/>
      <selection pane="topRight" activeCell="P1" sqref="P1"/>
      <selection pane="bottomLeft" activeCell="A8" sqref="A8"/>
      <selection pane="bottomRight" sqref="A1:K1"/>
    </sheetView>
  </sheetViews>
  <sheetFormatPr defaultRowHeight="15"/>
  <cols>
    <col min="1" max="1" width="3.5703125" style="28" customWidth="1"/>
    <col min="3" max="3" width="4.7109375" customWidth="1"/>
    <col min="4" max="4" width="13.28515625" customWidth="1"/>
    <col min="5" max="5" width="5.5703125" style="366" customWidth="1"/>
    <col min="6" max="6" width="4.7109375" customWidth="1"/>
    <col min="7" max="7" width="8.7109375" hidden="1" customWidth="1"/>
    <col min="8" max="8" width="10.85546875" hidden="1" customWidth="1"/>
    <col min="9" max="9" width="9.7109375" hidden="1" customWidth="1"/>
    <col min="10" max="10" width="8.28515625" hidden="1" customWidth="1"/>
    <col min="11" max="11" width="11.85546875" style="492" hidden="1" customWidth="1"/>
    <col min="12" max="12" width="9.42578125" style="28" bestFit="1" customWidth="1"/>
    <col min="13" max="13" width="0" style="28" hidden="1" customWidth="1"/>
    <col min="14" max="14" width="9.140625" style="28"/>
    <col min="15" max="15" width="9.140625" style="199"/>
    <col min="16" max="16" width="9.140625" style="28"/>
    <col min="17" max="17" width="10" style="493" bestFit="1" customWidth="1"/>
    <col min="18" max="25" width="0" style="28" hidden="1" customWidth="1"/>
    <col min="26" max="28" width="9.140625" style="28"/>
    <col min="29" max="29" width="10.7109375" style="28" customWidth="1"/>
    <col min="30" max="30" width="10.5703125" style="493" bestFit="1" customWidth="1"/>
    <col min="31" max="32" width="9.140625" style="28"/>
    <col min="33" max="33" width="10.5703125" style="493" bestFit="1" customWidth="1"/>
    <col min="34" max="35" width="9.140625" style="28"/>
    <col min="36" max="36" width="9.28515625" style="493" bestFit="1" customWidth="1"/>
    <col min="37" max="38" width="9.140625" style="28"/>
    <col min="39" max="39" width="9.28515625" style="493" bestFit="1" customWidth="1"/>
    <col min="40" max="41" width="6" style="28" customWidth="1"/>
    <col min="42" max="42" width="11.5703125" style="493" customWidth="1"/>
    <col min="43" max="45" width="0" style="28" hidden="1" customWidth="1"/>
    <col min="46" max="48" width="8.7109375" style="28" hidden="1" customWidth="1"/>
    <col min="49" max="51" width="0" style="28" hidden="1" customWidth="1"/>
    <col min="52" max="53" width="9.140625" style="28"/>
    <col min="54" max="54" width="9.28515625" style="493" bestFit="1" customWidth="1"/>
    <col min="55" max="60" width="0" style="28" hidden="1" customWidth="1"/>
    <col min="61" max="69" width="8.7109375" style="28" hidden="1" customWidth="1"/>
    <col min="70" max="70" width="8.85546875" style="494"/>
    <col min="71" max="71" width="27.7109375" style="28" bestFit="1" customWidth="1"/>
    <col min="72" max="72" width="10" style="28" bestFit="1" customWidth="1"/>
    <col min="73" max="73" width="8.7109375" style="28" hidden="1" customWidth="1"/>
    <col min="74" max="74" width="18.140625" style="28" hidden="1" customWidth="1"/>
    <col min="75" max="75" width="8.7109375" style="493" hidden="1" customWidth="1"/>
    <col min="76" max="78" width="0" style="28" hidden="1" customWidth="1"/>
    <col min="79" max="81" width="9.140625" style="28" hidden="1" customWidth="1"/>
    <col min="82" max="84" width="0" style="28" hidden="1" customWidth="1"/>
    <col min="85" max="87" width="9.140625" style="28" hidden="1" customWidth="1"/>
    <col min="88" max="88" width="0" style="199" hidden="1" customWidth="1"/>
    <col min="89" max="91" width="0" style="28" hidden="1" customWidth="1"/>
    <col min="92" max="95" width="9.140625" style="28" hidden="1" customWidth="1"/>
    <col min="96" max="98" width="0" style="28" hidden="1" customWidth="1"/>
    <col min="99" max="99" width="0" style="493" hidden="1" customWidth="1"/>
    <col min="100" max="103" width="8.85546875" style="28" hidden="1" customWidth="1"/>
    <col min="104" max="107" width="0" style="28" hidden="1" customWidth="1"/>
    <col min="108" max="111" width="9.140625" style="28" hidden="1" customWidth="1"/>
    <col min="112" max="114" width="0" style="28" hidden="1" customWidth="1"/>
    <col min="115" max="115" width="0" style="493" hidden="1" customWidth="1"/>
    <col min="116" max="118" width="9.140625" style="28" hidden="1" customWidth="1"/>
    <col min="119" max="119" width="9.140625" hidden="1" customWidth="1"/>
  </cols>
  <sheetData>
    <row r="1" spans="1:120" s="15" customFormat="1" ht="54.75" customHeight="1">
      <c r="A1" s="776" t="s">
        <v>1013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461"/>
      <c r="M1" s="462"/>
      <c r="N1" s="250"/>
      <c r="O1" s="250"/>
      <c r="P1" s="463"/>
      <c r="Q1" s="464"/>
      <c r="R1" s="3"/>
      <c r="S1" s="2"/>
      <c r="T1" s="2"/>
      <c r="U1" s="2"/>
      <c r="V1" s="3"/>
      <c r="W1" s="2"/>
      <c r="X1" s="2"/>
      <c r="Y1" s="2"/>
      <c r="Z1" s="3"/>
      <c r="AA1" s="2"/>
      <c r="AB1" s="2"/>
      <c r="AC1" s="207"/>
      <c r="AD1" s="465"/>
      <c r="AE1" s="3"/>
      <c r="AF1" s="2"/>
      <c r="AG1" s="465"/>
      <c r="AH1" s="3"/>
      <c r="AI1" s="2"/>
      <c r="AJ1" s="465"/>
      <c r="AK1" s="3"/>
      <c r="AL1" s="2"/>
      <c r="AM1" s="465"/>
      <c r="AN1" s="3"/>
      <c r="AO1" s="2"/>
      <c r="AP1" s="465"/>
      <c r="AQ1" s="2"/>
      <c r="AR1" s="2"/>
      <c r="AS1" s="2"/>
      <c r="AT1" s="2"/>
      <c r="AU1" s="2"/>
      <c r="AV1" s="2"/>
      <c r="AW1" s="3"/>
      <c r="AX1" s="2"/>
      <c r="AY1" s="2"/>
      <c r="AZ1" s="3"/>
      <c r="BA1" s="2"/>
      <c r="BB1" s="465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378"/>
      <c r="BS1" s="220"/>
      <c r="BT1" s="2"/>
      <c r="BU1" s="230"/>
      <c r="BV1" s="2"/>
      <c r="BW1" s="465"/>
      <c r="BX1" s="466"/>
      <c r="BY1" s="194"/>
      <c r="BZ1" s="194"/>
      <c r="CA1" s="194"/>
      <c r="CB1" s="194"/>
      <c r="CC1" s="194"/>
      <c r="CD1" s="194"/>
      <c r="CE1" s="194"/>
      <c r="CF1" s="194"/>
      <c r="CG1" s="194"/>
      <c r="CH1" s="194"/>
      <c r="CI1" s="194"/>
      <c r="CJ1" s="432"/>
      <c r="CK1" s="194"/>
      <c r="CL1" s="194"/>
      <c r="CM1" s="194"/>
      <c r="CN1" s="194"/>
      <c r="CO1" s="194"/>
      <c r="CP1" s="194"/>
      <c r="CQ1" s="194"/>
      <c r="CR1" s="194"/>
      <c r="CS1" s="194"/>
      <c r="CT1" s="194"/>
      <c r="CU1" s="467"/>
      <c r="CV1" s="194"/>
      <c r="CW1" s="194"/>
      <c r="CX1" s="194"/>
      <c r="CY1" s="194"/>
      <c r="CZ1" s="194"/>
      <c r="DA1" s="194"/>
      <c r="DB1" s="194"/>
      <c r="DC1" s="194"/>
      <c r="DD1" s="194"/>
      <c r="DE1" s="194"/>
      <c r="DF1" s="194"/>
      <c r="DG1" s="194"/>
      <c r="DH1" s="194"/>
      <c r="DI1" s="194"/>
      <c r="DJ1" s="194"/>
      <c r="DK1" s="467"/>
      <c r="DL1" s="194"/>
      <c r="DM1" s="194"/>
      <c r="DN1" s="194"/>
      <c r="DO1" s="26"/>
    </row>
    <row r="2" spans="1:120" s="18" customFormat="1">
      <c r="A2" s="1"/>
      <c r="B2" s="189"/>
      <c r="C2" s="17"/>
      <c r="D2" s="17"/>
      <c r="E2" s="17"/>
      <c r="F2" s="17"/>
      <c r="G2" s="219"/>
      <c r="H2" s="1"/>
      <c r="I2" s="1"/>
      <c r="J2" s="223"/>
      <c r="K2" s="225"/>
      <c r="L2" s="1"/>
      <c r="M2" s="1"/>
      <c r="N2" s="3"/>
      <c r="O2" s="3"/>
      <c r="P2" s="2"/>
      <c r="Q2" s="465"/>
      <c r="R2" s="3"/>
      <c r="S2" s="2"/>
      <c r="T2" s="2"/>
      <c r="U2" s="2">
        <v>3000</v>
      </c>
      <c r="V2" s="3"/>
      <c r="W2" s="2"/>
      <c r="X2" s="2"/>
      <c r="Y2" s="2">
        <v>500</v>
      </c>
      <c r="Z2" s="3"/>
      <c r="AA2" s="2"/>
      <c r="AB2" s="2"/>
      <c r="AC2" s="207"/>
      <c r="AD2" s="465"/>
      <c r="AE2" s="3"/>
      <c r="AF2" s="2"/>
      <c r="AG2" s="465"/>
      <c r="AH2" s="3"/>
      <c r="AI2" s="2"/>
      <c r="AJ2" s="465"/>
      <c r="AK2" s="3"/>
      <c r="AL2" s="2"/>
      <c r="AM2" s="465"/>
      <c r="AN2" s="3"/>
      <c r="AO2" s="2"/>
      <c r="AP2" s="465"/>
      <c r="AQ2" s="2"/>
      <c r="AR2" s="2"/>
      <c r="AS2" s="2"/>
      <c r="AT2" s="2"/>
      <c r="AU2" s="2"/>
      <c r="AV2" s="2"/>
      <c r="AW2" s="3"/>
      <c r="AX2" s="2"/>
      <c r="AY2" s="2">
        <v>6000</v>
      </c>
      <c r="AZ2" s="3"/>
      <c r="BA2" s="2"/>
      <c r="BB2" s="465"/>
      <c r="BC2" s="2"/>
      <c r="BD2" s="2"/>
      <c r="BE2" s="2"/>
      <c r="BF2" s="2"/>
      <c r="BG2" s="2"/>
      <c r="BH2" s="2">
        <v>1800</v>
      </c>
      <c r="BI2" s="2"/>
      <c r="BJ2" s="2"/>
      <c r="BK2" s="2"/>
      <c r="BL2" s="2"/>
      <c r="BM2" s="2"/>
      <c r="BN2" s="2"/>
      <c r="BO2" s="2"/>
      <c r="BP2" s="2"/>
      <c r="BQ2" s="2"/>
      <c r="BR2" s="379"/>
      <c r="BS2" s="220"/>
      <c r="BT2" s="2"/>
      <c r="BU2" s="227"/>
      <c r="BV2" s="468"/>
      <c r="BW2" s="465"/>
      <c r="BX2" s="2"/>
      <c r="BY2" s="2"/>
      <c r="BZ2" s="2"/>
      <c r="CA2" s="2"/>
      <c r="CB2" s="2"/>
      <c r="CC2" s="2"/>
      <c r="CD2" s="2"/>
      <c r="CE2" s="2"/>
      <c r="CF2" s="2">
        <v>600</v>
      </c>
      <c r="CG2" s="45"/>
      <c r="CH2" s="2"/>
      <c r="CI2" s="2"/>
      <c r="CJ2" s="3"/>
      <c r="CK2" s="2"/>
      <c r="CL2" s="2"/>
      <c r="CM2" s="2"/>
      <c r="CN2" s="2"/>
      <c r="CO2" s="2"/>
      <c r="CP2" s="2"/>
      <c r="CQ2" s="2"/>
      <c r="CR2" s="2"/>
      <c r="CS2" s="2"/>
      <c r="CT2" s="2"/>
      <c r="CU2" s="465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465"/>
      <c r="DL2" s="2"/>
      <c r="DM2" s="2"/>
      <c r="DN2" s="2"/>
      <c r="DO2" s="22"/>
    </row>
    <row r="3" spans="1:120" s="339" customFormat="1" ht="53.65" customHeight="1">
      <c r="A3" s="779" t="s">
        <v>1</v>
      </c>
      <c r="B3" s="779" t="s">
        <v>2</v>
      </c>
      <c r="C3" s="782" t="s">
        <v>3</v>
      </c>
      <c r="D3" s="782" t="s">
        <v>4</v>
      </c>
      <c r="E3" s="782" t="s">
        <v>5</v>
      </c>
      <c r="F3" s="785" t="s">
        <v>6</v>
      </c>
      <c r="G3" s="788" t="s">
        <v>568</v>
      </c>
      <c r="H3" s="789"/>
      <c r="I3" s="790"/>
      <c r="J3" s="791" t="s">
        <v>609</v>
      </c>
      <c r="K3" s="792" t="s">
        <v>615</v>
      </c>
      <c r="L3" s="773" t="s">
        <v>1015</v>
      </c>
      <c r="M3" s="469"/>
      <c r="N3" s="758" t="s">
        <v>9</v>
      </c>
      <c r="O3" s="759"/>
      <c r="P3" s="759"/>
      <c r="Q3" s="760"/>
      <c r="R3" s="333" t="s">
        <v>10</v>
      </c>
      <c r="S3" s="470"/>
      <c r="T3" s="470"/>
      <c r="U3" s="470"/>
      <c r="V3" s="333" t="s">
        <v>11</v>
      </c>
      <c r="W3" s="470"/>
      <c r="X3" s="470"/>
      <c r="Y3" s="470"/>
      <c r="Z3" s="333" t="s">
        <v>12</v>
      </c>
      <c r="AA3" s="470"/>
      <c r="AB3" s="470"/>
      <c r="AC3" s="471"/>
      <c r="AD3" s="472"/>
      <c r="AE3" s="333" t="s">
        <v>13</v>
      </c>
      <c r="AF3" s="470"/>
      <c r="AG3" s="472"/>
      <c r="AH3" s="333" t="s">
        <v>14</v>
      </c>
      <c r="AI3" s="470"/>
      <c r="AJ3" s="472"/>
      <c r="AK3" s="333" t="s">
        <v>15</v>
      </c>
      <c r="AL3" s="470"/>
      <c r="AM3" s="472"/>
      <c r="AN3" s="334" t="s">
        <v>16</v>
      </c>
      <c r="AO3" s="335"/>
      <c r="AP3" s="473"/>
      <c r="AQ3" s="335" t="s">
        <v>17</v>
      </c>
      <c r="AR3" s="335"/>
      <c r="AS3" s="335"/>
      <c r="AT3" s="335" t="s">
        <v>18</v>
      </c>
      <c r="AU3" s="335"/>
      <c r="AV3" s="335"/>
      <c r="AW3" s="334" t="s">
        <v>19</v>
      </c>
      <c r="AX3" s="335"/>
      <c r="AY3" s="335"/>
      <c r="AZ3" s="334" t="s">
        <v>20</v>
      </c>
      <c r="BA3" s="335"/>
      <c r="BB3" s="473"/>
      <c r="BC3" s="335" t="s">
        <v>21</v>
      </c>
      <c r="BD3" s="335"/>
      <c r="BE3" s="335"/>
      <c r="BF3" s="335" t="s">
        <v>22</v>
      </c>
      <c r="BG3" s="335"/>
      <c r="BH3" s="335"/>
      <c r="BI3" s="335" t="s">
        <v>23</v>
      </c>
      <c r="BJ3" s="335"/>
      <c r="BK3" s="335"/>
      <c r="BL3" s="335"/>
      <c r="BM3" s="335"/>
      <c r="BN3" s="335"/>
      <c r="BO3" s="335" t="s">
        <v>24</v>
      </c>
      <c r="BP3" s="335"/>
      <c r="BQ3" s="335"/>
      <c r="BR3" s="758" t="s">
        <v>25</v>
      </c>
      <c r="BS3" s="759"/>
      <c r="BT3" s="760"/>
      <c r="BU3" s="770" t="s">
        <v>542</v>
      </c>
      <c r="BV3" s="771"/>
      <c r="BW3" s="772"/>
      <c r="BX3" s="335" t="s">
        <v>26</v>
      </c>
      <c r="BY3" s="474"/>
      <c r="BZ3" s="474"/>
      <c r="CA3" s="474"/>
      <c r="CB3" s="474"/>
      <c r="CC3" s="474"/>
      <c r="CD3" s="337" t="s">
        <v>27</v>
      </c>
      <c r="CE3" s="475"/>
      <c r="CF3" s="475"/>
      <c r="CG3" s="475"/>
      <c r="CH3" s="475"/>
      <c r="CI3" s="476"/>
      <c r="CJ3" s="762" t="s">
        <v>28</v>
      </c>
      <c r="CK3" s="777"/>
      <c r="CL3" s="777"/>
      <c r="CM3" s="777"/>
      <c r="CN3" s="777"/>
      <c r="CO3" s="777"/>
      <c r="CP3" s="777"/>
      <c r="CQ3" s="777"/>
      <c r="CR3" s="337" t="s">
        <v>29</v>
      </c>
      <c r="CS3" s="475"/>
      <c r="CT3" s="475"/>
      <c r="CU3" s="477"/>
      <c r="CV3" s="475"/>
      <c r="CW3" s="475"/>
      <c r="CX3" s="475"/>
      <c r="CY3" s="476"/>
      <c r="CZ3" s="762" t="s">
        <v>30</v>
      </c>
      <c r="DA3" s="777"/>
      <c r="DB3" s="777"/>
      <c r="DC3" s="777"/>
      <c r="DD3" s="777"/>
      <c r="DE3" s="777"/>
      <c r="DF3" s="777"/>
      <c r="DG3" s="777"/>
      <c r="DH3" s="337" t="s">
        <v>31</v>
      </c>
      <c r="DI3" s="475"/>
      <c r="DJ3" s="475"/>
      <c r="DK3" s="477"/>
      <c r="DL3" s="475"/>
      <c r="DM3" s="475"/>
      <c r="DN3" s="475"/>
      <c r="DO3" s="336"/>
      <c r="DP3" s="338"/>
    </row>
    <row r="4" spans="1:120" s="341" customFormat="1" ht="11.25">
      <c r="A4" s="780"/>
      <c r="B4" s="780"/>
      <c r="C4" s="783"/>
      <c r="D4" s="783"/>
      <c r="E4" s="783"/>
      <c r="F4" s="786"/>
      <c r="G4" s="778" t="s">
        <v>32</v>
      </c>
      <c r="H4" s="769" t="s">
        <v>33</v>
      </c>
      <c r="I4" s="769"/>
      <c r="J4" s="791"/>
      <c r="K4" s="793"/>
      <c r="L4" s="774"/>
      <c r="M4" s="469"/>
      <c r="N4" s="758" t="s">
        <v>34</v>
      </c>
      <c r="O4" s="759"/>
      <c r="P4" s="759"/>
      <c r="Q4" s="760"/>
      <c r="R4" s="334" t="s">
        <v>34</v>
      </c>
      <c r="S4" s="335"/>
      <c r="T4" s="457"/>
      <c r="U4" s="335"/>
      <c r="V4" s="334" t="s">
        <v>34</v>
      </c>
      <c r="W4" s="335"/>
      <c r="X4" s="457"/>
      <c r="Y4" s="335"/>
      <c r="Z4" s="758" t="s">
        <v>34</v>
      </c>
      <c r="AA4" s="759"/>
      <c r="AB4" s="759"/>
      <c r="AC4" s="759"/>
      <c r="AD4" s="760"/>
      <c r="AE4" s="758" t="s">
        <v>34</v>
      </c>
      <c r="AF4" s="759"/>
      <c r="AG4" s="760"/>
      <c r="AH4" s="758" t="s">
        <v>34</v>
      </c>
      <c r="AI4" s="759"/>
      <c r="AJ4" s="760"/>
      <c r="AK4" s="758" t="s">
        <v>34</v>
      </c>
      <c r="AL4" s="759"/>
      <c r="AM4" s="760"/>
      <c r="AN4" s="758" t="s">
        <v>34</v>
      </c>
      <c r="AO4" s="759"/>
      <c r="AP4" s="760"/>
      <c r="AQ4" s="335" t="s">
        <v>34</v>
      </c>
      <c r="AR4" s="335"/>
      <c r="AS4" s="335"/>
      <c r="AT4" s="335" t="s">
        <v>34</v>
      </c>
      <c r="AU4" s="335"/>
      <c r="AV4" s="335"/>
      <c r="AW4" s="334" t="s">
        <v>34</v>
      </c>
      <c r="AX4" s="335"/>
      <c r="AY4" s="335"/>
      <c r="AZ4" s="758" t="s">
        <v>34</v>
      </c>
      <c r="BA4" s="759"/>
      <c r="BB4" s="760"/>
      <c r="BC4" s="335" t="s">
        <v>34</v>
      </c>
      <c r="BD4" s="335"/>
      <c r="BE4" s="335"/>
      <c r="BF4" s="335" t="s">
        <v>34</v>
      </c>
      <c r="BG4" s="335"/>
      <c r="BH4" s="335"/>
      <c r="BI4" s="335" t="s">
        <v>34</v>
      </c>
      <c r="BJ4" s="335"/>
      <c r="BK4" s="335"/>
      <c r="BL4" s="335" t="s">
        <v>35</v>
      </c>
      <c r="BM4" s="335"/>
      <c r="BN4" s="335"/>
      <c r="BO4" s="335" t="s">
        <v>34</v>
      </c>
      <c r="BP4" s="335"/>
      <c r="BQ4" s="335"/>
      <c r="BR4" s="758" t="s">
        <v>34</v>
      </c>
      <c r="BS4" s="759"/>
      <c r="BT4" s="760"/>
      <c r="BU4" s="770" t="s">
        <v>35</v>
      </c>
      <c r="BV4" s="771"/>
      <c r="BW4" s="772"/>
      <c r="BX4" s="762" t="s">
        <v>37</v>
      </c>
      <c r="BY4" s="762"/>
      <c r="BZ4" s="762"/>
      <c r="CA4" s="762" t="s">
        <v>35</v>
      </c>
      <c r="CB4" s="762"/>
      <c r="CC4" s="762"/>
      <c r="CD4" s="762" t="s">
        <v>37</v>
      </c>
      <c r="CE4" s="762"/>
      <c r="CF4" s="762"/>
      <c r="CG4" s="762" t="s">
        <v>35</v>
      </c>
      <c r="CH4" s="762"/>
      <c r="CI4" s="762"/>
      <c r="CJ4" s="762" t="s">
        <v>37</v>
      </c>
      <c r="CK4" s="762"/>
      <c r="CL4" s="762"/>
      <c r="CM4" s="762"/>
      <c r="CN4" s="762" t="s">
        <v>35</v>
      </c>
      <c r="CO4" s="762"/>
      <c r="CP4" s="762"/>
      <c r="CQ4" s="762"/>
      <c r="CR4" s="762" t="s">
        <v>37</v>
      </c>
      <c r="CS4" s="762"/>
      <c r="CT4" s="762"/>
      <c r="CU4" s="762"/>
      <c r="CV4" s="762" t="s">
        <v>35</v>
      </c>
      <c r="CW4" s="762"/>
      <c r="CX4" s="762"/>
      <c r="CY4" s="762"/>
      <c r="CZ4" s="762" t="s">
        <v>37</v>
      </c>
      <c r="DA4" s="762"/>
      <c r="DB4" s="762"/>
      <c r="DC4" s="762"/>
      <c r="DD4" s="762" t="s">
        <v>35</v>
      </c>
      <c r="DE4" s="762"/>
      <c r="DF4" s="762"/>
      <c r="DG4" s="762"/>
      <c r="DH4" s="762" t="s">
        <v>37</v>
      </c>
      <c r="DI4" s="762"/>
      <c r="DJ4" s="762"/>
      <c r="DK4" s="762"/>
      <c r="DL4" s="768" t="s">
        <v>35</v>
      </c>
      <c r="DM4" s="768"/>
      <c r="DN4" s="768"/>
      <c r="DO4" s="768"/>
      <c r="DP4" s="340"/>
    </row>
    <row r="5" spans="1:120" s="341" customFormat="1" ht="11.25">
      <c r="A5" s="780"/>
      <c r="B5" s="780"/>
      <c r="C5" s="783"/>
      <c r="D5" s="783"/>
      <c r="E5" s="783"/>
      <c r="F5" s="786"/>
      <c r="G5" s="778"/>
      <c r="H5" s="769" t="s">
        <v>38</v>
      </c>
      <c r="I5" s="769" t="s">
        <v>39</v>
      </c>
      <c r="J5" s="791"/>
      <c r="K5" s="793"/>
      <c r="L5" s="774"/>
      <c r="M5" s="469"/>
      <c r="N5" s="765" t="s">
        <v>40</v>
      </c>
      <c r="O5" s="765" t="s">
        <v>41</v>
      </c>
      <c r="P5" s="762" t="s">
        <v>42</v>
      </c>
      <c r="Q5" s="761" t="s">
        <v>43</v>
      </c>
      <c r="R5" s="765" t="s">
        <v>40</v>
      </c>
      <c r="S5" s="762" t="s">
        <v>44</v>
      </c>
      <c r="T5" s="762" t="s">
        <v>45</v>
      </c>
      <c r="U5" s="762" t="s">
        <v>46</v>
      </c>
      <c r="V5" s="765" t="s">
        <v>40</v>
      </c>
      <c r="W5" s="762" t="s">
        <v>47</v>
      </c>
      <c r="X5" s="762" t="s">
        <v>320</v>
      </c>
      <c r="Y5" s="762" t="s">
        <v>48</v>
      </c>
      <c r="Z5" s="765" t="s">
        <v>40</v>
      </c>
      <c r="AA5" s="763" t="s">
        <v>49</v>
      </c>
      <c r="AB5" s="762" t="s">
        <v>44</v>
      </c>
      <c r="AC5" s="763" t="s">
        <v>45</v>
      </c>
      <c r="AD5" s="761" t="s">
        <v>48</v>
      </c>
      <c r="AE5" s="765" t="s">
        <v>40</v>
      </c>
      <c r="AF5" s="762" t="s">
        <v>47</v>
      </c>
      <c r="AG5" s="761" t="s">
        <v>43</v>
      </c>
      <c r="AH5" s="765" t="s">
        <v>40</v>
      </c>
      <c r="AI5" s="762" t="s">
        <v>47</v>
      </c>
      <c r="AJ5" s="761" t="s">
        <v>43</v>
      </c>
      <c r="AK5" s="765" t="s">
        <v>40</v>
      </c>
      <c r="AL5" s="762" t="s">
        <v>47</v>
      </c>
      <c r="AM5" s="761" t="s">
        <v>43</v>
      </c>
      <c r="AN5" s="765" t="s">
        <v>40</v>
      </c>
      <c r="AO5" s="762" t="s">
        <v>47</v>
      </c>
      <c r="AP5" s="761" t="s">
        <v>43</v>
      </c>
      <c r="AQ5" s="762" t="s">
        <v>40</v>
      </c>
      <c r="AR5" s="762" t="s">
        <v>47</v>
      </c>
      <c r="AS5" s="762" t="s">
        <v>43</v>
      </c>
      <c r="AT5" s="762" t="s">
        <v>40</v>
      </c>
      <c r="AU5" s="762" t="s">
        <v>47</v>
      </c>
      <c r="AV5" s="762" t="s">
        <v>43</v>
      </c>
      <c r="AW5" s="765" t="s">
        <v>40</v>
      </c>
      <c r="AX5" s="762" t="s">
        <v>47</v>
      </c>
      <c r="AY5" s="762" t="s">
        <v>43</v>
      </c>
      <c r="AZ5" s="765" t="s">
        <v>40</v>
      </c>
      <c r="BA5" s="762" t="s">
        <v>47</v>
      </c>
      <c r="BB5" s="761" t="s">
        <v>43</v>
      </c>
      <c r="BC5" s="762" t="s">
        <v>40</v>
      </c>
      <c r="BD5" s="762" t="s">
        <v>47</v>
      </c>
      <c r="BE5" s="762" t="s">
        <v>43</v>
      </c>
      <c r="BF5" s="762" t="s">
        <v>40</v>
      </c>
      <c r="BG5" s="762" t="s">
        <v>44</v>
      </c>
      <c r="BH5" s="762" t="s">
        <v>43</v>
      </c>
      <c r="BI5" s="762" t="s">
        <v>40</v>
      </c>
      <c r="BJ5" s="762" t="s">
        <v>44</v>
      </c>
      <c r="BK5" s="762" t="s">
        <v>43</v>
      </c>
      <c r="BL5" s="762" t="s">
        <v>40</v>
      </c>
      <c r="BM5" s="762" t="s">
        <v>44</v>
      </c>
      <c r="BN5" s="762" t="s">
        <v>43</v>
      </c>
      <c r="BO5" s="762" t="s">
        <v>40</v>
      </c>
      <c r="BP5" s="763" t="s">
        <v>50</v>
      </c>
      <c r="BQ5" s="762" t="s">
        <v>43</v>
      </c>
      <c r="BR5" s="766" t="s">
        <v>40</v>
      </c>
      <c r="BS5" s="762" t="s">
        <v>356</v>
      </c>
      <c r="BT5" s="767" t="s">
        <v>43</v>
      </c>
      <c r="BU5" s="762" t="s">
        <v>40</v>
      </c>
      <c r="BV5" s="762"/>
      <c r="BW5" s="761" t="s">
        <v>43</v>
      </c>
      <c r="BX5" s="762" t="s">
        <v>40</v>
      </c>
      <c r="BY5" s="763" t="s">
        <v>51</v>
      </c>
      <c r="BZ5" s="762" t="s">
        <v>43</v>
      </c>
      <c r="CA5" s="762" t="s">
        <v>40</v>
      </c>
      <c r="CB5" s="763" t="s">
        <v>51</v>
      </c>
      <c r="CC5" s="762" t="s">
        <v>43</v>
      </c>
      <c r="CD5" s="762" t="s">
        <v>40</v>
      </c>
      <c r="CE5" s="763" t="s">
        <v>52</v>
      </c>
      <c r="CF5" s="762" t="s">
        <v>43</v>
      </c>
      <c r="CG5" s="762" t="s">
        <v>40</v>
      </c>
      <c r="CH5" s="763" t="s">
        <v>52</v>
      </c>
      <c r="CI5" s="762" t="s">
        <v>43</v>
      </c>
      <c r="CJ5" s="765" t="s">
        <v>40</v>
      </c>
      <c r="CK5" s="763" t="s">
        <v>51</v>
      </c>
      <c r="CL5" s="763" t="s">
        <v>42</v>
      </c>
      <c r="CM5" s="762" t="s">
        <v>43</v>
      </c>
      <c r="CN5" s="762" t="s">
        <v>40</v>
      </c>
      <c r="CO5" s="763" t="s">
        <v>52</v>
      </c>
      <c r="CP5" s="763" t="s">
        <v>42</v>
      </c>
      <c r="CQ5" s="762" t="s">
        <v>43</v>
      </c>
      <c r="CR5" s="762" t="s">
        <v>40</v>
      </c>
      <c r="CS5" s="763" t="s">
        <v>53</v>
      </c>
      <c r="CT5" s="763" t="s">
        <v>42</v>
      </c>
      <c r="CU5" s="761" t="s">
        <v>43</v>
      </c>
      <c r="CV5" s="762" t="s">
        <v>40</v>
      </c>
      <c r="CW5" s="763" t="s">
        <v>53</v>
      </c>
      <c r="CX5" s="763" t="s">
        <v>42</v>
      </c>
      <c r="CY5" s="762" t="s">
        <v>43</v>
      </c>
      <c r="CZ5" s="762" t="s">
        <v>40</v>
      </c>
      <c r="DA5" s="763" t="s">
        <v>51</v>
      </c>
      <c r="DB5" s="478" t="s">
        <v>45</v>
      </c>
      <c r="DC5" s="762" t="s">
        <v>43</v>
      </c>
      <c r="DD5" s="762" t="s">
        <v>40</v>
      </c>
      <c r="DE5" s="763" t="s">
        <v>52</v>
      </c>
      <c r="DF5" s="478" t="s">
        <v>45</v>
      </c>
      <c r="DG5" s="762" t="s">
        <v>43</v>
      </c>
      <c r="DH5" s="762" t="s">
        <v>40</v>
      </c>
      <c r="DI5" s="763" t="s">
        <v>51</v>
      </c>
      <c r="DJ5" s="478" t="s">
        <v>54</v>
      </c>
      <c r="DK5" s="761" t="s">
        <v>43</v>
      </c>
      <c r="DL5" s="762" t="s">
        <v>40</v>
      </c>
      <c r="DM5" s="763" t="s">
        <v>52</v>
      </c>
      <c r="DN5" s="763" t="s">
        <v>54</v>
      </c>
      <c r="DO5" s="764" t="s">
        <v>43</v>
      </c>
      <c r="DP5" s="340"/>
    </row>
    <row r="6" spans="1:120" s="341" customFormat="1" ht="27.6" customHeight="1">
      <c r="A6" s="781"/>
      <c r="B6" s="781"/>
      <c r="C6" s="784"/>
      <c r="D6" s="784"/>
      <c r="E6" s="784"/>
      <c r="F6" s="787"/>
      <c r="G6" s="778"/>
      <c r="H6" s="769"/>
      <c r="I6" s="769"/>
      <c r="J6" s="791"/>
      <c r="K6" s="794"/>
      <c r="L6" s="775"/>
      <c r="M6" s="469"/>
      <c r="N6" s="765"/>
      <c r="O6" s="765"/>
      <c r="P6" s="762"/>
      <c r="Q6" s="761"/>
      <c r="R6" s="765"/>
      <c r="S6" s="762"/>
      <c r="T6" s="762"/>
      <c r="U6" s="762"/>
      <c r="V6" s="765"/>
      <c r="W6" s="762"/>
      <c r="X6" s="762"/>
      <c r="Y6" s="762"/>
      <c r="Z6" s="765"/>
      <c r="AA6" s="763"/>
      <c r="AB6" s="762"/>
      <c r="AC6" s="763"/>
      <c r="AD6" s="761"/>
      <c r="AE6" s="765"/>
      <c r="AF6" s="762"/>
      <c r="AG6" s="761"/>
      <c r="AH6" s="765"/>
      <c r="AI6" s="762"/>
      <c r="AJ6" s="761"/>
      <c r="AK6" s="765"/>
      <c r="AL6" s="762"/>
      <c r="AM6" s="761"/>
      <c r="AN6" s="765"/>
      <c r="AO6" s="762"/>
      <c r="AP6" s="761"/>
      <c r="AQ6" s="762"/>
      <c r="AR6" s="762"/>
      <c r="AS6" s="762"/>
      <c r="AT6" s="762"/>
      <c r="AU6" s="762"/>
      <c r="AV6" s="762"/>
      <c r="AW6" s="765"/>
      <c r="AX6" s="762"/>
      <c r="AY6" s="762"/>
      <c r="AZ6" s="765"/>
      <c r="BA6" s="762"/>
      <c r="BB6" s="761"/>
      <c r="BC6" s="762"/>
      <c r="BD6" s="762"/>
      <c r="BE6" s="762"/>
      <c r="BF6" s="762"/>
      <c r="BG6" s="762"/>
      <c r="BH6" s="762"/>
      <c r="BI6" s="762"/>
      <c r="BJ6" s="762"/>
      <c r="BK6" s="762"/>
      <c r="BL6" s="762"/>
      <c r="BM6" s="762"/>
      <c r="BN6" s="762"/>
      <c r="BO6" s="762"/>
      <c r="BP6" s="763"/>
      <c r="BQ6" s="762"/>
      <c r="BR6" s="766"/>
      <c r="BS6" s="762"/>
      <c r="BT6" s="767"/>
      <c r="BU6" s="762"/>
      <c r="BV6" s="762"/>
      <c r="BW6" s="761"/>
      <c r="BX6" s="762"/>
      <c r="BY6" s="763"/>
      <c r="BZ6" s="762"/>
      <c r="CA6" s="762"/>
      <c r="CB6" s="763"/>
      <c r="CC6" s="762"/>
      <c r="CD6" s="762"/>
      <c r="CE6" s="763"/>
      <c r="CF6" s="762"/>
      <c r="CG6" s="762"/>
      <c r="CH6" s="763"/>
      <c r="CI6" s="762"/>
      <c r="CJ6" s="765"/>
      <c r="CK6" s="763"/>
      <c r="CL6" s="763"/>
      <c r="CM6" s="762"/>
      <c r="CN6" s="762"/>
      <c r="CO6" s="763"/>
      <c r="CP6" s="763"/>
      <c r="CQ6" s="762"/>
      <c r="CR6" s="762"/>
      <c r="CS6" s="763"/>
      <c r="CT6" s="763"/>
      <c r="CU6" s="761"/>
      <c r="CV6" s="762"/>
      <c r="CW6" s="763"/>
      <c r="CX6" s="763"/>
      <c r="CY6" s="762"/>
      <c r="CZ6" s="762"/>
      <c r="DA6" s="763"/>
      <c r="DB6" s="478"/>
      <c r="DC6" s="762"/>
      <c r="DD6" s="762"/>
      <c r="DE6" s="763"/>
      <c r="DF6" s="478"/>
      <c r="DG6" s="762"/>
      <c r="DH6" s="762"/>
      <c r="DI6" s="763"/>
      <c r="DJ6" s="478"/>
      <c r="DK6" s="761"/>
      <c r="DL6" s="762"/>
      <c r="DM6" s="763"/>
      <c r="DN6" s="763"/>
      <c r="DO6" s="764"/>
      <c r="DP6" s="340"/>
    </row>
    <row r="7" spans="1:120" s="348" customFormat="1" ht="10.5" customHeight="1">
      <c r="A7" s="343">
        <v>1</v>
      </c>
      <c r="B7" s="343">
        <v>2</v>
      </c>
      <c r="C7" s="342">
        <v>3</v>
      </c>
      <c r="D7" s="342">
        <v>4</v>
      </c>
      <c r="E7" s="342">
        <v>5</v>
      </c>
      <c r="F7" s="342">
        <v>6</v>
      </c>
      <c r="G7" s="344">
        <v>7</v>
      </c>
      <c r="H7" s="343"/>
      <c r="I7" s="343"/>
      <c r="J7" s="345"/>
      <c r="K7" s="479"/>
      <c r="L7" s="343">
        <v>10</v>
      </c>
      <c r="M7" s="343"/>
      <c r="N7" s="346">
        <v>11</v>
      </c>
      <c r="O7" s="346">
        <v>12</v>
      </c>
      <c r="P7" s="343"/>
      <c r="Q7" s="458">
        <v>13</v>
      </c>
      <c r="R7" s="346">
        <v>17</v>
      </c>
      <c r="S7" s="343">
        <v>18</v>
      </c>
      <c r="T7" s="343"/>
      <c r="U7" s="343">
        <v>19</v>
      </c>
      <c r="V7" s="346">
        <v>23</v>
      </c>
      <c r="W7" s="343">
        <v>24</v>
      </c>
      <c r="X7" s="343"/>
      <c r="Y7" s="343">
        <v>25</v>
      </c>
      <c r="Z7" s="346">
        <v>29</v>
      </c>
      <c r="AA7" s="343"/>
      <c r="AB7" s="343">
        <v>30</v>
      </c>
      <c r="AC7" s="343"/>
      <c r="AD7" s="458">
        <v>31</v>
      </c>
      <c r="AE7" s="346">
        <v>35</v>
      </c>
      <c r="AF7" s="343">
        <v>36</v>
      </c>
      <c r="AG7" s="458">
        <v>37</v>
      </c>
      <c r="AH7" s="346">
        <v>41</v>
      </c>
      <c r="AI7" s="343">
        <v>42</v>
      </c>
      <c r="AJ7" s="458">
        <v>43</v>
      </c>
      <c r="AK7" s="346">
        <v>47</v>
      </c>
      <c r="AL7" s="343">
        <v>48</v>
      </c>
      <c r="AM7" s="458">
        <v>49</v>
      </c>
      <c r="AN7" s="346">
        <v>53</v>
      </c>
      <c r="AO7" s="343">
        <v>54</v>
      </c>
      <c r="AP7" s="458">
        <v>55</v>
      </c>
      <c r="AQ7" s="343">
        <v>59</v>
      </c>
      <c r="AR7" s="343">
        <v>60</v>
      </c>
      <c r="AS7" s="343">
        <v>61</v>
      </c>
      <c r="AT7" s="343">
        <v>65</v>
      </c>
      <c r="AU7" s="343">
        <v>66</v>
      </c>
      <c r="AV7" s="343">
        <v>67</v>
      </c>
      <c r="AW7" s="346">
        <v>71</v>
      </c>
      <c r="AX7" s="343">
        <v>72</v>
      </c>
      <c r="AY7" s="343">
        <v>73</v>
      </c>
      <c r="AZ7" s="346">
        <v>77</v>
      </c>
      <c r="BA7" s="343">
        <v>78</v>
      </c>
      <c r="BB7" s="458">
        <v>79</v>
      </c>
      <c r="BC7" s="343">
        <v>83</v>
      </c>
      <c r="BD7" s="343">
        <v>84</v>
      </c>
      <c r="BE7" s="343">
        <v>85</v>
      </c>
      <c r="BF7" s="343">
        <v>89</v>
      </c>
      <c r="BG7" s="343">
        <v>90</v>
      </c>
      <c r="BH7" s="343">
        <v>91</v>
      </c>
      <c r="BI7" s="343">
        <v>95</v>
      </c>
      <c r="BJ7" s="343">
        <v>96</v>
      </c>
      <c r="BK7" s="343">
        <v>97</v>
      </c>
      <c r="BL7" s="343">
        <v>98</v>
      </c>
      <c r="BM7" s="343">
        <v>99</v>
      </c>
      <c r="BN7" s="343">
        <v>100</v>
      </c>
      <c r="BO7" s="343">
        <v>101</v>
      </c>
      <c r="BP7" s="343">
        <v>102</v>
      </c>
      <c r="BQ7" s="343">
        <v>103</v>
      </c>
      <c r="BR7" s="480">
        <v>104</v>
      </c>
      <c r="BS7" s="343">
        <v>105</v>
      </c>
      <c r="BT7" s="354">
        <v>106</v>
      </c>
      <c r="BU7" s="343">
        <v>107</v>
      </c>
      <c r="BV7" s="343">
        <v>108</v>
      </c>
      <c r="BW7" s="458">
        <v>109</v>
      </c>
      <c r="BX7" s="481"/>
      <c r="BY7" s="481"/>
      <c r="BZ7" s="481"/>
      <c r="CA7" s="481"/>
      <c r="CB7" s="481"/>
      <c r="CC7" s="481"/>
      <c r="CD7" s="481"/>
      <c r="CE7" s="481"/>
      <c r="CF7" s="481"/>
      <c r="CG7" s="481"/>
      <c r="CH7" s="481"/>
      <c r="CI7" s="481"/>
      <c r="CJ7" s="482"/>
      <c r="CK7" s="481"/>
      <c r="CL7" s="481"/>
      <c r="CM7" s="481"/>
      <c r="CN7" s="481"/>
      <c r="CO7" s="481"/>
      <c r="CP7" s="481"/>
      <c r="CQ7" s="481"/>
      <c r="CR7" s="481"/>
      <c r="CS7" s="481"/>
      <c r="CT7" s="481"/>
      <c r="CU7" s="483"/>
      <c r="CV7" s="481"/>
      <c r="CW7" s="481"/>
      <c r="CX7" s="481"/>
      <c r="CY7" s="354"/>
      <c r="CZ7" s="481"/>
      <c r="DA7" s="481"/>
      <c r="DB7" s="481"/>
      <c r="DC7" s="354"/>
      <c r="DD7" s="481"/>
      <c r="DE7" s="481"/>
      <c r="DF7" s="481"/>
      <c r="DG7" s="354"/>
      <c r="DH7" s="481"/>
      <c r="DI7" s="481"/>
      <c r="DJ7" s="481"/>
      <c r="DK7" s="484"/>
      <c r="DL7" s="481"/>
      <c r="DM7" s="481"/>
      <c r="DN7" s="481"/>
      <c r="DO7" s="349"/>
      <c r="DP7" s="350"/>
    </row>
    <row r="8" spans="1:120" s="353" customFormat="1" ht="33" customHeight="1">
      <c r="A8" s="354">
        <v>1</v>
      </c>
      <c r="B8" s="351" t="s">
        <v>546</v>
      </c>
      <c r="C8" s="351">
        <v>2</v>
      </c>
      <c r="D8" s="354" t="s">
        <v>545</v>
      </c>
      <c r="E8" s="363">
        <v>33</v>
      </c>
      <c r="F8" s="351">
        <v>5</v>
      </c>
      <c r="G8" s="351">
        <f>109679.724/1000</f>
        <v>109.67972400000001</v>
      </c>
      <c r="H8" s="351">
        <v>109679.72400000002</v>
      </c>
      <c r="I8" s="351">
        <v>0</v>
      </c>
      <c r="J8" s="351">
        <v>115.96223000000001</v>
      </c>
      <c r="K8" s="485">
        <f>G8+J8</f>
        <v>225.641954</v>
      </c>
      <c r="L8" s="486">
        <f>(Q8+U8+Y8+AD8+AG8+AJ8+AM8+AP8+AS8+AV8+AY8+BB8+BE8+BH8+BK8+BT8)/1000</f>
        <v>200</v>
      </c>
      <c r="M8" s="354"/>
      <c r="N8" s="367"/>
      <c r="O8" s="367"/>
      <c r="P8" s="354"/>
      <c r="Q8" s="48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484"/>
      <c r="AE8" s="354"/>
      <c r="AF8" s="354"/>
      <c r="AG8" s="484"/>
      <c r="AH8" s="354"/>
      <c r="AI8" s="354"/>
      <c r="AJ8" s="484"/>
      <c r="AK8" s="354"/>
      <c r="AL8" s="354"/>
      <c r="AM8" s="484"/>
      <c r="AN8" s="354"/>
      <c r="AO8" s="355"/>
      <c r="AP8" s="484"/>
      <c r="AQ8" s="354"/>
      <c r="AR8" s="354"/>
      <c r="AS8" s="354"/>
      <c r="AT8" s="354"/>
      <c r="AU8" s="354"/>
      <c r="AV8" s="354"/>
      <c r="AW8" s="354"/>
      <c r="AX8" s="354"/>
      <c r="AY8" s="354"/>
      <c r="AZ8" s="354">
        <v>9</v>
      </c>
      <c r="BA8" s="354" t="s">
        <v>537</v>
      </c>
      <c r="BB8" s="484">
        <v>200000</v>
      </c>
      <c r="BC8" s="354"/>
      <c r="BD8" s="354"/>
      <c r="BE8" s="354"/>
      <c r="BF8" s="354"/>
      <c r="BG8" s="354"/>
      <c r="BH8" s="354"/>
      <c r="BI8" s="354"/>
      <c r="BJ8" s="354"/>
      <c r="BK8" s="354"/>
      <c r="BL8" s="354"/>
      <c r="BM8" s="354"/>
      <c r="BN8" s="354"/>
      <c r="BO8" s="354"/>
      <c r="BP8" s="354"/>
      <c r="BQ8" s="354"/>
      <c r="BR8" s="381"/>
      <c r="BS8" s="354"/>
      <c r="BT8" s="354">
        <f>BZ8+CF8+CM8+CU8+DC8+DK8</f>
        <v>0</v>
      </c>
      <c r="BU8" s="354"/>
      <c r="BV8" s="355"/>
      <c r="BW8" s="484">
        <f t="shared" ref="BW8:BW18" si="0">CC8+CI8+CQ8+CY8+DG8+DO8</f>
        <v>0</v>
      </c>
      <c r="BX8" s="354"/>
      <c r="BY8" s="354"/>
      <c r="BZ8" s="354"/>
      <c r="CA8" s="354"/>
      <c r="CB8" s="354"/>
      <c r="CC8" s="354"/>
      <c r="CD8" s="354"/>
      <c r="CE8" s="354"/>
      <c r="CF8" s="354"/>
      <c r="CG8" s="354"/>
      <c r="CH8" s="354"/>
      <c r="CI8" s="354"/>
      <c r="CJ8" s="367"/>
      <c r="CK8" s="354"/>
      <c r="CL8" s="354"/>
      <c r="CM8" s="354"/>
      <c r="CN8" s="354"/>
      <c r="CO8" s="354"/>
      <c r="CP8" s="354"/>
      <c r="CQ8" s="354"/>
      <c r="CR8" s="354"/>
      <c r="CS8" s="354"/>
      <c r="CT8" s="354"/>
      <c r="CU8" s="484"/>
      <c r="CV8" s="354"/>
      <c r="CW8" s="354"/>
      <c r="CX8" s="354"/>
      <c r="CY8" s="354"/>
      <c r="CZ8" s="354"/>
      <c r="DA8" s="354"/>
      <c r="DB8" s="354"/>
      <c r="DC8" s="354"/>
      <c r="DD8" s="354"/>
      <c r="DE8" s="354"/>
      <c r="DF8" s="354"/>
      <c r="DG8" s="354"/>
      <c r="DH8" s="354"/>
      <c r="DI8" s="354"/>
      <c r="DJ8" s="354"/>
      <c r="DK8" s="484"/>
      <c r="DL8" s="354"/>
      <c r="DM8" s="354"/>
      <c r="DN8" s="354"/>
      <c r="DO8" s="347"/>
    </row>
    <row r="9" spans="1:120" s="353" customFormat="1" ht="33" customHeight="1">
      <c r="A9" s="354">
        <v>2</v>
      </c>
      <c r="B9" s="351" t="s">
        <v>546</v>
      </c>
      <c r="C9" s="351">
        <v>2</v>
      </c>
      <c r="D9" s="354" t="s">
        <v>545</v>
      </c>
      <c r="E9" s="363">
        <v>35</v>
      </c>
      <c r="F9" s="351">
        <v>5</v>
      </c>
      <c r="G9" s="351">
        <f>142461.396/1000</f>
        <v>142.46139600000001</v>
      </c>
      <c r="H9" s="351">
        <v>142461.39600000001</v>
      </c>
      <c r="I9" s="351">
        <v>0</v>
      </c>
      <c r="J9" s="351">
        <v>98.764160000000004</v>
      </c>
      <c r="K9" s="485">
        <f t="shared" ref="K9:K18" si="1">G9+J9</f>
        <v>241.22555600000001</v>
      </c>
      <c r="L9" s="486">
        <f>(Q9+U9+Y9+AD9+AG9+AJ9+AM9+AP9+AS9+AV9+AY9+BB9+BE9+BH9+BK9+BT9)/1000</f>
        <v>238</v>
      </c>
      <c r="M9" s="354"/>
      <c r="N9" s="367" t="s">
        <v>227</v>
      </c>
      <c r="O9" s="367" t="s">
        <v>224</v>
      </c>
      <c r="P9" s="355" t="s">
        <v>802</v>
      </c>
      <c r="Q9" s="484">
        <v>160000</v>
      </c>
      <c r="R9" s="354"/>
      <c r="S9" s="354"/>
      <c r="T9" s="354"/>
      <c r="U9" s="354"/>
      <c r="V9" s="354"/>
      <c r="W9" s="354"/>
      <c r="X9" s="354"/>
      <c r="Y9" s="354"/>
      <c r="Z9" s="354"/>
      <c r="AA9" s="354"/>
      <c r="AB9" s="354"/>
      <c r="AC9" s="354"/>
      <c r="AD9" s="354">
        <f>AB9*500</f>
        <v>0</v>
      </c>
      <c r="AE9" s="354"/>
      <c r="AF9" s="354"/>
      <c r="AG9" s="484"/>
      <c r="AH9" s="354"/>
      <c r="AI9" s="354"/>
      <c r="AJ9" s="484"/>
      <c r="AK9" s="354"/>
      <c r="AL9" s="354"/>
      <c r="AM9" s="484"/>
      <c r="AN9" s="354">
        <v>12</v>
      </c>
      <c r="AO9" s="355" t="s">
        <v>803</v>
      </c>
      <c r="AP9" s="484">
        <f>60*1300</f>
        <v>78000</v>
      </c>
      <c r="AQ9" s="354"/>
      <c r="AR9" s="354"/>
      <c r="AS9" s="354"/>
      <c r="AT9" s="354"/>
      <c r="AU9" s="354"/>
      <c r="AV9" s="354"/>
      <c r="AW9" s="354"/>
      <c r="AX9" s="354"/>
      <c r="AY9" s="354"/>
      <c r="AZ9" s="354"/>
      <c r="BA9" s="354"/>
      <c r="BB9" s="484"/>
      <c r="BC9" s="354"/>
      <c r="BD9" s="354"/>
      <c r="BE9" s="354"/>
      <c r="BF9" s="354"/>
      <c r="BG9" s="354"/>
      <c r="BH9" s="354"/>
      <c r="BI9" s="354"/>
      <c r="BJ9" s="354"/>
      <c r="BK9" s="354"/>
      <c r="BL9" s="354"/>
      <c r="BM9" s="354"/>
      <c r="BN9" s="354"/>
      <c r="BO9" s="354"/>
      <c r="BP9" s="354"/>
      <c r="BQ9" s="354"/>
      <c r="BR9" s="381"/>
      <c r="BS9" s="354"/>
      <c r="BT9" s="354">
        <f>BZ9+CF9+CM9+CU9+DC9+DK9</f>
        <v>0</v>
      </c>
      <c r="BU9" s="354"/>
      <c r="BV9" s="355"/>
      <c r="BW9" s="484">
        <f t="shared" si="0"/>
        <v>0</v>
      </c>
      <c r="BX9" s="354"/>
      <c r="BY9" s="354"/>
      <c r="BZ9" s="484"/>
      <c r="CA9" s="354"/>
      <c r="CB9" s="354"/>
      <c r="CC9" s="354"/>
      <c r="CD9" s="354"/>
      <c r="CE9" s="354"/>
      <c r="CF9" s="354"/>
      <c r="CG9" s="354"/>
      <c r="CH9" s="354"/>
      <c r="CI9" s="354"/>
      <c r="CJ9" s="367"/>
      <c r="CK9" s="354"/>
      <c r="CL9" s="354"/>
      <c r="CM9" s="354"/>
      <c r="CN9" s="354"/>
      <c r="CO9" s="354"/>
      <c r="CP9" s="354"/>
      <c r="CQ9" s="354"/>
      <c r="CR9" s="354"/>
      <c r="CS9" s="354"/>
      <c r="CT9" s="354"/>
      <c r="CU9" s="484"/>
      <c r="CV9" s="354"/>
      <c r="CW9" s="354"/>
      <c r="CX9" s="354"/>
      <c r="CY9" s="354"/>
      <c r="CZ9" s="354"/>
      <c r="DA9" s="354"/>
      <c r="DB9" s="354"/>
      <c r="DC9" s="354"/>
      <c r="DD9" s="354"/>
      <c r="DE9" s="354"/>
      <c r="DF9" s="354"/>
      <c r="DG9" s="354"/>
      <c r="DH9" s="354"/>
      <c r="DI9" s="354"/>
      <c r="DJ9" s="354"/>
      <c r="DK9" s="484"/>
      <c r="DL9" s="354"/>
      <c r="DM9" s="354"/>
      <c r="DN9" s="354"/>
      <c r="DO9" s="347"/>
    </row>
    <row r="10" spans="1:120" s="353" customFormat="1" ht="33" customHeight="1">
      <c r="A10" s="354">
        <v>3</v>
      </c>
      <c r="B10" s="351" t="s">
        <v>546</v>
      </c>
      <c r="C10" s="351">
        <v>2</v>
      </c>
      <c r="D10" s="354" t="s">
        <v>545</v>
      </c>
      <c r="E10" s="363" t="s">
        <v>569</v>
      </c>
      <c r="F10" s="351">
        <v>5</v>
      </c>
      <c r="G10" s="351">
        <f>129471.804/1000</f>
        <v>129.47180399999999</v>
      </c>
      <c r="H10" s="351">
        <v>129471.80399999999</v>
      </c>
      <c r="I10" s="351">
        <v>0</v>
      </c>
      <c r="J10" s="351">
        <v>101.50867</v>
      </c>
      <c r="K10" s="485">
        <f t="shared" si="1"/>
        <v>230.98047399999999</v>
      </c>
      <c r="L10" s="486">
        <f>(Q10+U10+Y10+AD10+AG10+AJ10+AM10+AP10+AS10+AV10+AY10+BB10+BE10+BH10+BK10+BT10)/1000</f>
        <v>204</v>
      </c>
      <c r="M10" s="354"/>
      <c r="N10" s="367"/>
      <c r="O10" s="367"/>
      <c r="P10" s="354"/>
      <c r="Q10" s="484"/>
      <c r="R10" s="354"/>
      <c r="S10" s="354"/>
      <c r="T10" s="354"/>
      <c r="U10" s="354"/>
      <c r="V10" s="354"/>
      <c r="W10" s="354"/>
      <c r="X10" s="354"/>
      <c r="Y10" s="354"/>
      <c r="Z10" s="354">
        <v>6</v>
      </c>
      <c r="AA10" s="354" t="s">
        <v>310</v>
      </c>
      <c r="AB10" s="354">
        <v>120</v>
      </c>
      <c r="AC10" s="354" t="s">
        <v>552</v>
      </c>
      <c r="AD10" s="354">
        <f>AB10*700</f>
        <v>84000</v>
      </c>
      <c r="AE10" s="354"/>
      <c r="AF10" s="354"/>
      <c r="AG10" s="484"/>
      <c r="AH10" s="354"/>
      <c r="AI10" s="354"/>
      <c r="AJ10" s="484"/>
      <c r="AK10" s="354">
        <v>8</v>
      </c>
      <c r="AL10" s="354">
        <v>20</v>
      </c>
      <c r="AM10" s="484">
        <f>AL10*3000</f>
        <v>60000</v>
      </c>
      <c r="AN10" s="354"/>
      <c r="AO10" s="355"/>
      <c r="AP10" s="484"/>
      <c r="AQ10" s="354"/>
      <c r="AR10" s="354"/>
      <c r="AS10" s="354"/>
      <c r="AT10" s="354"/>
      <c r="AU10" s="354"/>
      <c r="AV10" s="354"/>
      <c r="AW10" s="354"/>
      <c r="AX10" s="354"/>
      <c r="AY10" s="354"/>
      <c r="AZ10" s="354"/>
      <c r="BA10" s="355"/>
      <c r="BB10" s="484"/>
      <c r="BC10" s="354"/>
      <c r="BD10" s="354"/>
      <c r="BE10" s="354"/>
      <c r="BF10" s="354"/>
      <c r="BG10" s="354"/>
      <c r="BH10" s="354"/>
      <c r="BI10" s="354"/>
      <c r="BJ10" s="354"/>
      <c r="BK10" s="354"/>
      <c r="BL10" s="354"/>
      <c r="BM10" s="354"/>
      <c r="BN10" s="354"/>
      <c r="BO10" s="354"/>
      <c r="BP10" s="354"/>
      <c r="BQ10" s="354"/>
      <c r="BR10" s="381">
        <v>8</v>
      </c>
      <c r="BS10" s="354" t="s">
        <v>617</v>
      </c>
      <c r="BT10" s="484">
        <f>BZ10+CF10+CM10+CU10+DC10+DK10+60000</f>
        <v>60000</v>
      </c>
      <c r="BU10" s="354"/>
      <c r="BV10" s="355"/>
      <c r="BW10" s="484">
        <f t="shared" si="0"/>
        <v>0</v>
      </c>
      <c r="BX10" s="354"/>
      <c r="BY10" s="354"/>
      <c r="BZ10" s="484"/>
      <c r="CA10" s="354"/>
      <c r="CB10" s="354"/>
      <c r="CC10" s="354"/>
      <c r="CD10" s="354"/>
      <c r="CE10" s="354"/>
      <c r="CF10" s="484"/>
      <c r="CG10" s="354"/>
      <c r="CH10" s="354"/>
      <c r="CI10" s="354"/>
      <c r="CJ10" s="367"/>
      <c r="CK10" s="354"/>
      <c r="CL10" s="354"/>
      <c r="CM10" s="354"/>
      <c r="CN10" s="354"/>
      <c r="CO10" s="354"/>
      <c r="CP10" s="354"/>
      <c r="CQ10" s="354"/>
      <c r="CR10" s="354"/>
      <c r="CS10" s="354"/>
      <c r="CT10" s="354"/>
      <c r="CU10" s="484"/>
      <c r="CV10" s="354"/>
      <c r="CW10" s="354"/>
      <c r="CX10" s="354"/>
      <c r="CY10" s="354"/>
      <c r="CZ10" s="354"/>
      <c r="DA10" s="354"/>
      <c r="DB10" s="354"/>
      <c r="DC10" s="354"/>
      <c r="DD10" s="354"/>
      <c r="DE10" s="354"/>
      <c r="DF10" s="354"/>
      <c r="DG10" s="354"/>
      <c r="DH10" s="354"/>
      <c r="DI10" s="354"/>
      <c r="DJ10" s="354"/>
      <c r="DK10" s="484"/>
      <c r="DL10" s="354"/>
      <c r="DM10" s="354"/>
      <c r="DN10" s="354"/>
      <c r="DO10" s="347"/>
    </row>
    <row r="11" spans="1:120" s="353" customFormat="1" ht="33" customHeight="1">
      <c r="A11" s="354">
        <v>4</v>
      </c>
      <c r="B11" s="351" t="s">
        <v>546</v>
      </c>
      <c r="C11" s="351">
        <v>2</v>
      </c>
      <c r="D11" s="354" t="s">
        <v>598</v>
      </c>
      <c r="E11" s="363">
        <v>42</v>
      </c>
      <c r="F11" s="351">
        <v>5</v>
      </c>
      <c r="G11" s="351">
        <f>349712.748/1000</f>
        <v>349.71274800000003</v>
      </c>
      <c r="H11" s="351">
        <v>349712.74800000002</v>
      </c>
      <c r="I11" s="351">
        <v>0</v>
      </c>
      <c r="J11" s="351">
        <v>181.58873999999997</v>
      </c>
      <c r="K11" s="485">
        <f t="shared" si="1"/>
        <v>531.30148800000006</v>
      </c>
      <c r="L11" s="486">
        <f>(Q11+U11+Y11+AD11+AG11+AJ11+AM11+AP11+AS11+AV11+AY11+BB11+BE11+BH11+BK11+BT11)/1000</f>
        <v>538</v>
      </c>
      <c r="M11" s="354"/>
      <c r="N11" s="367" t="s">
        <v>254</v>
      </c>
      <c r="O11" s="367" t="s">
        <v>523</v>
      </c>
      <c r="P11" s="355" t="s">
        <v>621</v>
      </c>
      <c r="Q11" s="484">
        <f>70000+150000</f>
        <v>220000</v>
      </c>
      <c r="R11" s="354"/>
      <c r="S11" s="354"/>
      <c r="T11" s="354"/>
      <c r="U11" s="354"/>
      <c r="V11" s="354"/>
      <c r="W11" s="354"/>
      <c r="X11" s="354"/>
      <c r="Y11" s="354"/>
      <c r="Z11" s="354">
        <v>7</v>
      </c>
      <c r="AA11" s="354" t="s">
        <v>310</v>
      </c>
      <c r="AB11" s="354">
        <v>280</v>
      </c>
      <c r="AC11" s="354" t="s">
        <v>595</v>
      </c>
      <c r="AD11" s="354">
        <f>AB11*700</f>
        <v>196000</v>
      </c>
      <c r="AE11" s="354"/>
      <c r="AF11" s="354"/>
      <c r="AG11" s="484"/>
      <c r="AH11" s="354"/>
      <c r="AI11" s="354"/>
      <c r="AJ11" s="484"/>
      <c r="AK11" s="354"/>
      <c r="AL11" s="354"/>
      <c r="AM11" s="484"/>
      <c r="AN11" s="354"/>
      <c r="AO11" s="355"/>
      <c r="AP11" s="484"/>
      <c r="AQ11" s="354"/>
      <c r="AR11" s="354"/>
      <c r="AS11" s="354"/>
      <c r="AT11" s="354"/>
      <c r="AU11" s="354"/>
      <c r="AV11" s="354"/>
      <c r="AW11" s="354"/>
      <c r="AX11" s="354"/>
      <c r="AY11" s="354"/>
      <c r="AZ11" s="354"/>
      <c r="BA11" s="355"/>
      <c r="BB11" s="484"/>
      <c r="BC11" s="354"/>
      <c r="BD11" s="354"/>
      <c r="BE11" s="354"/>
      <c r="BF11" s="354"/>
      <c r="BG11" s="354"/>
      <c r="BH11" s="354"/>
      <c r="BI11" s="354"/>
      <c r="BJ11" s="354"/>
      <c r="BK11" s="354"/>
      <c r="BL11" s="354"/>
      <c r="BM11" s="354"/>
      <c r="BN11" s="354"/>
      <c r="BO11" s="354"/>
      <c r="BP11" s="354"/>
      <c r="BQ11" s="354"/>
      <c r="BR11" s="381">
        <v>9</v>
      </c>
      <c r="BS11" s="354" t="s">
        <v>620</v>
      </c>
      <c r="BT11" s="484">
        <f>BZ11+CF11+CM11+CU11+DC11+DK11+(23000*4)</f>
        <v>122000</v>
      </c>
      <c r="BU11" s="354"/>
      <c r="BV11" s="355"/>
      <c r="BW11" s="484">
        <f t="shared" si="0"/>
        <v>0</v>
      </c>
      <c r="BX11" s="354"/>
      <c r="BY11" s="354"/>
      <c r="BZ11" s="484"/>
      <c r="CA11" s="354"/>
      <c r="CB11" s="354"/>
      <c r="CC11" s="354"/>
      <c r="CD11" s="354"/>
      <c r="CE11" s="354"/>
      <c r="CF11" s="484"/>
      <c r="CG11" s="354"/>
      <c r="CH11" s="354"/>
      <c r="CI11" s="354"/>
      <c r="CJ11" s="367"/>
      <c r="CK11" s="354"/>
      <c r="CL11" s="354"/>
      <c r="CM11" s="354"/>
      <c r="CN11" s="354"/>
      <c r="CO11" s="354"/>
      <c r="CP11" s="354"/>
      <c r="CQ11" s="354"/>
      <c r="CR11" s="354"/>
      <c r="CS11" s="354"/>
      <c r="CT11" s="354"/>
      <c r="CU11" s="484"/>
      <c r="CV11" s="354"/>
      <c r="CW11" s="354"/>
      <c r="CX11" s="354"/>
      <c r="CY11" s="354"/>
      <c r="CZ11" s="354"/>
      <c r="DA11" s="354"/>
      <c r="DB11" s="354"/>
      <c r="DC11" s="354"/>
      <c r="DD11" s="354"/>
      <c r="DE11" s="354"/>
      <c r="DF11" s="354"/>
      <c r="DG11" s="354"/>
      <c r="DH11" s="354">
        <v>9</v>
      </c>
      <c r="DI11" s="354">
        <v>2</v>
      </c>
      <c r="DJ11" s="354" t="s">
        <v>592</v>
      </c>
      <c r="DK11" s="484">
        <v>30000</v>
      </c>
      <c r="DL11" s="354"/>
      <c r="DM11" s="354"/>
      <c r="DN11" s="354"/>
      <c r="DO11" s="347"/>
    </row>
    <row r="12" spans="1:120" s="353" customFormat="1" ht="33" customHeight="1">
      <c r="A12" s="354">
        <v>5</v>
      </c>
      <c r="B12" s="351" t="s">
        <v>546</v>
      </c>
      <c r="C12" s="351">
        <v>2</v>
      </c>
      <c r="D12" s="354" t="s">
        <v>598</v>
      </c>
      <c r="E12" s="363">
        <v>47</v>
      </c>
      <c r="F12" s="351">
        <v>5</v>
      </c>
      <c r="G12" s="351">
        <f>543824.82/1000</f>
        <v>543.82481999999993</v>
      </c>
      <c r="H12" s="351">
        <v>543824.82000000007</v>
      </c>
      <c r="I12" s="351">
        <v>0</v>
      </c>
      <c r="J12" s="351">
        <v>51.171150000000011</v>
      </c>
      <c r="K12" s="485">
        <f t="shared" si="1"/>
        <v>594.99596999999994</v>
      </c>
      <c r="L12" s="486">
        <f>(Q12+U12+Y12+AD12+AG12+AJ12+AM12+AP12+AS12+AV12+AY12+BB12+BE12+BH12+BK12+BT12)/1000</f>
        <v>310</v>
      </c>
      <c r="M12" s="354"/>
      <c r="N12" s="367" t="s">
        <v>249</v>
      </c>
      <c r="O12" s="367" t="s">
        <v>523</v>
      </c>
      <c r="P12" s="354">
        <v>1</v>
      </c>
      <c r="Q12" s="484">
        <v>250000</v>
      </c>
      <c r="R12" s="354"/>
      <c r="S12" s="354"/>
      <c r="T12" s="354"/>
      <c r="U12" s="354"/>
      <c r="V12" s="354"/>
      <c r="W12" s="354"/>
      <c r="X12" s="354"/>
      <c r="Y12" s="354"/>
      <c r="Z12" s="354"/>
      <c r="AA12" s="354"/>
      <c r="AB12" s="354"/>
      <c r="AC12" s="354"/>
      <c r="AD12" s="354"/>
      <c r="AE12" s="354"/>
      <c r="AF12" s="354"/>
      <c r="AG12" s="484"/>
      <c r="AH12" s="354"/>
      <c r="AI12" s="354"/>
      <c r="AJ12" s="484"/>
      <c r="AK12" s="354"/>
      <c r="AL12" s="354"/>
      <c r="AM12" s="484"/>
      <c r="AN12" s="354"/>
      <c r="AO12" s="355"/>
      <c r="AP12" s="484"/>
      <c r="AQ12" s="354"/>
      <c r="AR12" s="354"/>
      <c r="AS12" s="354"/>
      <c r="AT12" s="354"/>
      <c r="AU12" s="354"/>
      <c r="AV12" s="354"/>
      <c r="AW12" s="354"/>
      <c r="AX12" s="354"/>
      <c r="AY12" s="354"/>
      <c r="AZ12" s="354"/>
      <c r="BA12" s="355"/>
      <c r="BB12" s="484"/>
      <c r="BC12" s="354"/>
      <c r="BD12" s="354"/>
      <c r="BE12" s="354"/>
      <c r="BF12" s="354"/>
      <c r="BG12" s="354"/>
      <c r="BH12" s="354"/>
      <c r="BI12" s="354"/>
      <c r="BJ12" s="354"/>
      <c r="BK12" s="354"/>
      <c r="BL12" s="354"/>
      <c r="BM12" s="354"/>
      <c r="BN12" s="354"/>
      <c r="BO12" s="354"/>
      <c r="BP12" s="354"/>
      <c r="BQ12" s="354"/>
      <c r="BR12" s="487" t="s">
        <v>801</v>
      </c>
      <c r="BS12" s="355" t="s">
        <v>622</v>
      </c>
      <c r="BT12" s="484">
        <f>BZ12+CF12+CM12+CU12+DC12+DK12+60000</f>
        <v>60000</v>
      </c>
      <c r="BU12" s="354"/>
      <c r="BV12" s="355"/>
      <c r="BW12" s="484">
        <f t="shared" si="0"/>
        <v>0</v>
      </c>
      <c r="BX12" s="354"/>
      <c r="BY12" s="354"/>
      <c r="BZ12" s="484"/>
      <c r="CA12" s="354"/>
      <c r="CB12" s="354"/>
      <c r="CC12" s="354"/>
      <c r="CD12" s="354"/>
      <c r="CE12" s="354"/>
      <c r="CF12" s="484"/>
      <c r="CG12" s="354"/>
      <c r="CH12" s="354"/>
      <c r="CI12" s="354"/>
      <c r="CJ12" s="367"/>
      <c r="CK12" s="354"/>
      <c r="CL12" s="354"/>
      <c r="CM12" s="354"/>
      <c r="CN12" s="354"/>
      <c r="CO12" s="354"/>
      <c r="CP12" s="354"/>
      <c r="CQ12" s="354"/>
      <c r="CR12" s="354"/>
      <c r="CS12" s="354"/>
      <c r="CT12" s="488"/>
      <c r="CU12" s="484"/>
      <c r="CV12" s="354"/>
      <c r="CW12" s="354"/>
      <c r="CX12" s="354"/>
      <c r="CY12" s="354"/>
      <c r="CZ12" s="354"/>
      <c r="DA12" s="354"/>
      <c r="DB12" s="354"/>
      <c r="DC12" s="354"/>
      <c r="DD12" s="354"/>
      <c r="DE12" s="354"/>
      <c r="DF12" s="354"/>
      <c r="DG12" s="354"/>
      <c r="DH12" s="354"/>
      <c r="DI12" s="354"/>
      <c r="DJ12" s="354"/>
      <c r="DK12" s="484"/>
      <c r="DL12" s="354"/>
      <c r="DM12" s="354"/>
      <c r="DN12" s="354"/>
      <c r="DO12" s="347"/>
    </row>
    <row r="13" spans="1:120" s="353" customFormat="1" ht="28.15" customHeight="1">
      <c r="A13" s="354">
        <v>6</v>
      </c>
      <c r="B13" s="351" t="s">
        <v>546</v>
      </c>
      <c r="C13" s="351">
        <v>2</v>
      </c>
      <c r="D13" s="354" t="s">
        <v>557</v>
      </c>
      <c r="E13" s="363">
        <v>12</v>
      </c>
      <c r="F13" s="351">
        <v>5</v>
      </c>
      <c r="G13" s="351">
        <f>245148.1956/1000</f>
        <v>245.14819560000001</v>
      </c>
      <c r="H13" s="351">
        <v>245148.19559999995</v>
      </c>
      <c r="I13" s="351">
        <v>0</v>
      </c>
      <c r="J13" s="351">
        <v>137.2208</v>
      </c>
      <c r="K13" s="485">
        <f t="shared" si="1"/>
        <v>382.36899560000001</v>
      </c>
      <c r="L13" s="486">
        <f>(Q13+U13+Y13+AD13+AG13+AJ13+AM13+AP13+AS13+AV13+AY13+BB13+BE13+BH13+BK13+BQ19+BT13)/1000</f>
        <v>300</v>
      </c>
      <c r="M13" s="354"/>
      <c r="N13" s="367" t="s">
        <v>254</v>
      </c>
      <c r="O13" s="367" t="s">
        <v>523</v>
      </c>
      <c r="P13" s="355" t="s">
        <v>799</v>
      </c>
      <c r="Q13" s="484">
        <v>90000</v>
      </c>
      <c r="R13" s="354"/>
      <c r="S13" s="354"/>
      <c r="T13" s="354"/>
      <c r="U13" s="354"/>
      <c r="V13" s="354"/>
      <c r="W13" s="354"/>
      <c r="X13" s="354"/>
      <c r="Y13" s="354"/>
      <c r="Z13" s="354"/>
      <c r="AA13" s="354"/>
      <c r="AB13" s="354"/>
      <c r="AC13" s="355"/>
      <c r="AD13" s="354"/>
      <c r="AE13" s="354"/>
      <c r="AF13" s="354"/>
      <c r="AG13" s="484"/>
      <c r="AH13" s="354"/>
      <c r="AI13" s="354"/>
      <c r="AJ13" s="484"/>
      <c r="AK13" s="354">
        <v>8</v>
      </c>
      <c r="AL13" s="354">
        <v>60</v>
      </c>
      <c r="AM13" s="484">
        <f>AL13*3000</f>
        <v>180000</v>
      </c>
      <c r="AN13" s="354"/>
      <c r="AO13" s="355"/>
      <c r="AP13" s="484"/>
      <c r="AQ13" s="354"/>
      <c r="AR13" s="354"/>
      <c r="AS13" s="354"/>
      <c r="AT13" s="354"/>
      <c r="AU13" s="354"/>
      <c r="AV13" s="354"/>
      <c r="AW13" s="354"/>
      <c r="AX13" s="354"/>
      <c r="AY13" s="354"/>
      <c r="AZ13" s="354"/>
      <c r="BA13" s="354"/>
      <c r="BB13" s="484"/>
      <c r="BC13" s="354"/>
      <c r="BD13" s="354"/>
      <c r="BE13" s="354"/>
      <c r="BF13" s="354"/>
      <c r="BG13" s="354"/>
      <c r="BH13" s="354"/>
      <c r="BI13" s="354"/>
      <c r="BJ13" s="354"/>
      <c r="BK13" s="354"/>
      <c r="BL13" s="354"/>
      <c r="BM13" s="354"/>
      <c r="BN13" s="354"/>
      <c r="BO13" s="354"/>
      <c r="BP13" s="354"/>
      <c r="BQ13" s="354"/>
      <c r="BR13" s="381">
        <v>8</v>
      </c>
      <c r="BS13" s="355" t="s">
        <v>800</v>
      </c>
      <c r="BT13" s="484">
        <f>BZ13+CF13+CM13+CU13+DC13+DK13</f>
        <v>30000</v>
      </c>
      <c r="BU13" s="355"/>
      <c r="BV13" s="355"/>
      <c r="BW13" s="484">
        <f t="shared" si="0"/>
        <v>0</v>
      </c>
      <c r="BX13" s="354"/>
      <c r="BY13" s="354"/>
      <c r="BZ13" s="484"/>
      <c r="CA13" s="354"/>
      <c r="CB13" s="354"/>
      <c r="CC13" s="354"/>
      <c r="CD13" s="354">
        <v>8</v>
      </c>
      <c r="CE13" s="354"/>
      <c r="CF13" s="484">
        <v>30000</v>
      </c>
      <c r="CG13" s="354"/>
      <c r="CH13" s="354"/>
      <c r="CI13" s="354"/>
      <c r="CJ13" s="367"/>
      <c r="CK13" s="354"/>
      <c r="CL13" s="354"/>
      <c r="CM13" s="354"/>
      <c r="CN13" s="354"/>
      <c r="CO13" s="354"/>
      <c r="CP13" s="354"/>
      <c r="CQ13" s="354"/>
      <c r="CR13" s="354"/>
      <c r="CS13" s="354"/>
      <c r="CT13" s="354"/>
      <c r="CU13" s="484"/>
      <c r="CV13" s="354"/>
      <c r="CW13" s="354"/>
      <c r="CX13" s="354"/>
      <c r="CY13" s="354"/>
      <c r="CZ13" s="354"/>
      <c r="DA13" s="354"/>
      <c r="DB13" s="354"/>
      <c r="DC13" s="354"/>
      <c r="DD13" s="354"/>
      <c r="DE13" s="354"/>
      <c r="DF13" s="354"/>
      <c r="DG13" s="354"/>
      <c r="DH13" s="354"/>
      <c r="DI13" s="354"/>
      <c r="DJ13" s="354"/>
      <c r="DK13" s="484"/>
      <c r="DL13" s="354"/>
      <c r="DM13" s="354"/>
      <c r="DN13" s="354"/>
      <c r="DO13" s="347"/>
    </row>
    <row r="14" spans="1:120" s="353" customFormat="1" ht="32.450000000000003" customHeight="1">
      <c r="A14" s="354">
        <v>7</v>
      </c>
      <c r="B14" s="351" t="s">
        <v>546</v>
      </c>
      <c r="C14" s="351">
        <v>2</v>
      </c>
      <c r="D14" s="354" t="s">
        <v>557</v>
      </c>
      <c r="E14" s="363">
        <v>14</v>
      </c>
      <c r="F14" s="351">
        <v>5</v>
      </c>
      <c r="G14" s="351">
        <f>134361.612/1000</f>
        <v>134.36161199999998</v>
      </c>
      <c r="H14" s="351">
        <v>134361.61199999999</v>
      </c>
      <c r="I14" s="351">
        <v>0</v>
      </c>
      <c r="J14" s="351">
        <v>65.998409999999993</v>
      </c>
      <c r="K14" s="485">
        <f t="shared" si="1"/>
        <v>200.36002199999996</v>
      </c>
      <c r="L14" s="486">
        <f>(Q14+U14+Y14+AD14+AG14+AJ14+AM14+AP14+AS14+AV14+AY14+BB14+BE14+BH14+BK14+BQ20+BT14)/1000</f>
        <v>131</v>
      </c>
      <c r="M14" s="354"/>
      <c r="N14" s="367" t="s">
        <v>225</v>
      </c>
      <c r="O14" s="367" t="s">
        <v>523</v>
      </c>
      <c r="P14" s="355" t="s">
        <v>583</v>
      </c>
      <c r="Q14" s="484">
        <f>70000</f>
        <v>70000</v>
      </c>
      <c r="R14" s="354"/>
      <c r="S14" s="354"/>
      <c r="T14" s="354"/>
      <c r="U14" s="354"/>
      <c r="V14" s="354"/>
      <c r="W14" s="354"/>
      <c r="X14" s="354"/>
      <c r="Y14" s="354"/>
      <c r="Z14" s="354"/>
      <c r="AA14" s="354"/>
      <c r="AB14" s="354"/>
      <c r="AC14" s="355"/>
      <c r="AD14" s="354"/>
      <c r="AE14" s="354">
        <v>3</v>
      </c>
      <c r="AF14" s="354" t="s">
        <v>618</v>
      </c>
      <c r="AG14" s="484">
        <v>15000</v>
      </c>
      <c r="AH14" s="354"/>
      <c r="AI14" s="354"/>
      <c r="AJ14" s="484"/>
      <c r="AK14" s="354"/>
      <c r="AL14" s="354"/>
      <c r="AM14" s="484"/>
      <c r="AN14" s="354"/>
      <c r="AO14" s="355"/>
      <c r="AP14" s="484"/>
      <c r="AQ14" s="354"/>
      <c r="AR14" s="354"/>
      <c r="AS14" s="484"/>
      <c r="AT14" s="354"/>
      <c r="AU14" s="354"/>
      <c r="AV14" s="354"/>
      <c r="AW14" s="354"/>
      <c r="AX14" s="354"/>
      <c r="AY14" s="354"/>
      <c r="AZ14" s="354"/>
      <c r="BA14" s="354"/>
      <c r="BB14" s="484"/>
      <c r="BC14" s="354"/>
      <c r="BD14" s="354"/>
      <c r="BE14" s="484"/>
      <c r="BF14" s="354"/>
      <c r="BG14" s="354"/>
      <c r="BH14" s="354"/>
      <c r="BI14" s="354"/>
      <c r="BJ14" s="354"/>
      <c r="BK14" s="354"/>
      <c r="BL14" s="354"/>
      <c r="BM14" s="354"/>
      <c r="BN14" s="354"/>
      <c r="BO14" s="354"/>
      <c r="BP14" s="354"/>
      <c r="BQ14" s="354"/>
      <c r="BR14" s="381">
        <v>9</v>
      </c>
      <c r="BS14" s="354" t="s">
        <v>619</v>
      </c>
      <c r="BT14" s="484">
        <f>BZ14+CF14+CM14+CU14+DC14+DK14+(23000*2)</f>
        <v>46000</v>
      </c>
      <c r="BU14" s="354"/>
      <c r="BV14" s="355"/>
      <c r="BW14" s="484">
        <f t="shared" si="0"/>
        <v>0</v>
      </c>
      <c r="BX14" s="354"/>
      <c r="BY14" s="354"/>
      <c r="BZ14" s="484"/>
      <c r="CA14" s="354"/>
      <c r="CB14" s="354"/>
      <c r="CC14" s="354"/>
      <c r="CD14" s="354"/>
      <c r="CE14" s="354"/>
      <c r="CF14" s="484"/>
      <c r="CG14" s="354"/>
      <c r="CH14" s="354"/>
      <c r="CI14" s="354"/>
      <c r="CJ14" s="367"/>
      <c r="CK14" s="354"/>
      <c r="CL14" s="354"/>
      <c r="CM14" s="354"/>
      <c r="CN14" s="354"/>
      <c r="CO14" s="354"/>
      <c r="CP14" s="354"/>
      <c r="CQ14" s="354"/>
      <c r="CR14" s="354"/>
      <c r="CS14" s="354"/>
      <c r="CT14" s="354"/>
      <c r="CU14" s="484"/>
      <c r="CV14" s="354"/>
      <c r="CW14" s="354"/>
      <c r="CX14" s="354"/>
      <c r="CY14" s="354"/>
      <c r="CZ14" s="354"/>
      <c r="DA14" s="354"/>
      <c r="DB14" s="354"/>
      <c r="DC14" s="354"/>
      <c r="DD14" s="354"/>
      <c r="DE14" s="354"/>
      <c r="DF14" s="354"/>
      <c r="DG14" s="354"/>
      <c r="DH14" s="354"/>
      <c r="DI14" s="354"/>
      <c r="DJ14" s="354"/>
      <c r="DK14" s="484"/>
      <c r="DL14" s="354"/>
      <c r="DM14" s="354"/>
      <c r="DN14" s="354"/>
      <c r="DO14" s="347"/>
    </row>
    <row r="15" spans="1:120" s="356" customFormat="1" ht="69.75" customHeight="1">
      <c r="A15" s="354">
        <v>9</v>
      </c>
      <c r="B15" s="354" t="s">
        <v>546</v>
      </c>
      <c r="C15" s="354">
        <v>2</v>
      </c>
      <c r="D15" s="354" t="s">
        <v>543</v>
      </c>
      <c r="E15" s="364">
        <v>2</v>
      </c>
      <c r="F15" s="354">
        <v>5</v>
      </c>
      <c r="G15" s="354">
        <f>233371.908/1000</f>
        <v>233.37190799999999</v>
      </c>
      <c r="H15" s="354">
        <v>233371.908</v>
      </c>
      <c r="I15" s="354">
        <v>0</v>
      </c>
      <c r="J15" s="354">
        <v>0.43380000000000002</v>
      </c>
      <c r="K15" s="485">
        <f t="shared" si="1"/>
        <v>233.80570799999998</v>
      </c>
      <c r="L15" s="486">
        <f>(Q15+U15+Y15+AD15+AG15+AJ15+AM15+AP15+AS15+AV15+AY15+BB15+BE15+BH15+BK15+BQ21+BT15)/1000</f>
        <v>176</v>
      </c>
      <c r="M15" s="354"/>
      <c r="N15" s="367" t="s">
        <v>229</v>
      </c>
      <c r="O15" s="367" t="s">
        <v>523</v>
      </c>
      <c r="P15" s="354">
        <v>1</v>
      </c>
      <c r="Q15" s="484">
        <v>150000</v>
      </c>
      <c r="R15" s="354"/>
      <c r="S15" s="354"/>
      <c r="T15" s="354"/>
      <c r="U15" s="354"/>
      <c r="V15" s="354"/>
      <c r="W15" s="354"/>
      <c r="X15" s="354"/>
      <c r="Y15" s="354"/>
      <c r="Z15" s="355">
        <v>6</v>
      </c>
      <c r="AA15" s="354" t="s">
        <v>324</v>
      </c>
      <c r="AB15" s="354">
        <v>20</v>
      </c>
      <c r="AC15" s="354" t="s">
        <v>552</v>
      </c>
      <c r="AD15" s="354">
        <f>AB15*1300</f>
        <v>26000</v>
      </c>
      <c r="AE15" s="367"/>
      <c r="AF15" s="355"/>
      <c r="AG15" s="484"/>
      <c r="AH15" s="354"/>
      <c r="AI15" s="354"/>
      <c r="AJ15" s="484"/>
      <c r="AK15" s="354"/>
      <c r="AL15" s="355"/>
      <c r="AM15" s="484"/>
      <c r="AN15" s="367"/>
      <c r="AO15" s="355"/>
      <c r="AP15" s="484"/>
      <c r="AQ15" s="354"/>
      <c r="AR15" s="354"/>
      <c r="AS15" s="484"/>
      <c r="AT15" s="354"/>
      <c r="AU15" s="354"/>
      <c r="AV15" s="354"/>
      <c r="AW15" s="354"/>
      <c r="AX15" s="354"/>
      <c r="AY15" s="484"/>
      <c r="AZ15" s="354"/>
      <c r="BA15" s="355"/>
      <c r="BB15" s="484"/>
      <c r="BC15" s="354"/>
      <c r="BD15" s="354"/>
      <c r="BE15" s="484"/>
      <c r="BF15" s="354"/>
      <c r="BG15" s="354"/>
      <c r="BH15" s="354"/>
      <c r="BI15" s="354"/>
      <c r="BJ15" s="354"/>
      <c r="BK15" s="354"/>
      <c r="BL15" s="354"/>
      <c r="BM15" s="354"/>
      <c r="BN15" s="354"/>
      <c r="BO15" s="354"/>
      <c r="BP15" s="354"/>
      <c r="BQ15" s="354"/>
      <c r="BR15" s="380"/>
      <c r="BS15" s="355"/>
      <c r="BT15" s="484"/>
      <c r="BU15" s="355"/>
      <c r="BV15" s="355"/>
      <c r="BW15" s="484">
        <f t="shared" si="0"/>
        <v>0</v>
      </c>
      <c r="BX15" s="354"/>
      <c r="BY15" s="354"/>
      <c r="BZ15" s="484"/>
      <c r="CA15" s="354"/>
      <c r="CB15" s="354"/>
      <c r="CC15" s="354"/>
      <c r="CD15" s="354"/>
      <c r="CE15" s="354"/>
      <c r="CF15" s="484"/>
      <c r="CG15" s="354"/>
      <c r="CH15" s="354"/>
      <c r="CI15" s="354"/>
      <c r="CJ15" s="367"/>
      <c r="CK15" s="354"/>
      <c r="CL15" s="367"/>
      <c r="CM15" s="354"/>
      <c r="CN15" s="354"/>
      <c r="CO15" s="354"/>
      <c r="CP15" s="367"/>
      <c r="CQ15" s="354"/>
      <c r="CR15" s="354"/>
      <c r="CS15" s="354"/>
      <c r="CT15" s="354"/>
      <c r="CU15" s="411"/>
      <c r="CV15" s="354"/>
      <c r="CW15" s="354"/>
      <c r="CX15" s="354"/>
      <c r="CY15" s="354"/>
      <c r="CZ15" s="354"/>
      <c r="DA15" s="354"/>
      <c r="DB15" s="354"/>
      <c r="DC15" s="354"/>
      <c r="DD15" s="354"/>
      <c r="DE15" s="354"/>
      <c r="DF15" s="354"/>
      <c r="DG15" s="354"/>
      <c r="DH15" s="354"/>
      <c r="DI15" s="354"/>
      <c r="DJ15" s="354"/>
      <c r="DK15" s="484"/>
      <c r="DL15" s="354"/>
      <c r="DM15" s="354"/>
      <c r="DN15" s="354"/>
      <c r="DO15" s="354"/>
    </row>
    <row r="16" spans="1:120" s="356" customFormat="1" ht="69.75" customHeight="1">
      <c r="A16" s="354">
        <v>8</v>
      </c>
      <c r="B16" s="354" t="s">
        <v>546</v>
      </c>
      <c r="C16" s="354">
        <v>2</v>
      </c>
      <c r="D16" s="354" t="s">
        <v>543</v>
      </c>
      <c r="E16" s="364">
        <v>30</v>
      </c>
      <c r="F16" s="354">
        <v>2</v>
      </c>
      <c r="G16" s="354">
        <f>2686446.432/1000</f>
        <v>2686.4464320000002</v>
      </c>
      <c r="H16" s="354">
        <v>2686446.432</v>
      </c>
      <c r="I16" s="354">
        <v>0</v>
      </c>
      <c r="J16" s="354">
        <v>5013.1126299999996</v>
      </c>
      <c r="K16" s="485">
        <f t="shared" si="1"/>
        <v>7699.5590620000003</v>
      </c>
      <c r="L16" s="486">
        <f>(Q16+U16+Y16+AD16+AG16+AJ16+AM16+AP16+AS16+AV16+AY16+BB16+BE16+BH16+BK16+BT16)/1000</f>
        <v>7072.5</v>
      </c>
      <c r="M16" s="354"/>
      <c r="N16" s="367" t="s">
        <v>784</v>
      </c>
      <c r="O16" s="367" t="s">
        <v>226</v>
      </c>
      <c r="P16" s="354" t="s">
        <v>614</v>
      </c>
      <c r="Q16" s="484">
        <f>5*450000</f>
        <v>2250000</v>
      </c>
      <c r="R16" s="354"/>
      <c r="S16" s="354"/>
      <c r="T16" s="354"/>
      <c r="U16" s="354"/>
      <c r="V16" s="354"/>
      <c r="W16" s="354"/>
      <c r="X16" s="354"/>
      <c r="Y16" s="354"/>
      <c r="Z16" s="355"/>
      <c r="AA16" s="354"/>
      <c r="AB16" s="354"/>
      <c r="AC16" s="354"/>
      <c r="AD16" s="354">
        <f>AB16*1700</f>
        <v>0</v>
      </c>
      <c r="AE16" s="367" t="s">
        <v>570</v>
      </c>
      <c r="AF16" s="355">
        <v>296</v>
      </c>
      <c r="AG16" s="484">
        <f>130000*8</f>
        <v>1040000</v>
      </c>
      <c r="AH16" s="354">
        <v>8</v>
      </c>
      <c r="AI16" s="354">
        <v>231</v>
      </c>
      <c r="AJ16" s="484">
        <f>AI16*2500</f>
        <v>577500</v>
      </c>
      <c r="AK16" s="354">
        <v>9</v>
      </c>
      <c r="AL16" s="355" t="s">
        <v>558</v>
      </c>
      <c r="AM16" s="484">
        <f>50*3000</f>
        <v>150000</v>
      </c>
      <c r="AN16" s="367" t="s">
        <v>785</v>
      </c>
      <c r="AO16" s="355">
        <f>220+100+296</f>
        <v>616</v>
      </c>
      <c r="AP16" s="484">
        <f>220*1500+2*180000+8*170000</f>
        <v>2050000</v>
      </c>
      <c r="AQ16" s="354"/>
      <c r="AR16" s="354"/>
      <c r="AS16" s="484"/>
      <c r="AT16" s="354"/>
      <c r="AU16" s="354"/>
      <c r="AV16" s="354"/>
      <c r="AW16" s="354"/>
      <c r="AX16" s="354"/>
      <c r="AY16" s="484"/>
      <c r="AZ16" s="354"/>
      <c r="BA16" s="355"/>
      <c r="BB16" s="484"/>
      <c r="BC16" s="354"/>
      <c r="BD16" s="354"/>
      <c r="BE16" s="484"/>
      <c r="BF16" s="354"/>
      <c r="BG16" s="354"/>
      <c r="BH16" s="354"/>
      <c r="BI16" s="354"/>
      <c r="BJ16" s="354"/>
      <c r="BK16" s="354"/>
      <c r="BL16" s="354"/>
      <c r="BM16" s="354"/>
      <c r="BN16" s="354"/>
      <c r="BO16" s="354"/>
      <c r="BP16" s="354"/>
      <c r="BQ16" s="354"/>
      <c r="BR16" s="380" t="s">
        <v>578</v>
      </c>
      <c r="BS16" s="355" t="s">
        <v>613</v>
      </c>
      <c r="BT16" s="484">
        <f>BZ16+CF16+CM16+CQ16+DC16+DK16+50000+(45000*5)+(1500*90)</f>
        <v>1005000</v>
      </c>
      <c r="BU16" s="355"/>
      <c r="BV16" s="355"/>
      <c r="BW16" s="484">
        <f t="shared" si="0"/>
        <v>0</v>
      </c>
      <c r="BX16" s="354"/>
      <c r="BY16" s="354"/>
      <c r="BZ16" s="484"/>
      <c r="CA16" s="354"/>
      <c r="CB16" s="354"/>
      <c r="CC16" s="354"/>
      <c r="CD16" s="354"/>
      <c r="CE16" s="354"/>
      <c r="CF16" s="484"/>
      <c r="CG16" s="354"/>
      <c r="CH16" s="354"/>
      <c r="CI16" s="354"/>
      <c r="CJ16" s="367" t="s">
        <v>786</v>
      </c>
      <c r="CK16" s="354">
        <v>5</v>
      </c>
      <c r="CL16" s="367" t="s">
        <v>612</v>
      </c>
      <c r="CM16" s="354">
        <f>5*119000</f>
        <v>595000</v>
      </c>
      <c r="CN16" s="354"/>
      <c r="CO16" s="354"/>
      <c r="CP16" s="367"/>
      <c r="CQ16" s="354"/>
      <c r="CR16" s="354"/>
      <c r="CS16" s="354"/>
      <c r="CT16" s="354"/>
      <c r="CU16" s="411"/>
      <c r="CV16" s="354"/>
      <c r="CW16" s="354"/>
      <c r="CX16" s="354"/>
      <c r="CY16" s="354"/>
      <c r="CZ16" s="354"/>
      <c r="DA16" s="354"/>
      <c r="DB16" s="354"/>
      <c r="DC16" s="354"/>
      <c r="DD16" s="354"/>
      <c r="DE16" s="354"/>
      <c r="DF16" s="354"/>
      <c r="DG16" s="354"/>
      <c r="DH16" s="354"/>
      <c r="DI16" s="354"/>
      <c r="DJ16" s="354"/>
      <c r="DK16" s="484"/>
      <c r="DL16" s="354"/>
      <c r="DM16" s="354"/>
      <c r="DN16" s="354"/>
      <c r="DO16" s="354"/>
    </row>
    <row r="17" spans="1:119" s="356" customFormat="1" ht="33" customHeight="1">
      <c r="A17" s="354">
        <v>10</v>
      </c>
      <c r="B17" s="351" t="s">
        <v>546</v>
      </c>
      <c r="C17" s="354">
        <v>2</v>
      </c>
      <c r="D17" s="354" t="s">
        <v>543</v>
      </c>
      <c r="E17" s="364">
        <v>275</v>
      </c>
      <c r="F17" s="354">
        <v>6</v>
      </c>
      <c r="G17" s="351">
        <f>292823.664/1000</f>
        <v>292.82366400000001</v>
      </c>
      <c r="H17" s="354">
        <v>82817.196000000011</v>
      </c>
      <c r="I17" s="354">
        <v>210006.46799999999</v>
      </c>
      <c r="J17" s="354">
        <v>240.67204000000004</v>
      </c>
      <c r="K17" s="485">
        <f t="shared" si="1"/>
        <v>533.49570400000005</v>
      </c>
      <c r="L17" s="486">
        <f>(Q17+U17+Y17+AD17+AG17+AJ17+AM17+AP17+AS17+AV17+AY17+BB17+BE17+BH17+BK17+BQ21+BT17)/1000</f>
        <v>350</v>
      </c>
      <c r="M17" s="354"/>
      <c r="N17" s="367" t="s">
        <v>250</v>
      </c>
      <c r="O17" s="367" t="s">
        <v>224</v>
      </c>
      <c r="P17" s="354">
        <v>1.2</v>
      </c>
      <c r="Q17" s="484">
        <v>300000</v>
      </c>
      <c r="R17" s="354"/>
      <c r="S17" s="354"/>
      <c r="T17" s="354"/>
      <c r="U17" s="354"/>
      <c r="V17" s="354"/>
      <c r="W17" s="354"/>
      <c r="X17" s="354"/>
      <c r="Y17" s="354"/>
      <c r="Z17" s="354"/>
      <c r="AA17" s="354"/>
      <c r="AB17" s="354"/>
      <c r="AC17" s="354"/>
      <c r="AD17" s="354"/>
      <c r="AE17" s="354"/>
      <c r="AF17" s="355"/>
      <c r="AG17" s="484"/>
      <c r="AH17" s="354"/>
      <c r="AI17" s="355"/>
      <c r="AJ17" s="484"/>
      <c r="AK17" s="354"/>
      <c r="AL17" s="355"/>
      <c r="AM17" s="484"/>
      <c r="AN17" s="354"/>
      <c r="AO17" s="355"/>
      <c r="AP17" s="484"/>
      <c r="AQ17" s="354"/>
      <c r="AR17" s="354"/>
      <c r="AS17" s="484"/>
      <c r="AT17" s="354"/>
      <c r="AU17" s="354"/>
      <c r="AV17" s="354"/>
      <c r="AW17" s="354"/>
      <c r="AX17" s="354"/>
      <c r="AY17" s="484"/>
      <c r="AZ17" s="354"/>
      <c r="BA17" s="354"/>
      <c r="BB17" s="484"/>
      <c r="BC17" s="354"/>
      <c r="BD17" s="354"/>
      <c r="BE17" s="484"/>
      <c r="BF17" s="354"/>
      <c r="BG17" s="354"/>
      <c r="BH17" s="354"/>
      <c r="BI17" s="354"/>
      <c r="BJ17" s="354"/>
      <c r="BK17" s="354"/>
      <c r="BL17" s="354"/>
      <c r="BM17" s="354"/>
      <c r="BN17" s="354"/>
      <c r="BO17" s="354"/>
      <c r="BP17" s="354"/>
      <c r="BQ17" s="354"/>
      <c r="BR17" s="381">
        <v>11</v>
      </c>
      <c r="BS17" s="355" t="s">
        <v>616</v>
      </c>
      <c r="BT17" s="484">
        <f>BZ17+CF17+CM17+CU17+DC17+DK17+50000</f>
        <v>50000</v>
      </c>
      <c r="BU17" s="354"/>
      <c r="BV17" s="355"/>
      <c r="BW17" s="484">
        <f t="shared" si="0"/>
        <v>0</v>
      </c>
      <c r="BX17" s="354"/>
      <c r="BY17" s="354"/>
      <c r="BZ17" s="484"/>
      <c r="CA17" s="354"/>
      <c r="CB17" s="354"/>
      <c r="CC17" s="354"/>
      <c r="CD17" s="354"/>
      <c r="CE17" s="354"/>
      <c r="CF17" s="484"/>
      <c r="CG17" s="354"/>
      <c r="CH17" s="354"/>
      <c r="CI17" s="354"/>
      <c r="CJ17" s="367"/>
      <c r="CK17" s="354"/>
      <c r="CL17" s="354"/>
      <c r="CM17" s="354"/>
      <c r="CN17" s="354"/>
      <c r="CO17" s="354"/>
      <c r="CP17" s="354"/>
      <c r="CQ17" s="354"/>
      <c r="CR17" s="354"/>
      <c r="CS17" s="354"/>
      <c r="CT17" s="354"/>
      <c r="CU17" s="484"/>
      <c r="CV17" s="354"/>
      <c r="CW17" s="354"/>
      <c r="CX17" s="354"/>
      <c r="CY17" s="354"/>
      <c r="CZ17" s="354"/>
      <c r="DA17" s="354"/>
      <c r="DB17" s="354"/>
      <c r="DC17" s="354"/>
      <c r="DD17" s="354"/>
      <c r="DE17" s="354"/>
      <c r="DF17" s="354"/>
      <c r="DG17" s="354"/>
      <c r="DH17" s="354"/>
      <c r="DI17" s="354"/>
      <c r="DJ17" s="354"/>
      <c r="DK17" s="484"/>
      <c r="DL17" s="354"/>
      <c r="DM17" s="354"/>
      <c r="DN17" s="354"/>
      <c r="DO17" s="354"/>
    </row>
    <row r="18" spans="1:119" s="353" customFormat="1" ht="31.5" customHeight="1">
      <c r="A18" s="354">
        <v>11</v>
      </c>
      <c r="B18" s="351" t="s">
        <v>546</v>
      </c>
      <c r="C18" s="351">
        <v>2</v>
      </c>
      <c r="D18" s="354" t="s">
        <v>544</v>
      </c>
      <c r="E18" s="351">
        <v>54</v>
      </c>
      <c r="F18" s="351">
        <v>5</v>
      </c>
      <c r="G18" s="351">
        <f>295517.376/1000</f>
        <v>295.51737600000001</v>
      </c>
      <c r="H18" s="351">
        <v>295517.37599999993</v>
      </c>
      <c r="I18" s="351">
        <v>0</v>
      </c>
      <c r="J18" s="351">
        <v>250.28307999999993</v>
      </c>
      <c r="K18" s="485">
        <f t="shared" si="1"/>
        <v>545.80045599999994</v>
      </c>
      <c r="L18" s="486">
        <f>(Q18+U18+Y18+AD18+AG18+AJ18+AM18+AP18+AS18+AV18+AY18+BB18+BE18+BH18+BK18+BQ22+BT18)/1000</f>
        <v>0</v>
      </c>
      <c r="M18" s="354"/>
      <c r="N18" s="367" t="s">
        <v>582</v>
      </c>
      <c r="O18" s="367"/>
      <c r="P18" s="354"/>
      <c r="Q18" s="484"/>
      <c r="R18" s="354"/>
      <c r="S18" s="354"/>
      <c r="T18" s="354"/>
      <c r="U18" s="354"/>
      <c r="V18" s="354"/>
      <c r="W18" s="354"/>
      <c r="X18" s="354"/>
      <c r="Y18" s="354">
        <f>W18*900</f>
        <v>0</v>
      </c>
      <c r="Z18" s="354"/>
      <c r="AA18" s="354"/>
      <c r="AB18" s="354"/>
      <c r="AC18" s="355"/>
      <c r="AD18" s="354"/>
      <c r="AE18" s="354"/>
      <c r="AF18" s="354"/>
      <c r="AG18" s="484"/>
      <c r="AH18" s="354"/>
      <c r="AI18" s="354"/>
      <c r="AJ18" s="484"/>
      <c r="AK18" s="354"/>
      <c r="AL18" s="354"/>
      <c r="AM18" s="484"/>
      <c r="AN18" s="354"/>
      <c r="AO18" s="355"/>
      <c r="AP18" s="484"/>
      <c r="AQ18" s="354"/>
      <c r="AR18" s="354"/>
      <c r="AS18" s="354"/>
      <c r="AT18" s="354"/>
      <c r="AU18" s="354"/>
      <c r="AV18" s="354"/>
      <c r="AW18" s="354"/>
      <c r="AX18" s="354"/>
      <c r="AY18" s="354"/>
      <c r="AZ18" s="354"/>
      <c r="BA18" s="354"/>
      <c r="BB18" s="484"/>
      <c r="BC18" s="354"/>
      <c r="BD18" s="354"/>
      <c r="BE18" s="484"/>
      <c r="BF18" s="354"/>
      <c r="BG18" s="354"/>
      <c r="BH18" s="354"/>
      <c r="BI18" s="354"/>
      <c r="BJ18" s="354"/>
      <c r="BK18" s="354"/>
      <c r="BL18" s="354"/>
      <c r="BM18" s="354"/>
      <c r="BN18" s="354"/>
      <c r="BO18" s="354"/>
      <c r="BP18" s="354"/>
      <c r="BQ18" s="354"/>
      <c r="BR18" s="381"/>
      <c r="BS18" s="354"/>
      <c r="BT18" s="484">
        <f>BZ18+CF18+CM18+CU18+DC18+DK18</f>
        <v>0</v>
      </c>
      <c r="BU18" s="354"/>
      <c r="BV18" s="355"/>
      <c r="BW18" s="484">
        <f t="shared" si="0"/>
        <v>0</v>
      </c>
      <c r="BX18" s="354"/>
      <c r="BY18" s="354"/>
      <c r="BZ18" s="354"/>
      <c r="CA18" s="354"/>
      <c r="CB18" s="354"/>
      <c r="CC18" s="354"/>
      <c r="CD18" s="354"/>
      <c r="CE18" s="354"/>
      <c r="CF18" s="484"/>
      <c r="CG18" s="354"/>
      <c r="CH18" s="354"/>
      <c r="CI18" s="354"/>
      <c r="CJ18" s="367"/>
      <c r="CK18" s="354"/>
      <c r="CL18" s="354"/>
      <c r="CM18" s="354"/>
      <c r="CN18" s="354"/>
      <c r="CO18" s="354"/>
      <c r="CP18" s="354"/>
      <c r="CQ18" s="354"/>
      <c r="CR18" s="354"/>
      <c r="CS18" s="354"/>
      <c r="CT18" s="354"/>
      <c r="CU18" s="484"/>
      <c r="CV18" s="354"/>
      <c r="CW18" s="354"/>
      <c r="CX18" s="354"/>
      <c r="CY18" s="354"/>
      <c r="CZ18" s="354"/>
      <c r="DA18" s="354"/>
      <c r="DB18" s="354"/>
      <c r="DC18" s="354"/>
      <c r="DD18" s="354"/>
      <c r="DE18" s="354"/>
      <c r="DF18" s="354"/>
      <c r="DG18" s="354"/>
      <c r="DH18" s="354"/>
      <c r="DI18" s="354"/>
      <c r="DJ18" s="354"/>
      <c r="DK18" s="484"/>
      <c r="DL18" s="354"/>
      <c r="DM18" s="354"/>
      <c r="DN18" s="354"/>
      <c r="DO18" s="347"/>
    </row>
    <row r="19" spans="1:119" s="358" customFormat="1" ht="34.15" customHeight="1">
      <c r="A19" s="354"/>
      <c r="B19" s="357"/>
      <c r="C19" s="357"/>
      <c r="D19" s="357" t="s">
        <v>209</v>
      </c>
      <c r="E19" s="365"/>
      <c r="F19" s="357"/>
      <c r="G19" s="352">
        <f t="shared" ref="G19:L19" si="2">SUM(G8:G18)</f>
        <v>5162.8196795999993</v>
      </c>
      <c r="H19" s="384">
        <f t="shared" si="2"/>
        <v>4952813.211600001</v>
      </c>
      <c r="I19" s="384">
        <f t="shared" si="2"/>
        <v>210006.46799999999</v>
      </c>
      <c r="J19" s="352">
        <f t="shared" si="2"/>
        <v>6256.7157100000004</v>
      </c>
      <c r="K19" s="485">
        <f t="shared" si="2"/>
        <v>11419.535389600002</v>
      </c>
      <c r="L19" s="489">
        <f t="shared" si="2"/>
        <v>9519.5</v>
      </c>
      <c r="M19" s="459">
        <f>SUM(M8:M16)</f>
        <v>0</v>
      </c>
      <c r="N19" s="459"/>
      <c r="O19" s="490">
        <f>SUM(O8:O18)</f>
        <v>0</v>
      </c>
      <c r="P19" s="459">
        <f>SUM(P8:P14)</f>
        <v>1</v>
      </c>
      <c r="Q19" s="491">
        <f>SUM(Q8:Q18)</f>
        <v>3490000</v>
      </c>
      <c r="R19" s="491">
        <f t="shared" ref="R19:AV19" si="3">SUM(R8:R18)</f>
        <v>0</v>
      </c>
      <c r="S19" s="491">
        <f t="shared" si="3"/>
        <v>0</v>
      </c>
      <c r="T19" s="491">
        <f t="shared" si="3"/>
        <v>0</v>
      </c>
      <c r="U19" s="491">
        <f t="shared" si="3"/>
        <v>0</v>
      </c>
      <c r="V19" s="491">
        <f t="shared" si="3"/>
        <v>0</v>
      </c>
      <c r="W19" s="491">
        <f t="shared" si="3"/>
        <v>0</v>
      </c>
      <c r="X19" s="491">
        <f t="shared" si="3"/>
        <v>0</v>
      </c>
      <c r="Y19" s="491">
        <f t="shared" si="3"/>
        <v>0</v>
      </c>
      <c r="Z19" s="491"/>
      <c r="AA19" s="491">
        <f t="shared" si="3"/>
        <v>0</v>
      </c>
      <c r="AB19" s="491">
        <f t="shared" si="3"/>
        <v>420</v>
      </c>
      <c r="AC19" s="491"/>
      <c r="AD19" s="491">
        <f t="shared" si="3"/>
        <v>306000</v>
      </c>
      <c r="AE19" s="491"/>
      <c r="AF19" s="491">
        <f t="shared" si="3"/>
        <v>296</v>
      </c>
      <c r="AG19" s="491">
        <f t="shared" si="3"/>
        <v>1055000</v>
      </c>
      <c r="AH19" s="491"/>
      <c r="AI19" s="491">
        <f t="shared" si="3"/>
        <v>231</v>
      </c>
      <c r="AJ19" s="491">
        <f t="shared" si="3"/>
        <v>577500</v>
      </c>
      <c r="AK19" s="491"/>
      <c r="AL19" s="491">
        <f t="shared" si="3"/>
        <v>80</v>
      </c>
      <c r="AM19" s="491">
        <f t="shared" si="3"/>
        <v>390000</v>
      </c>
      <c r="AN19" s="491"/>
      <c r="AO19" s="491">
        <f t="shared" si="3"/>
        <v>616</v>
      </c>
      <c r="AP19" s="491">
        <f t="shared" si="3"/>
        <v>2128000</v>
      </c>
      <c r="AQ19" s="491">
        <f t="shared" si="3"/>
        <v>0</v>
      </c>
      <c r="AR19" s="491">
        <f t="shared" si="3"/>
        <v>0</v>
      </c>
      <c r="AS19" s="491">
        <f t="shared" si="3"/>
        <v>0</v>
      </c>
      <c r="AT19" s="491">
        <f t="shared" si="3"/>
        <v>0</v>
      </c>
      <c r="AU19" s="491">
        <f t="shared" si="3"/>
        <v>0</v>
      </c>
      <c r="AV19" s="491">
        <f t="shared" si="3"/>
        <v>0</v>
      </c>
      <c r="AW19" s="491">
        <f t="shared" ref="AW19:CU19" si="4">SUM(AW8:AW18)</f>
        <v>0</v>
      </c>
      <c r="AX19" s="491">
        <f t="shared" si="4"/>
        <v>0</v>
      </c>
      <c r="AY19" s="491">
        <f t="shared" si="4"/>
        <v>0</v>
      </c>
      <c r="AZ19" s="491"/>
      <c r="BA19" s="491">
        <f t="shared" si="4"/>
        <v>0</v>
      </c>
      <c r="BB19" s="491">
        <f t="shared" si="4"/>
        <v>200000</v>
      </c>
      <c r="BC19" s="491">
        <f t="shared" si="4"/>
        <v>0</v>
      </c>
      <c r="BD19" s="491">
        <f t="shared" si="4"/>
        <v>0</v>
      </c>
      <c r="BE19" s="491">
        <f t="shared" si="4"/>
        <v>0</v>
      </c>
      <c r="BF19" s="491">
        <f t="shared" si="4"/>
        <v>0</v>
      </c>
      <c r="BG19" s="491">
        <f t="shared" si="4"/>
        <v>0</v>
      </c>
      <c r="BH19" s="491">
        <f t="shared" si="4"/>
        <v>0</v>
      </c>
      <c r="BI19" s="491">
        <f t="shared" si="4"/>
        <v>0</v>
      </c>
      <c r="BJ19" s="491">
        <f t="shared" si="4"/>
        <v>0</v>
      </c>
      <c r="BK19" s="491">
        <f t="shared" si="4"/>
        <v>0</v>
      </c>
      <c r="BL19" s="491">
        <f t="shared" si="4"/>
        <v>0</v>
      </c>
      <c r="BM19" s="491">
        <f t="shared" si="4"/>
        <v>0</v>
      </c>
      <c r="BN19" s="491">
        <f t="shared" si="4"/>
        <v>0</v>
      </c>
      <c r="BO19" s="491">
        <f t="shared" si="4"/>
        <v>0</v>
      </c>
      <c r="BP19" s="491">
        <f t="shared" si="4"/>
        <v>0</v>
      </c>
      <c r="BQ19" s="491">
        <f t="shared" si="4"/>
        <v>0</v>
      </c>
      <c r="BR19" s="491"/>
      <c r="BS19" s="491">
        <f t="shared" si="4"/>
        <v>0</v>
      </c>
      <c r="BT19" s="491">
        <f t="shared" si="4"/>
        <v>1373000</v>
      </c>
      <c r="BU19" s="497">
        <f t="shared" si="4"/>
        <v>0</v>
      </c>
      <c r="BV19" s="497">
        <f t="shared" si="4"/>
        <v>0</v>
      </c>
      <c r="BW19" s="497">
        <f t="shared" si="4"/>
        <v>0</v>
      </c>
      <c r="BX19" s="497">
        <f t="shared" si="4"/>
        <v>0</v>
      </c>
      <c r="BY19" s="497">
        <f t="shared" si="4"/>
        <v>0</v>
      </c>
      <c r="BZ19" s="497">
        <f t="shared" si="4"/>
        <v>0</v>
      </c>
      <c r="CA19" s="497">
        <f t="shared" si="4"/>
        <v>0</v>
      </c>
      <c r="CB19" s="497">
        <f t="shared" si="4"/>
        <v>0</v>
      </c>
      <c r="CC19" s="497">
        <f t="shared" si="4"/>
        <v>0</v>
      </c>
      <c r="CD19" s="497">
        <f t="shared" si="4"/>
        <v>8</v>
      </c>
      <c r="CE19" s="497">
        <f t="shared" si="4"/>
        <v>0</v>
      </c>
      <c r="CF19" s="497">
        <f t="shared" si="4"/>
        <v>30000</v>
      </c>
      <c r="CG19" s="497">
        <f t="shared" si="4"/>
        <v>0</v>
      </c>
      <c r="CH19" s="497">
        <f t="shared" si="4"/>
        <v>0</v>
      </c>
      <c r="CI19" s="497">
        <f t="shared" si="4"/>
        <v>0</v>
      </c>
      <c r="CJ19" s="496">
        <f t="shared" si="4"/>
        <v>0</v>
      </c>
      <c r="CK19" s="497">
        <f t="shared" si="4"/>
        <v>5</v>
      </c>
      <c r="CL19" s="497">
        <f t="shared" si="4"/>
        <v>0</v>
      </c>
      <c r="CM19" s="497">
        <f t="shared" si="4"/>
        <v>595000</v>
      </c>
      <c r="CN19" s="497"/>
      <c r="CO19" s="497"/>
      <c r="CP19" s="497"/>
      <c r="CQ19" s="497"/>
      <c r="CR19" s="497">
        <f t="shared" si="4"/>
        <v>0</v>
      </c>
      <c r="CS19" s="497">
        <f t="shared" si="4"/>
        <v>0</v>
      </c>
      <c r="CT19" s="497">
        <f t="shared" si="4"/>
        <v>0</v>
      </c>
      <c r="CU19" s="497">
        <f t="shared" si="4"/>
        <v>0</v>
      </c>
      <c r="CV19" s="497">
        <f t="shared" ref="CV19:DK19" si="5">SUM(CV8:CV18)</f>
        <v>0</v>
      </c>
      <c r="CW19" s="497">
        <f t="shared" si="5"/>
        <v>0</v>
      </c>
      <c r="CX19" s="497">
        <f t="shared" si="5"/>
        <v>0</v>
      </c>
      <c r="CY19" s="497">
        <f t="shared" si="5"/>
        <v>0</v>
      </c>
      <c r="CZ19" s="497">
        <f t="shared" si="5"/>
        <v>0</v>
      </c>
      <c r="DA19" s="497">
        <f t="shared" si="5"/>
        <v>0</v>
      </c>
      <c r="DB19" s="497">
        <f t="shared" si="5"/>
        <v>0</v>
      </c>
      <c r="DC19" s="497">
        <f t="shared" si="5"/>
        <v>0</v>
      </c>
      <c r="DD19" s="497">
        <f t="shared" si="5"/>
        <v>0</v>
      </c>
      <c r="DE19" s="497">
        <f t="shared" si="5"/>
        <v>0</v>
      </c>
      <c r="DF19" s="497">
        <f t="shared" si="5"/>
        <v>0</v>
      </c>
      <c r="DG19" s="497">
        <f t="shared" si="5"/>
        <v>0</v>
      </c>
      <c r="DH19" s="497">
        <f t="shared" si="5"/>
        <v>9</v>
      </c>
      <c r="DI19" s="497">
        <f t="shared" si="5"/>
        <v>2</v>
      </c>
      <c r="DJ19" s="497">
        <f t="shared" si="5"/>
        <v>0</v>
      </c>
      <c r="DK19" s="497">
        <f t="shared" si="5"/>
        <v>30000</v>
      </c>
      <c r="DL19" s="497">
        <f>SUM(DL8:DL18)</f>
        <v>0</v>
      </c>
      <c r="DM19" s="497">
        <f>SUM(DM8:DM18)</f>
        <v>0</v>
      </c>
      <c r="DN19" s="497">
        <f>SUM(DN8:DN18)</f>
        <v>0</v>
      </c>
      <c r="DO19" s="498">
        <f>SUM(DO8:DO18)</f>
        <v>0</v>
      </c>
    </row>
    <row r="20" spans="1:119" s="500" customFormat="1" ht="11.25">
      <c r="A20" s="499"/>
      <c r="E20" s="501"/>
      <c r="K20" s="502"/>
      <c r="L20" s="503"/>
      <c r="M20" s="503"/>
      <c r="N20" s="503"/>
      <c r="O20" s="504"/>
      <c r="P20" s="503"/>
      <c r="Q20" s="505"/>
      <c r="R20" s="503"/>
      <c r="S20" s="503"/>
      <c r="T20" s="503"/>
      <c r="U20" s="503"/>
      <c r="V20" s="503"/>
      <c r="W20" s="503"/>
      <c r="X20" s="503"/>
      <c r="Y20" s="503"/>
      <c r="Z20" s="503"/>
      <c r="AA20" s="503"/>
      <c r="AB20" s="503"/>
      <c r="AC20" s="503"/>
      <c r="AD20" s="505"/>
      <c r="AE20" s="503"/>
      <c r="AF20" s="503"/>
      <c r="AG20" s="505"/>
      <c r="AH20" s="503"/>
      <c r="AI20" s="503"/>
      <c r="AJ20" s="505"/>
      <c r="AK20" s="503"/>
      <c r="AL20" s="503"/>
      <c r="AM20" s="505"/>
      <c r="AN20" s="503"/>
      <c r="AO20" s="503"/>
      <c r="AP20" s="505"/>
      <c r="AQ20" s="503"/>
      <c r="AR20" s="503"/>
      <c r="AS20" s="503"/>
      <c r="AT20" s="503"/>
      <c r="AU20" s="503"/>
      <c r="AV20" s="503"/>
      <c r="AW20" s="503"/>
      <c r="AX20" s="503"/>
      <c r="AY20" s="503"/>
      <c r="AZ20" s="503"/>
      <c r="BA20" s="503"/>
      <c r="BB20" s="505"/>
      <c r="BC20" s="503"/>
      <c r="BD20" s="503"/>
      <c r="BE20" s="503"/>
      <c r="BF20" s="503"/>
      <c r="BG20" s="503"/>
      <c r="BH20" s="503"/>
      <c r="BI20" s="503"/>
      <c r="BJ20" s="503"/>
      <c r="BK20" s="503"/>
      <c r="BL20" s="503"/>
      <c r="BM20" s="503"/>
      <c r="BN20" s="503"/>
      <c r="BO20" s="503"/>
      <c r="BP20" s="503"/>
      <c r="BQ20" s="503"/>
      <c r="BR20" s="506"/>
      <c r="BS20" s="503"/>
      <c r="BT20" s="503"/>
      <c r="BU20" s="503"/>
      <c r="BV20" s="503"/>
      <c r="BW20" s="505"/>
      <c r="BX20" s="503"/>
      <c r="BY20" s="503"/>
      <c r="BZ20" s="503"/>
      <c r="CA20" s="503"/>
      <c r="CB20" s="503"/>
      <c r="CC20" s="503"/>
      <c r="CD20" s="503"/>
      <c r="CE20" s="503"/>
      <c r="CF20" s="503"/>
      <c r="CG20" s="503"/>
      <c r="CH20" s="503"/>
      <c r="CI20" s="503"/>
      <c r="CJ20" s="504"/>
      <c r="CK20" s="503"/>
      <c r="CL20" s="503"/>
      <c r="CM20" s="503"/>
      <c r="CN20" s="503"/>
      <c r="CO20" s="503"/>
      <c r="CP20" s="503"/>
      <c r="CQ20" s="503"/>
      <c r="CR20" s="503"/>
      <c r="CS20" s="503"/>
      <c r="CT20" s="503"/>
      <c r="CU20" s="505"/>
      <c r="CV20" s="503"/>
      <c r="CW20" s="503"/>
      <c r="CX20" s="503"/>
      <c r="CY20" s="503"/>
      <c r="CZ20" s="503"/>
      <c r="DA20" s="503"/>
      <c r="DB20" s="503"/>
      <c r="DC20" s="503"/>
      <c r="DD20" s="503"/>
      <c r="DE20" s="503"/>
      <c r="DF20" s="503"/>
      <c r="DG20" s="503"/>
      <c r="DH20" s="503"/>
      <c r="DI20" s="503"/>
      <c r="DJ20" s="503"/>
      <c r="DK20" s="505"/>
      <c r="DL20" s="503"/>
      <c r="DM20" s="503"/>
      <c r="DN20" s="503"/>
    </row>
    <row r="21" spans="1:119" s="500" customFormat="1" ht="11.25">
      <c r="A21" s="499"/>
      <c r="E21" s="501"/>
      <c r="K21" s="502"/>
      <c r="L21" s="503"/>
      <c r="M21" s="503"/>
      <c r="N21" s="503"/>
      <c r="O21" s="504"/>
      <c r="P21" s="503"/>
      <c r="Q21" s="505"/>
      <c r="R21" s="503"/>
      <c r="S21" s="503"/>
      <c r="T21" s="503"/>
      <c r="U21" s="503"/>
      <c r="V21" s="503"/>
      <c r="W21" s="503"/>
      <c r="X21" s="503"/>
      <c r="Y21" s="503"/>
      <c r="Z21" s="503"/>
      <c r="AA21" s="503"/>
      <c r="AB21" s="503"/>
      <c r="AC21" s="503"/>
      <c r="AD21" s="505"/>
      <c r="AE21" s="503"/>
      <c r="AF21" s="503"/>
      <c r="AG21" s="505"/>
      <c r="AH21" s="503"/>
      <c r="AI21" s="503"/>
      <c r="AJ21" s="505"/>
      <c r="AK21" s="503"/>
      <c r="AL21" s="503"/>
      <c r="AM21" s="505"/>
      <c r="AN21" s="503"/>
      <c r="AO21" s="503"/>
      <c r="AP21" s="505"/>
      <c r="AQ21" s="503"/>
      <c r="AR21" s="503"/>
      <c r="AS21" s="503"/>
      <c r="AT21" s="503"/>
      <c r="AU21" s="503"/>
      <c r="AV21" s="503"/>
      <c r="AW21" s="503"/>
      <c r="AX21" s="503"/>
      <c r="AY21" s="503"/>
      <c r="AZ21" s="503"/>
      <c r="BA21" s="503"/>
      <c r="BB21" s="505"/>
      <c r="BC21" s="503"/>
      <c r="BD21" s="503"/>
      <c r="BE21" s="503"/>
      <c r="BF21" s="503"/>
      <c r="BG21" s="503"/>
      <c r="BH21" s="503"/>
      <c r="BI21" s="503"/>
      <c r="BJ21" s="503"/>
      <c r="BK21" s="503"/>
      <c r="BL21" s="503"/>
      <c r="BM21" s="503"/>
      <c r="BN21" s="503"/>
      <c r="BO21" s="503"/>
      <c r="BP21" s="503"/>
      <c r="BQ21" s="503"/>
      <c r="BR21" s="506"/>
      <c r="BS21" s="503"/>
      <c r="BT21" s="503"/>
      <c r="BU21" s="503"/>
      <c r="BV21" s="503"/>
      <c r="BW21" s="505"/>
      <c r="BX21" s="503"/>
      <c r="BY21" s="503"/>
      <c r="BZ21" s="503"/>
      <c r="CA21" s="503"/>
      <c r="CB21" s="503"/>
      <c r="CC21" s="503"/>
      <c r="CD21" s="503"/>
      <c r="CE21" s="503"/>
      <c r="CF21" s="503"/>
      <c r="CG21" s="503"/>
      <c r="CH21" s="503"/>
      <c r="CI21" s="503"/>
      <c r="CJ21" s="504"/>
      <c r="CK21" s="503"/>
      <c r="CL21" s="503"/>
      <c r="CM21" s="503"/>
      <c r="CN21" s="503"/>
      <c r="CO21" s="503"/>
      <c r="CP21" s="503"/>
      <c r="CQ21" s="503"/>
      <c r="CR21" s="503"/>
      <c r="CS21" s="503"/>
      <c r="CT21" s="503"/>
      <c r="CU21" s="505"/>
      <c r="CV21" s="503"/>
      <c r="CW21" s="503"/>
      <c r="CX21" s="503"/>
      <c r="CY21" s="503"/>
      <c r="CZ21" s="503"/>
      <c r="DA21" s="503"/>
      <c r="DB21" s="503"/>
      <c r="DC21" s="503"/>
      <c r="DD21" s="503"/>
      <c r="DE21" s="503"/>
      <c r="DF21" s="503"/>
      <c r="DG21" s="503"/>
      <c r="DH21" s="503"/>
      <c r="DI21" s="503"/>
      <c r="DJ21" s="503"/>
      <c r="DK21" s="505"/>
      <c r="DL21" s="503"/>
      <c r="DM21" s="503"/>
      <c r="DN21" s="503"/>
    </row>
    <row r="22" spans="1:119" s="500" customFormat="1" ht="11.25">
      <c r="A22" s="499"/>
      <c r="D22" s="500" t="s">
        <v>457</v>
      </c>
      <c r="E22" s="501"/>
      <c r="K22" s="502"/>
      <c r="L22" s="503"/>
      <c r="M22" s="503"/>
      <c r="N22" s="503"/>
      <c r="O22" s="504" t="s">
        <v>1011</v>
      </c>
      <c r="P22" s="503"/>
      <c r="Q22" s="505"/>
      <c r="R22" s="503"/>
      <c r="S22" s="503"/>
      <c r="T22" s="503"/>
      <c r="U22" s="503"/>
      <c r="V22" s="503"/>
      <c r="W22" s="503"/>
      <c r="X22" s="503"/>
      <c r="Y22" s="503"/>
      <c r="Z22" s="503"/>
      <c r="AA22" s="503"/>
      <c r="AB22" s="503"/>
      <c r="AC22" s="503"/>
      <c r="AD22" s="505"/>
      <c r="AE22" s="503"/>
      <c r="AF22" s="503"/>
      <c r="AG22" s="505"/>
      <c r="AH22" s="503"/>
      <c r="AI22" s="503"/>
      <c r="AJ22" s="505"/>
      <c r="AK22" s="503"/>
      <c r="AL22" s="503"/>
      <c r="AM22" s="505"/>
      <c r="AN22" s="503"/>
      <c r="AO22" s="503"/>
      <c r="AP22" s="505"/>
      <c r="AQ22" s="503"/>
      <c r="AR22" s="503"/>
      <c r="AS22" s="503"/>
      <c r="AT22" s="503"/>
      <c r="AU22" s="503"/>
      <c r="AV22" s="503"/>
      <c r="AW22" s="503"/>
      <c r="AX22" s="503"/>
      <c r="AY22" s="503"/>
      <c r="AZ22" s="503"/>
      <c r="BA22" s="503"/>
      <c r="BB22" s="505"/>
      <c r="BC22" s="503"/>
      <c r="BD22" s="503"/>
      <c r="BE22" s="503"/>
      <c r="BF22" s="503"/>
      <c r="BG22" s="503"/>
      <c r="BH22" s="503"/>
      <c r="BI22" s="503"/>
      <c r="BJ22" s="503"/>
      <c r="BK22" s="503"/>
      <c r="BL22" s="503"/>
      <c r="BM22" s="503"/>
      <c r="BN22" s="503"/>
      <c r="BO22" s="503"/>
      <c r="BP22" s="503"/>
      <c r="BQ22" s="503"/>
      <c r="BR22" s="506"/>
      <c r="BS22" s="503"/>
      <c r="BT22" s="503"/>
      <c r="BU22" s="503"/>
      <c r="BV22" s="503"/>
      <c r="BW22" s="505"/>
      <c r="BX22" s="503"/>
      <c r="BY22" s="503"/>
      <c r="BZ22" s="503"/>
      <c r="CA22" s="503"/>
      <c r="CB22" s="503"/>
      <c r="CC22" s="503"/>
      <c r="CD22" s="503"/>
      <c r="CE22" s="503"/>
      <c r="CF22" s="503"/>
      <c r="CG22" s="503"/>
      <c r="CH22" s="503"/>
      <c r="CI22" s="503"/>
      <c r="CJ22" s="504"/>
      <c r="CK22" s="503"/>
      <c r="CL22" s="503"/>
      <c r="CM22" s="503"/>
      <c r="CN22" s="503"/>
      <c r="CO22" s="503"/>
      <c r="CP22" s="503"/>
      <c r="CQ22" s="503"/>
      <c r="CR22" s="503"/>
      <c r="CS22" s="503"/>
      <c r="CT22" s="503"/>
      <c r="CU22" s="505"/>
      <c r="CV22" s="503"/>
      <c r="CW22" s="503"/>
      <c r="CX22" s="503"/>
      <c r="CY22" s="503"/>
      <c r="CZ22" s="503"/>
      <c r="DA22" s="503"/>
      <c r="DB22" s="503"/>
      <c r="DC22" s="503"/>
      <c r="DD22" s="503"/>
      <c r="DE22" s="503"/>
      <c r="DF22" s="503"/>
      <c r="DG22" s="503"/>
      <c r="DH22" s="503"/>
      <c r="DI22" s="503"/>
      <c r="DJ22" s="503"/>
      <c r="DK22" s="505"/>
      <c r="DL22" s="503"/>
      <c r="DM22" s="503"/>
      <c r="DN22" s="503"/>
    </row>
    <row r="23" spans="1:119" s="500" customFormat="1" ht="11.25">
      <c r="A23" s="499"/>
      <c r="E23" s="501"/>
      <c r="K23" s="502"/>
      <c r="L23" s="503"/>
      <c r="M23" s="503"/>
      <c r="N23" s="503"/>
      <c r="O23" s="504"/>
      <c r="P23" s="503"/>
      <c r="Q23" s="505"/>
      <c r="R23" s="503"/>
      <c r="S23" s="503"/>
      <c r="T23" s="503"/>
      <c r="U23" s="503"/>
      <c r="V23" s="503"/>
      <c r="W23" s="503"/>
      <c r="X23" s="503"/>
      <c r="Y23" s="503"/>
      <c r="Z23" s="503"/>
      <c r="AA23" s="503"/>
      <c r="AB23" s="503"/>
      <c r="AC23" s="503"/>
      <c r="AD23" s="505"/>
      <c r="AE23" s="503"/>
      <c r="AF23" s="503"/>
      <c r="AG23" s="505"/>
      <c r="AH23" s="503"/>
      <c r="AI23" s="503"/>
      <c r="AJ23" s="505"/>
      <c r="AK23" s="503"/>
      <c r="AL23" s="503"/>
      <c r="AM23" s="505"/>
      <c r="AN23" s="503"/>
      <c r="AO23" s="503"/>
      <c r="AP23" s="505"/>
      <c r="AQ23" s="503"/>
      <c r="AR23" s="503"/>
      <c r="AS23" s="503"/>
      <c r="AT23" s="503"/>
      <c r="AU23" s="503"/>
      <c r="AV23" s="503"/>
      <c r="AW23" s="503"/>
      <c r="AX23" s="503"/>
      <c r="AY23" s="503"/>
      <c r="AZ23" s="503"/>
      <c r="BA23" s="503"/>
      <c r="BB23" s="505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503"/>
      <c r="BO23" s="503"/>
      <c r="BP23" s="503"/>
      <c r="BQ23" s="503"/>
      <c r="BR23" s="506"/>
      <c r="BS23" s="503"/>
      <c r="BT23" s="503"/>
      <c r="BU23" s="503"/>
      <c r="BV23" s="503"/>
      <c r="BW23" s="505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4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5"/>
      <c r="CV23" s="503"/>
      <c r="CW23" s="503"/>
      <c r="CX23" s="503"/>
      <c r="CY23" s="503"/>
      <c r="CZ23" s="503"/>
      <c r="DA23" s="503"/>
      <c r="DB23" s="503"/>
      <c r="DC23" s="503"/>
      <c r="DD23" s="503"/>
      <c r="DE23" s="503"/>
      <c r="DF23" s="503"/>
      <c r="DG23" s="503"/>
      <c r="DH23" s="503"/>
      <c r="DI23" s="503"/>
      <c r="DJ23" s="503"/>
      <c r="DK23" s="505"/>
      <c r="DL23" s="503"/>
      <c r="DM23" s="503"/>
      <c r="DN23" s="503"/>
    </row>
    <row r="24" spans="1:119" s="500" customFormat="1" ht="11.25">
      <c r="A24" s="507"/>
      <c r="E24" s="501"/>
      <c r="K24" s="502"/>
      <c r="L24" s="503"/>
      <c r="M24" s="503"/>
      <c r="N24" s="503"/>
      <c r="O24" s="504"/>
      <c r="P24" s="503"/>
      <c r="Q24" s="505"/>
      <c r="R24" s="503"/>
      <c r="S24" s="503"/>
      <c r="T24" s="503"/>
      <c r="U24" s="503"/>
      <c r="V24" s="503"/>
      <c r="W24" s="503"/>
      <c r="X24" s="503"/>
      <c r="Y24" s="503"/>
      <c r="Z24" s="503"/>
      <c r="AA24" s="503"/>
      <c r="AB24" s="503"/>
      <c r="AC24" s="503"/>
      <c r="AD24" s="505"/>
      <c r="AE24" s="503"/>
      <c r="AF24" s="503"/>
      <c r="AG24" s="505"/>
      <c r="AH24" s="503"/>
      <c r="AI24" s="503"/>
      <c r="AJ24" s="505"/>
      <c r="AK24" s="503"/>
      <c r="AL24" s="503"/>
      <c r="AM24" s="505"/>
      <c r="AN24" s="503"/>
      <c r="AO24" s="503"/>
      <c r="AP24" s="505"/>
      <c r="AQ24" s="503"/>
      <c r="AR24" s="503"/>
      <c r="AS24" s="503"/>
      <c r="AT24" s="503"/>
      <c r="AU24" s="503"/>
      <c r="AV24" s="503"/>
      <c r="AW24" s="503"/>
      <c r="AX24" s="503"/>
      <c r="AY24" s="503"/>
      <c r="AZ24" s="503"/>
      <c r="BA24" s="503"/>
      <c r="BB24" s="505"/>
      <c r="BC24" s="503"/>
      <c r="BD24" s="503"/>
      <c r="BE24" s="503"/>
      <c r="BF24" s="503"/>
      <c r="BG24" s="503"/>
      <c r="BH24" s="503"/>
      <c r="BI24" s="503"/>
      <c r="BJ24" s="503"/>
      <c r="BK24" s="503"/>
      <c r="BL24" s="503"/>
      <c r="BM24" s="503"/>
      <c r="BN24" s="503"/>
      <c r="BO24" s="503"/>
      <c r="BP24" s="503"/>
      <c r="BQ24" s="503"/>
      <c r="BR24" s="506"/>
      <c r="BS24" s="503"/>
      <c r="BT24" s="503"/>
      <c r="BU24" s="503"/>
      <c r="BV24" s="503"/>
      <c r="BW24" s="505"/>
      <c r="BX24" s="503"/>
      <c r="BY24" s="503"/>
      <c r="BZ24" s="503"/>
      <c r="CA24" s="503"/>
      <c r="CB24" s="503"/>
      <c r="CC24" s="503"/>
      <c r="CD24" s="503"/>
      <c r="CE24" s="503"/>
      <c r="CF24" s="503"/>
      <c r="CG24" s="503"/>
      <c r="CH24" s="503"/>
      <c r="CI24" s="503"/>
      <c r="CJ24" s="504"/>
      <c r="CK24" s="503"/>
      <c r="CL24" s="503"/>
      <c r="CM24" s="503"/>
      <c r="CN24" s="503"/>
      <c r="CO24" s="503"/>
      <c r="CP24" s="503"/>
      <c r="CQ24" s="503"/>
      <c r="CR24" s="503"/>
      <c r="CS24" s="503"/>
      <c r="CT24" s="503"/>
      <c r="CU24" s="505"/>
      <c r="CV24" s="503"/>
      <c r="CW24" s="503"/>
      <c r="CX24" s="503"/>
      <c r="CY24" s="503"/>
      <c r="CZ24" s="503"/>
      <c r="DA24" s="503"/>
      <c r="DB24" s="503"/>
      <c r="DC24" s="503"/>
      <c r="DD24" s="503"/>
      <c r="DE24" s="503"/>
      <c r="DF24" s="503"/>
      <c r="DG24" s="503"/>
      <c r="DH24" s="503"/>
      <c r="DI24" s="503"/>
      <c r="DJ24" s="503"/>
      <c r="DK24" s="505"/>
      <c r="DL24" s="503"/>
      <c r="DM24" s="503"/>
      <c r="DN24" s="503"/>
    </row>
    <row r="25" spans="1:119" s="153" customFormat="1">
      <c r="A25" s="503"/>
      <c r="E25" s="508"/>
      <c r="K25" s="509"/>
      <c r="L25" s="360"/>
      <c r="M25" s="360"/>
      <c r="N25" s="360"/>
      <c r="O25" s="200"/>
      <c r="P25" s="360"/>
      <c r="Q25" s="510"/>
      <c r="R25" s="360"/>
      <c r="S25" s="360"/>
      <c r="T25" s="360"/>
      <c r="U25" s="360"/>
      <c r="V25" s="360"/>
      <c r="W25" s="360"/>
      <c r="X25" s="360"/>
      <c r="Y25" s="360"/>
      <c r="Z25" s="360"/>
      <c r="AA25" s="360"/>
      <c r="AB25" s="360"/>
      <c r="AC25" s="360"/>
      <c r="AD25" s="510"/>
      <c r="AE25" s="360"/>
      <c r="AF25" s="360"/>
      <c r="AG25" s="510"/>
      <c r="AH25" s="360"/>
      <c r="AI25" s="360"/>
      <c r="AJ25" s="510"/>
      <c r="AK25" s="360"/>
      <c r="AL25" s="360"/>
      <c r="AM25" s="510"/>
      <c r="AN25" s="360"/>
      <c r="AO25" s="360"/>
      <c r="AP25" s="510"/>
      <c r="AQ25" s="360"/>
      <c r="AR25" s="360"/>
      <c r="AS25" s="360"/>
      <c r="AT25" s="360"/>
      <c r="AU25" s="360"/>
      <c r="AV25" s="360"/>
      <c r="AW25" s="360"/>
      <c r="AX25" s="360"/>
      <c r="AY25" s="360"/>
      <c r="AZ25" s="360"/>
      <c r="BA25" s="360"/>
      <c r="BB25" s="510"/>
      <c r="BC25" s="360"/>
      <c r="BD25" s="360"/>
      <c r="BE25" s="360"/>
      <c r="BF25" s="360"/>
      <c r="BG25" s="360"/>
      <c r="BH25" s="360"/>
      <c r="BI25" s="360"/>
      <c r="BJ25" s="360"/>
      <c r="BK25" s="360"/>
      <c r="BL25" s="360"/>
      <c r="BM25" s="360"/>
      <c r="BN25" s="360"/>
      <c r="BO25" s="360"/>
      <c r="BP25" s="360"/>
      <c r="BQ25" s="360"/>
      <c r="BR25" s="511"/>
      <c r="BS25" s="360"/>
      <c r="BT25" s="360"/>
      <c r="BU25" s="360"/>
      <c r="BV25" s="360"/>
      <c r="BW25" s="510"/>
      <c r="BX25" s="360"/>
      <c r="BY25" s="360"/>
      <c r="BZ25" s="360"/>
      <c r="CA25" s="360"/>
      <c r="CB25" s="360"/>
      <c r="CC25" s="360"/>
      <c r="CD25" s="360"/>
      <c r="CE25" s="360"/>
      <c r="CF25" s="360"/>
      <c r="CG25" s="360"/>
      <c r="CH25" s="360"/>
      <c r="CI25" s="360"/>
      <c r="CJ25" s="200"/>
      <c r="CK25" s="360"/>
      <c r="CL25" s="360"/>
      <c r="CM25" s="360"/>
      <c r="CN25" s="360"/>
      <c r="CO25" s="360"/>
      <c r="CP25" s="360"/>
      <c r="CQ25" s="360"/>
      <c r="CR25" s="360"/>
      <c r="CS25" s="360"/>
      <c r="CT25" s="360"/>
      <c r="CU25" s="510"/>
      <c r="CV25" s="360"/>
      <c r="CW25" s="360"/>
      <c r="CX25" s="360"/>
      <c r="CY25" s="360"/>
      <c r="CZ25" s="360"/>
      <c r="DA25" s="360"/>
      <c r="DB25" s="360"/>
      <c r="DC25" s="360"/>
      <c r="DD25" s="360"/>
      <c r="DE25" s="360"/>
      <c r="DF25" s="360"/>
      <c r="DG25" s="360"/>
      <c r="DH25" s="360"/>
      <c r="DI25" s="360"/>
      <c r="DJ25" s="360"/>
      <c r="DK25" s="510"/>
      <c r="DL25" s="360"/>
      <c r="DM25" s="360"/>
      <c r="DN25" s="360"/>
    </row>
    <row r="26" spans="1:119" s="153" customFormat="1">
      <c r="A26" s="499"/>
      <c r="E26" s="508"/>
      <c r="K26" s="509"/>
      <c r="L26" s="360"/>
      <c r="M26" s="360"/>
      <c r="N26" s="360"/>
      <c r="O26" s="200"/>
      <c r="P26" s="360"/>
      <c r="Q26" s="51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510"/>
      <c r="AE26" s="360"/>
      <c r="AF26" s="360"/>
      <c r="AG26" s="510"/>
      <c r="AH26" s="360"/>
      <c r="AI26" s="360"/>
      <c r="AJ26" s="510"/>
      <c r="AK26" s="360"/>
      <c r="AL26" s="360"/>
      <c r="AM26" s="510"/>
      <c r="AN26" s="360"/>
      <c r="AO26" s="360"/>
      <c r="AP26" s="510"/>
      <c r="AQ26" s="360"/>
      <c r="AR26" s="360"/>
      <c r="AS26" s="360"/>
      <c r="AT26" s="360"/>
      <c r="AU26" s="360"/>
      <c r="AV26" s="360"/>
      <c r="AW26" s="360"/>
      <c r="AX26" s="360"/>
      <c r="AY26" s="360"/>
      <c r="AZ26" s="360"/>
      <c r="BA26" s="360"/>
      <c r="BB26" s="510"/>
      <c r="BC26" s="360"/>
      <c r="BD26" s="360"/>
      <c r="BE26" s="360"/>
      <c r="BF26" s="360"/>
      <c r="BG26" s="360"/>
      <c r="BH26" s="360"/>
      <c r="BI26" s="360"/>
      <c r="BJ26" s="360"/>
      <c r="BK26" s="360"/>
      <c r="BL26" s="360"/>
      <c r="BM26" s="360"/>
      <c r="BN26" s="360"/>
      <c r="BO26" s="360"/>
      <c r="BP26" s="360"/>
      <c r="BQ26" s="360"/>
      <c r="BR26" s="511"/>
      <c r="BS26" s="360"/>
      <c r="BT26" s="360"/>
      <c r="BU26" s="360"/>
      <c r="BV26" s="360"/>
      <c r="BW26" s="510"/>
      <c r="BX26" s="360"/>
      <c r="BY26" s="360"/>
      <c r="BZ26" s="360"/>
      <c r="CA26" s="360"/>
      <c r="CB26" s="360"/>
      <c r="CC26" s="360"/>
      <c r="CD26" s="360"/>
      <c r="CE26" s="360"/>
      <c r="CF26" s="360"/>
      <c r="CG26" s="360"/>
      <c r="CH26" s="360"/>
      <c r="CI26" s="360"/>
      <c r="CJ26" s="200"/>
      <c r="CK26" s="360"/>
      <c r="CL26" s="360"/>
      <c r="CM26" s="360"/>
      <c r="CN26" s="360"/>
      <c r="CO26" s="360"/>
      <c r="CP26" s="360"/>
      <c r="CQ26" s="360"/>
      <c r="CR26" s="360"/>
      <c r="CS26" s="360"/>
      <c r="CT26" s="360"/>
      <c r="CU26" s="510"/>
      <c r="CV26" s="360"/>
      <c r="CW26" s="360"/>
      <c r="CX26" s="360"/>
      <c r="CY26" s="360"/>
      <c r="CZ26" s="360"/>
      <c r="DA26" s="360"/>
      <c r="DB26" s="360"/>
      <c r="DC26" s="360"/>
      <c r="DD26" s="360"/>
      <c r="DE26" s="360"/>
      <c r="DF26" s="360"/>
      <c r="DG26" s="360"/>
      <c r="DH26" s="360"/>
      <c r="DI26" s="360"/>
      <c r="DJ26" s="360"/>
      <c r="DK26" s="510"/>
      <c r="DL26" s="360"/>
      <c r="DM26" s="360"/>
      <c r="DN26" s="360"/>
    </row>
    <row r="27" spans="1:119">
      <c r="A27" s="460"/>
    </row>
    <row r="28" spans="1:119">
      <c r="A28" s="460"/>
    </row>
    <row r="29" spans="1:119">
      <c r="A29" s="460"/>
    </row>
    <row r="30" spans="1:119">
      <c r="A30" s="460"/>
    </row>
  </sheetData>
  <autoFilter ref="A6:DP19">
    <filterColumn colId="5"/>
  </autoFilter>
  <mergeCells count="144">
    <mergeCell ref="A1:K1"/>
    <mergeCell ref="N3:Q3"/>
    <mergeCell ref="BU3:BW3"/>
    <mergeCell ref="CJ3:CQ3"/>
    <mergeCell ref="CZ3:DG3"/>
    <mergeCell ref="G4:G6"/>
    <mergeCell ref="H4:I4"/>
    <mergeCell ref="AH4:AJ4"/>
    <mergeCell ref="AN4:AP4"/>
    <mergeCell ref="V5:V6"/>
    <mergeCell ref="W5:W6"/>
    <mergeCell ref="R5:R6"/>
    <mergeCell ref="S5:S6"/>
    <mergeCell ref="T5:T6"/>
    <mergeCell ref="U5:U6"/>
    <mergeCell ref="Z5:Z6"/>
    <mergeCell ref="A3:A6"/>
    <mergeCell ref="B3:B6"/>
    <mergeCell ref="C3:C6"/>
    <mergeCell ref="D3:D6"/>
    <mergeCell ref="E3:E6"/>
    <mergeCell ref="F3:F6"/>
    <mergeCell ref="G3:I3"/>
    <mergeCell ref="J3:J6"/>
    <mergeCell ref="DH4:DK4"/>
    <mergeCell ref="DL4:DO4"/>
    <mergeCell ref="H5:H6"/>
    <mergeCell ref="I5:I6"/>
    <mergeCell ref="N5:N6"/>
    <mergeCell ref="O5:O6"/>
    <mergeCell ref="P5:P6"/>
    <mergeCell ref="Q5:Q6"/>
    <mergeCell ref="CJ4:CM4"/>
    <mergeCell ref="CN4:CQ4"/>
    <mergeCell ref="CR4:CU4"/>
    <mergeCell ref="CV4:CY4"/>
    <mergeCell ref="CZ4:DC4"/>
    <mergeCell ref="DD4:DG4"/>
    <mergeCell ref="BU4:BW4"/>
    <mergeCell ref="BX4:BZ4"/>
    <mergeCell ref="CA4:CC4"/>
    <mergeCell ref="CD4:CF4"/>
    <mergeCell ref="L3:L6"/>
    <mergeCell ref="K3:K6"/>
    <mergeCell ref="AN5:AN6"/>
    <mergeCell ref="AO5:AO6"/>
    <mergeCell ref="AP5:AP6"/>
    <mergeCell ref="AK5:AK6"/>
    <mergeCell ref="AL5:AL6"/>
    <mergeCell ref="AM5:AM6"/>
    <mergeCell ref="CG4:CI4"/>
    <mergeCell ref="AD5:AD6"/>
    <mergeCell ref="X5:X6"/>
    <mergeCell ref="Y5:Y6"/>
    <mergeCell ref="AH5:AH6"/>
    <mergeCell ref="AI5:AI6"/>
    <mergeCell ref="AJ5:AJ6"/>
    <mergeCell ref="AE5:AE6"/>
    <mergeCell ref="AF5:AF6"/>
    <mergeCell ref="AG5:AG6"/>
    <mergeCell ref="AA5:AA6"/>
    <mergeCell ref="AB5:AB6"/>
    <mergeCell ref="AC5:AC6"/>
    <mergeCell ref="AW5:AW6"/>
    <mergeCell ref="AX5:AX6"/>
    <mergeCell ref="AY5:AY6"/>
    <mergeCell ref="AT5:AT6"/>
    <mergeCell ref="AU5:AU6"/>
    <mergeCell ref="AV5:AV6"/>
    <mergeCell ref="AQ5:AQ6"/>
    <mergeCell ref="AR5:AR6"/>
    <mergeCell ref="AS5:AS6"/>
    <mergeCell ref="BF5:BF6"/>
    <mergeCell ref="BG5:BG6"/>
    <mergeCell ref="BH5:BH6"/>
    <mergeCell ref="BC5:BC6"/>
    <mergeCell ref="BD5:BD6"/>
    <mergeCell ref="BE5:BE6"/>
    <mergeCell ref="AZ5:AZ6"/>
    <mergeCell ref="BA5:BA6"/>
    <mergeCell ref="BB5:BB6"/>
    <mergeCell ref="BL5:BL6"/>
    <mergeCell ref="BM5:BM6"/>
    <mergeCell ref="BN5:BN6"/>
    <mergeCell ref="BO5:BO6"/>
    <mergeCell ref="BP5:BP6"/>
    <mergeCell ref="BQ5:BQ6"/>
    <mergeCell ref="BI5:BI6"/>
    <mergeCell ref="BJ5:BJ6"/>
    <mergeCell ref="BK5:BK6"/>
    <mergeCell ref="BX5:BX6"/>
    <mergeCell ref="BY5:BY6"/>
    <mergeCell ref="BZ5:BZ6"/>
    <mergeCell ref="CA5:CA6"/>
    <mergeCell ref="CB5:CB6"/>
    <mergeCell ref="CC5:CC6"/>
    <mergeCell ref="BR5:BR6"/>
    <mergeCell ref="BS5:BS6"/>
    <mergeCell ref="BT5:BT6"/>
    <mergeCell ref="BU5:BU6"/>
    <mergeCell ref="BV5:BV6"/>
    <mergeCell ref="BW5:BW6"/>
    <mergeCell ref="CM5:CM6"/>
    <mergeCell ref="CN5:CN6"/>
    <mergeCell ref="CO5:CO6"/>
    <mergeCell ref="CD5:CD6"/>
    <mergeCell ref="CE5:CE6"/>
    <mergeCell ref="CF5:CF6"/>
    <mergeCell ref="CG5:CG6"/>
    <mergeCell ref="CH5:CH6"/>
    <mergeCell ref="CI5:CI6"/>
    <mergeCell ref="DM5:DM6"/>
    <mergeCell ref="DN5:DN6"/>
    <mergeCell ref="DO5:DO6"/>
    <mergeCell ref="DC5:DC6"/>
    <mergeCell ref="DD5:DD6"/>
    <mergeCell ref="DE5:DE6"/>
    <mergeCell ref="DG5:DG6"/>
    <mergeCell ref="DH5:DH6"/>
    <mergeCell ref="DI5:DI6"/>
    <mergeCell ref="N4:Q4"/>
    <mergeCell ref="Z4:AD4"/>
    <mergeCell ref="AE4:AG4"/>
    <mergeCell ref="AK4:AM4"/>
    <mergeCell ref="AZ4:BB4"/>
    <mergeCell ref="BR3:BT3"/>
    <mergeCell ref="BR4:BT4"/>
    <mergeCell ref="DK5:DK6"/>
    <mergeCell ref="DL5:DL6"/>
    <mergeCell ref="CV5:CV6"/>
    <mergeCell ref="CW5:CW6"/>
    <mergeCell ref="CX5:CX6"/>
    <mergeCell ref="CY5:CY6"/>
    <mergeCell ref="CZ5:CZ6"/>
    <mergeCell ref="DA5:DA6"/>
    <mergeCell ref="CP5:CP6"/>
    <mergeCell ref="CQ5:CQ6"/>
    <mergeCell ref="CR5:CR6"/>
    <mergeCell ref="CS5:CS6"/>
    <mergeCell ref="CT5:CT6"/>
    <mergeCell ref="CU5:CU6"/>
    <mergeCell ref="CJ5:CJ6"/>
    <mergeCell ref="CK5:CK6"/>
    <mergeCell ref="CL5:CL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Листы</vt:lpstr>
      </vt:variant>
      <vt:variant>
        <vt:i4>8</vt:i4>
      </vt:variant>
      <vt:variant>
        <vt:lpstr>Диаграммы</vt:lpstr>
      </vt:variant>
      <vt:variant>
        <vt:i4>1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КИРОВСКИЙ</vt:lpstr>
      <vt:lpstr>КРАСНОГЛ</vt:lpstr>
      <vt:lpstr>ПРОМЫШЛ</vt:lpstr>
      <vt:lpstr>цены</vt:lpstr>
      <vt:lpstr>сводный</vt:lpstr>
      <vt:lpstr>6-7кат красногл р-н</vt:lpstr>
      <vt:lpstr>6-7кат.кир.р-н</vt:lpstr>
      <vt:lpstr>ОКТЯБР</vt:lpstr>
      <vt:lpstr>Диаграмма1</vt:lpstr>
      <vt:lpstr>'6-7кат красногл р-н'!Заголовки_для_печати</vt:lpstr>
      <vt:lpstr>'6-7кат.кир.р-н'!Заголовки_для_печати</vt:lpstr>
      <vt:lpstr>КИРОВСКИЙ!Заголовки_для_печати</vt:lpstr>
      <vt:lpstr>КРАСНОГЛ!Заголовки_для_печати</vt:lpstr>
      <vt:lpstr>ПРОМЫШЛ!Заголовки_для_печати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2021-02-26T09:17:27Z</dcterms:modified>
</cp:coreProperties>
</file>